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.3" sheetId="5" r:id="rId1"/>
    <sheet name="ПР.4 мун.пр." sheetId="1" r:id="rId2"/>
    <sheet name="пр.5 мун.пр." sheetId="4" r:id="rId3"/>
    <sheet name="пр.6. мун.пр." sheetId="2" r:id="rId4"/>
  </sheets>
  <definedNames>
    <definedName name="_xlnm._FilterDatabase" localSheetId="1" hidden="1">'ПР.4 мун.пр.'!$D$20:$G$153</definedName>
    <definedName name="_xlnm.Print_Titles" localSheetId="1">'ПР.4 мун.пр.'!$14:$16</definedName>
    <definedName name="_xlnm.Print_Titles" localSheetId="3">'пр.6. мун.пр.'!$11:$12</definedName>
    <definedName name="_xlnm.Print_Area" localSheetId="3">'пр.6. мун.пр.'!$A$1:$M$47</definedName>
  </definedNames>
  <calcPr calcId="124519"/>
</workbook>
</file>

<file path=xl/calcChain.xml><?xml version="1.0" encoding="utf-8"?>
<calcChain xmlns="http://schemas.openxmlformats.org/spreadsheetml/2006/main">
  <c r="L16" i="2"/>
  <c r="M16"/>
  <c r="K16"/>
  <c r="F25"/>
  <c r="G25"/>
  <c r="E25"/>
  <c r="F20"/>
  <c r="G20"/>
  <c r="E20"/>
  <c r="G15"/>
  <c r="L50" l="1"/>
  <c r="M50"/>
  <c r="K50"/>
  <c r="L51"/>
  <c r="M51"/>
  <c r="K51"/>
  <c r="E35"/>
  <c r="G34"/>
  <c r="M40"/>
  <c r="M35"/>
  <c r="M31"/>
  <c r="M26"/>
  <c r="M25"/>
  <c r="M21"/>
  <c r="M49"/>
  <c r="G37" i="4"/>
  <c r="G27"/>
  <c r="G21"/>
  <c r="G16" s="1"/>
  <c r="G22"/>
  <c r="G23"/>
  <c r="G18" s="1"/>
  <c r="H54" i="1"/>
  <c r="H57"/>
  <c r="H90"/>
  <c r="H38" i="4"/>
  <c r="H36"/>
  <c r="H34"/>
  <c r="H33"/>
  <c r="H31"/>
  <c r="H28"/>
  <c r="H26"/>
  <c r="I20" i="1"/>
  <c r="J73" l="1"/>
  <c r="K73"/>
  <c r="I73"/>
  <c r="L139" l="1"/>
  <c r="L140"/>
  <c r="L141"/>
  <c r="L142"/>
  <c r="L143"/>
  <c r="L144"/>
  <c r="L145"/>
  <c r="L146"/>
  <c r="L147"/>
  <c r="L148"/>
  <c r="L149"/>
  <c r="L150"/>
  <c r="L151"/>
  <c r="L152"/>
  <c r="L138"/>
  <c r="K137"/>
  <c r="L131"/>
  <c r="L132"/>
  <c r="L133"/>
  <c r="L134"/>
  <c r="L130"/>
  <c r="K136"/>
  <c r="K129"/>
  <c r="G30" i="4" s="1"/>
  <c r="G32" s="1"/>
  <c r="G17" s="1"/>
  <c r="L104" i="1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I101"/>
  <c r="J101"/>
  <c r="K101"/>
  <c r="G25" i="4" s="1"/>
  <c r="G29" s="1"/>
  <c r="I102" i="1"/>
  <c r="J102"/>
  <c r="K102"/>
  <c r="H101"/>
  <c r="H102"/>
  <c r="K100"/>
  <c r="L22"/>
  <c r="L25"/>
  <c r="L28"/>
  <c r="L30"/>
  <c r="L31"/>
  <c r="L34"/>
  <c r="L35"/>
  <c r="L37"/>
  <c r="L43"/>
  <c r="L44"/>
  <c r="L45"/>
  <c r="L47"/>
  <c r="L48"/>
  <c r="L49"/>
  <c r="L52"/>
  <c r="L53"/>
  <c r="L54"/>
  <c r="L55"/>
  <c r="L56"/>
  <c r="L58"/>
  <c r="L60"/>
  <c r="L61"/>
  <c r="L62"/>
  <c r="L63"/>
  <c r="L64"/>
  <c r="L69"/>
  <c r="L71"/>
  <c r="L72"/>
  <c r="L73"/>
  <c r="L74"/>
  <c r="L75"/>
  <c r="L76"/>
  <c r="L77"/>
  <c r="L78"/>
  <c r="L81"/>
  <c r="L83"/>
  <c r="L84"/>
  <c r="L85"/>
  <c r="L86"/>
  <c r="L87"/>
  <c r="L88"/>
  <c r="L89"/>
  <c r="L90"/>
  <c r="L94"/>
  <c r="L95"/>
  <c r="L96"/>
  <c r="K20"/>
  <c r="G20" i="4" s="1"/>
  <c r="G24" s="1"/>
  <c r="A25" i="5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K153" i="1" l="1"/>
  <c r="G35" i="4"/>
  <c r="G39" s="1"/>
  <c r="G19"/>
  <c r="G15" s="1"/>
  <c r="K135" i="1"/>
  <c r="I103"/>
  <c r="H103"/>
  <c r="J103"/>
  <c r="K17"/>
  <c r="L102"/>
  <c r="K103"/>
  <c r="L101"/>
  <c r="K99"/>
  <c r="A26" i="5"/>
  <c r="A27" s="1"/>
  <c r="J51" i="2"/>
  <c r="L103" i="1" l="1"/>
  <c r="K19"/>
  <c r="K18" s="1"/>
  <c r="J52" i="2"/>
  <c r="J16"/>
  <c r="H141" i="1"/>
  <c r="H140"/>
  <c r="H139"/>
  <c r="H152"/>
  <c r="H150"/>
  <c r="H151"/>
  <c r="H104"/>
  <c r="H91"/>
  <c r="L91" s="1"/>
  <c r="H92"/>
  <c r="L92" s="1"/>
  <c r="H39"/>
  <c r="L39" s="1"/>
  <c r="H40"/>
  <c r="L40" s="1"/>
  <c r="H50"/>
  <c r="L50" s="1"/>
  <c r="H66"/>
  <c r="L66" s="1"/>
  <c r="H65"/>
  <c r="L65" s="1"/>
  <c r="H27"/>
  <c r="L27" s="1"/>
  <c r="H32"/>
  <c r="L32" s="1"/>
  <c r="D37" i="4" l="1"/>
  <c r="E21"/>
  <c r="F21"/>
  <c r="D21"/>
  <c r="E22"/>
  <c r="F22"/>
  <c r="E23"/>
  <c r="F23"/>
  <c r="I100" i="1"/>
  <c r="J100"/>
  <c r="H21" i="4" l="1"/>
  <c r="H149" i="1"/>
  <c r="H146"/>
  <c r="H24" l="1"/>
  <c r="L24" s="1"/>
  <c r="H23"/>
  <c r="L23" s="1"/>
  <c r="H21"/>
  <c r="J21" i="2"/>
  <c r="L21" i="1" l="1"/>
  <c r="E37" i="4"/>
  <c r="F37"/>
  <c r="H105" i="1"/>
  <c r="H93"/>
  <c r="L93" s="1"/>
  <c r="H41"/>
  <c r="L41" s="1"/>
  <c r="H79"/>
  <c r="L79" s="1"/>
  <c r="L57"/>
  <c r="H97"/>
  <c r="H37" i="4" l="1"/>
  <c r="L97" i="1"/>
  <c r="T104"/>
  <c r="H98" l="1"/>
  <c r="H82"/>
  <c r="L82" s="1"/>
  <c r="H147"/>
  <c r="L98" l="1"/>
  <c r="H100"/>
  <c r="H130"/>
  <c r="L100" l="1"/>
  <c r="H59"/>
  <c r="L59" s="1"/>
  <c r="H80"/>
  <c r="L80" s="1"/>
  <c r="H67"/>
  <c r="L67" s="1"/>
  <c r="H51"/>
  <c r="L51" s="1"/>
  <c r="H29"/>
  <c r="L29" s="1"/>
  <c r="H33"/>
  <c r="L33" s="1"/>
  <c r="H26"/>
  <c r="L26" l="1"/>
  <c r="H46"/>
  <c r="L46" s="1"/>
  <c r="Q112"/>
  <c r="Q124"/>
  <c r="Q123"/>
  <c r="H128"/>
  <c r="S104" s="1"/>
  <c r="V104" s="1"/>
  <c r="H36"/>
  <c r="L36" l="1"/>
  <c r="H42"/>
  <c r="L42" l="1"/>
  <c r="D23" i="4"/>
  <c r="H23" s="1"/>
  <c r="U21" i="1"/>
  <c r="D27" i="4"/>
  <c r="H70" i="1"/>
  <c r="H143"/>
  <c r="H137" s="1"/>
  <c r="H68"/>
  <c r="L68" s="1"/>
  <c r="J26" i="2"/>
  <c r="N97" i="1"/>
  <c r="N96"/>
  <c r="N95"/>
  <c r="E27" i="4"/>
  <c r="F27"/>
  <c r="N33" i="1"/>
  <c r="H27" i="4" l="1"/>
  <c r="L70" i="1"/>
  <c r="S21"/>
  <c r="D22" i="4"/>
  <c r="H22" s="1"/>
  <c r="H38" i="1" l="1"/>
  <c r="J35" i="2"/>
  <c r="K31"/>
  <c r="L31"/>
  <c r="J31"/>
  <c r="J49"/>
  <c r="J48" s="1"/>
  <c r="L38" i="1" l="1"/>
  <c r="H20"/>
  <c r="T21"/>
  <c r="V21" s="1"/>
  <c r="H153"/>
  <c r="D35" i="4"/>
  <c r="D25"/>
  <c r="D29" l="1"/>
  <c r="D39"/>
  <c r="H99" i="1"/>
  <c r="J20"/>
  <c r="E39" i="2"/>
  <c r="F39"/>
  <c r="D39"/>
  <c r="E34"/>
  <c r="F34"/>
  <c r="D34"/>
  <c r="E15"/>
  <c r="F15"/>
  <c r="D15"/>
  <c r="K25"/>
  <c r="L25"/>
  <c r="J25"/>
  <c r="L26"/>
  <c r="K26"/>
  <c r="I129" i="1"/>
  <c r="E30" i="4" s="1"/>
  <c r="J129" i="1"/>
  <c r="F30" i="4" s="1"/>
  <c r="H129" i="1"/>
  <c r="H136"/>
  <c r="L21" i="2"/>
  <c r="K21"/>
  <c r="L20" i="1" l="1"/>
  <c r="D30" i="4"/>
  <c r="L129" i="1"/>
  <c r="H19"/>
  <c r="H135"/>
  <c r="F18" i="4"/>
  <c r="D20"/>
  <c r="E18"/>
  <c r="D18"/>
  <c r="E25"/>
  <c r="E32"/>
  <c r="F32"/>
  <c r="J99" i="1"/>
  <c r="N17"/>
  <c r="O88"/>
  <c r="N88"/>
  <c r="I136"/>
  <c r="I19" s="1"/>
  <c r="J136"/>
  <c r="J19" s="1"/>
  <c r="O107"/>
  <c r="N107"/>
  <c r="O67"/>
  <c r="N67"/>
  <c r="O33"/>
  <c r="O37"/>
  <c r="N37"/>
  <c r="K40" i="2"/>
  <c r="L40"/>
  <c r="J40"/>
  <c r="D24" i="4" l="1"/>
  <c r="H18"/>
  <c r="E29"/>
  <c r="D32"/>
  <c r="H30"/>
  <c r="L136" i="1"/>
  <c r="I135"/>
  <c r="J135"/>
  <c r="E17" i="4"/>
  <c r="F17"/>
  <c r="F25"/>
  <c r="F29" s="1"/>
  <c r="H17" i="1"/>
  <c r="H25" i="4" l="1"/>
  <c r="H32"/>
  <c r="D17"/>
  <c r="H17" s="1"/>
  <c r="H29"/>
  <c r="L135" i="1"/>
  <c r="L19"/>
  <c r="N18"/>
  <c r="N19" s="1"/>
  <c r="M48" i="2"/>
  <c r="L35"/>
  <c r="K35"/>
  <c r="L49"/>
  <c r="L48" l="1"/>
  <c r="K49"/>
  <c r="K48" s="1"/>
  <c r="P17" i="1" l="1"/>
  <c r="O17"/>
  <c r="I137"/>
  <c r="J137"/>
  <c r="F35" i="4" s="1"/>
  <c r="F39" s="1"/>
  <c r="E16"/>
  <c r="F16"/>
  <c r="D16"/>
  <c r="I99" i="1"/>
  <c r="H16" i="4" l="1"/>
  <c r="E35"/>
  <c r="L137" i="1"/>
  <c r="L99"/>
  <c r="J17"/>
  <c r="P18" s="1"/>
  <c r="P19" s="1"/>
  <c r="I17"/>
  <c r="I153"/>
  <c r="J153"/>
  <c r="F20" i="4"/>
  <c r="F24" s="1"/>
  <c r="E20"/>
  <c r="H18" i="1"/>
  <c r="E24" i="4" l="1"/>
  <c r="H24" s="1"/>
  <c r="H20"/>
  <c r="E39"/>
  <c r="H39" s="1"/>
  <c r="H35"/>
  <c r="E19"/>
  <c r="L153" i="1"/>
  <c r="O18"/>
  <c r="O19" s="1"/>
  <c r="L17"/>
  <c r="D19" i="4"/>
  <c r="I18" i="1"/>
  <c r="E15" i="4"/>
  <c r="F19"/>
  <c r="F15" s="1"/>
  <c r="J18" i="1"/>
  <c r="D15" i="4" l="1"/>
  <c r="H15" s="1"/>
  <c r="H19"/>
  <c r="L18" i="1"/>
</calcChain>
</file>

<file path=xl/sharedStrings.xml><?xml version="1.0" encoding="utf-8"?>
<sst xmlns="http://schemas.openxmlformats.org/spreadsheetml/2006/main" count="648" uniqueCount="196">
  <si>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</si>
  <si>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</si>
  <si>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</si>
  <si>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</si>
  <si>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РзПр</t>
  </si>
  <si>
    <t>ЦСР</t>
  </si>
  <si>
    <t>ВР</t>
  </si>
  <si>
    <t>Расходы (тыс.руб.), годы</t>
  </si>
  <si>
    <t>Итого на период</t>
  </si>
  <si>
    <t>Муниципальная программа</t>
  </si>
  <si>
    <t>Всего расходные обязательства по программе</t>
  </si>
  <si>
    <t>Подпрограмма 1</t>
  </si>
  <si>
    <t>Ресурсоное обеспечение и прогнозная оценка расходов на реализацию целей муниципальной программы города Назарово с учетом источников финансирования, в том числе по уровням бюджетной системы</t>
  </si>
  <si>
    <t>Наименование муниципальной программы, подпрограммы</t>
  </si>
  <si>
    <t>Ответственный исполнитель, соисполнитель</t>
  </si>
  <si>
    <t>Оценка расходов (тыс.руб.), годы</t>
  </si>
  <si>
    <t>Всего, в том числе:</t>
  </si>
  <si>
    <t>федеральный бюджет</t>
  </si>
  <si>
    <t>краевой бюджет</t>
  </si>
  <si>
    <t>внебюджетные источники</t>
  </si>
  <si>
    <t>бюджет города</t>
  </si>
  <si>
    <t>Прогноз сводных показателей муниципальных заданий (выполнение) муниципальных услуг (работ) муниципальными учреждениями по муниципальной программе города Назарово</t>
  </si>
  <si>
    <t>Наименование услуги, поазатели объема услуги (работы)</t>
  </si>
  <si>
    <t>Значение показателя объема услуги (работы) по годам</t>
  </si>
  <si>
    <t>Рсходы городского бюджета на оказание (выполнение) муниципальной услуги (работы), тыс.руб.</t>
  </si>
  <si>
    <t>Реализация основных общеобразовательных программ начального общего образования (в т.ч. программы дополнительного образования детей, группы подленного дня)</t>
  </si>
  <si>
    <t>Реализация основных общеобразовательных программ основного общего образования (в т.ч. программы дополнительного образования детей, группы подленного дня)</t>
  </si>
  <si>
    <t>Реализация основных общеобразовательных программ среднего (полного) общего образования (в т.ч. программы дополнительного образования детей, группы подленного дня)</t>
  </si>
  <si>
    <t>Реализация основных общеобразовательных программ дошкольного образования</t>
  </si>
  <si>
    <t>Реализация программ дополнительного образования детей</t>
  </si>
  <si>
    <t>Организационно-методическое и информационное обеспечение деятельности образовательных учреждений</t>
  </si>
  <si>
    <t>078</t>
  </si>
  <si>
    <t>Х</t>
  </si>
  <si>
    <t>Поддержка детей-сирот, расширение практики применения семейных форм воспитания</t>
  </si>
  <si>
    <t>Обеспечение реализации муниципальной программы и прочие мероприятия в области образования</t>
  </si>
  <si>
    <t xml:space="preserve">Приложение № 4 </t>
  </si>
  <si>
    <t>к муниципальной программе</t>
  </si>
  <si>
    <t>0709</t>
  </si>
  <si>
    <t>Всего расходные обязательства по мероприятию</t>
  </si>
  <si>
    <t>Всего расходные обязательства по подпрограмме</t>
  </si>
  <si>
    <t>0701</t>
  </si>
  <si>
    <t>0702</t>
  </si>
  <si>
    <t>0707</t>
  </si>
  <si>
    <t>1004</t>
  </si>
  <si>
    <t xml:space="preserve">Статус </t>
  </si>
  <si>
    <t xml:space="preserve">Приложение № 5 </t>
  </si>
  <si>
    <t>1. Количество обучающихся</t>
  </si>
  <si>
    <t>1. Количество потребителей</t>
  </si>
  <si>
    <t>1. Количество воспитанников</t>
  </si>
  <si>
    <t xml:space="preserve">Приложение № 6 </t>
  </si>
  <si>
    <t>Статус (муниципальная программа, подпрограмма)</t>
  </si>
  <si>
    <t>мероприятие: Развитие общего образования</t>
  </si>
  <si>
    <t>мероприятие: Развитие дополнительного образования</t>
  </si>
  <si>
    <t>мероприятие: Развитие дошкольного образования</t>
  </si>
  <si>
    <t>школы</t>
  </si>
  <si>
    <t>сады</t>
  </si>
  <si>
    <t>д/о</t>
  </si>
  <si>
    <t>ММЦ</t>
  </si>
  <si>
    <t>Подпрограмма 2</t>
  </si>
  <si>
    <t>"Развитие образования города</t>
  </si>
  <si>
    <t xml:space="preserve">"Развитие образования города </t>
  </si>
  <si>
    <t>Распределение планируемых расходов за счет средств бюджета города по мероприятиям и подпрограммам муниципальной программы</t>
  </si>
  <si>
    <t>Подпрограмма 3</t>
  </si>
  <si>
    <t>мероприятие: Методическое сопровождение учреждений, подведомственных Управлению</t>
  </si>
  <si>
    <t>Развитие образования города Назарово на 2014-2016 годы</t>
  </si>
  <si>
    <t>Управление образования</t>
  </si>
  <si>
    <t>Администрация г.Назарово</t>
  </si>
  <si>
    <t>питание</t>
  </si>
  <si>
    <t>Подпрограмма 4</t>
  </si>
  <si>
    <t>Развитие дополнительного образования детей</t>
  </si>
  <si>
    <t>Развитие дошкольного и общего образования детей</t>
  </si>
  <si>
    <t>1003</t>
  </si>
  <si>
    <t>платные</t>
  </si>
  <si>
    <t>род.пл.</t>
  </si>
  <si>
    <t>Развитие дошкольного и общего  образования детей</t>
  </si>
  <si>
    <t>Подпрограмма 1 "Развитие дошкольного и общего образования детей"</t>
  </si>
  <si>
    <t>Подпрограмма 1 "Развитие дошкольного и общего  образования детей"</t>
  </si>
  <si>
    <t>Подпрограмма 2 "Развитие дополнительного образования детей"</t>
  </si>
  <si>
    <t>Подпрограмма 4 "Обеспечение реализации муниципальной программы и прочие мероприятия в области образования"</t>
  </si>
  <si>
    <t>0110081</t>
  </si>
  <si>
    <t>0117554</t>
  </si>
  <si>
    <t>0117588</t>
  </si>
  <si>
    <t>0120081</t>
  </si>
  <si>
    <t>0117564</t>
  </si>
  <si>
    <t>0127582</t>
  </si>
  <si>
    <t>162</t>
  </si>
  <si>
    <t>0117421</t>
  </si>
  <si>
    <t>0140081</t>
  </si>
  <si>
    <t>0137552</t>
  </si>
  <si>
    <t>0137587</t>
  </si>
  <si>
    <t>0140031</t>
  </si>
  <si>
    <t>0114702</t>
  </si>
  <si>
    <t>0117582</t>
  </si>
  <si>
    <t>0117566</t>
  </si>
  <si>
    <t>0117556</t>
  </si>
  <si>
    <t>0127585</t>
  </si>
  <si>
    <t>0135082</t>
  </si>
  <si>
    <t>0118810</t>
  </si>
  <si>
    <t>ооо</t>
  </si>
  <si>
    <t>Приложение № 1</t>
  </si>
  <si>
    <t>к постановлению администрации г.Назарово</t>
  </si>
  <si>
    <t>Приложение № 2</t>
  </si>
  <si>
    <t>Приложение № 3</t>
  </si>
  <si>
    <t>0117558</t>
  </si>
  <si>
    <t>0111021</t>
  </si>
  <si>
    <t>0121021</t>
  </si>
  <si>
    <t>0114705</t>
  </si>
  <si>
    <t>0124705</t>
  </si>
  <si>
    <t>0141021</t>
  </si>
  <si>
    <t>кредиторка</t>
  </si>
  <si>
    <t>0124706</t>
  </si>
  <si>
    <t>соф.м.бюдж.</t>
  </si>
  <si>
    <t>0124707</t>
  </si>
  <si>
    <t>отд.кат.</t>
  </si>
  <si>
    <t>род.пл.бюджет</t>
  </si>
  <si>
    <t>род.пл= бюджет</t>
  </si>
  <si>
    <t>0127584</t>
  </si>
  <si>
    <t>0127441</t>
  </si>
  <si>
    <t>0127442</t>
  </si>
  <si>
    <t>0127445</t>
  </si>
  <si>
    <t>0144701</t>
  </si>
  <si>
    <t>выпускной</t>
  </si>
  <si>
    <t>0114703</t>
  </si>
  <si>
    <t>0124704</t>
  </si>
  <si>
    <t>кр.б</t>
  </si>
  <si>
    <t>1пр.</t>
  </si>
  <si>
    <t>2пр.</t>
  </si>
  <si>
    <t>3пр.</t>
  </si>
  <si>
    <t>цб</t>
  </si>
  <si>
    <t>уо</t>
  </si>
  <si>
    <t>мол.спец.</t>
  </si>
  <si>
    <t>0111031</t>
  </si>
  <si>
    <t>0121031</t>
  </si>
  <si>
    <t>0115059</t>
  </si>
  <si>
    <t>краевой</t>
  </si>
  <si>
    <t>мун.</t>
  </si>
  <si>
    <t>внебюджет</t>
  </si>
  <si>
    <t>0117746</t>
  </si>
  <si>
    <t>0114708</t>
  </si>
  <si>
    <t>0118811</t>
  </si>
  <si>
    <t>целевые</t>
  </si>
  <si>
    <t>от      29.09.2014    №  1823-п</t>
  </si>
  <si>
    <t xml:space="preserve">Приложение № 3 </t>
  </si>
  <si>
    <t xml:space="preserve">                                                                 </t>
  </si>
  <si>
    <t>Основные мероприятия правового регулирования в соответствующей сфере, направленные на достижение цели и (или) конечных результатов программы</t>
  </si>
  <si>
    <t>№ п/п</t>
  </si>
  <si>
    <t>Наименование нормативного правового акта</t>
  </si>
  <si>
    <t>Предмет регулирования, основное содержание</t>
  </si>
  <si>
    <t>Срок принятия (год, квартал)</t>
  </si>
  <si>
    <t>Постановление администрации г.Назарово</t>
  </si>
  <si>
    <t xml:space="preserve">Сеть муниципальных образовательных учреждений и контингента обучающихся и воспитанников </t>
  </si>
  <si>
    <t>ежегодно, III квартал</t>
  </si>
  <si>
    <t>Предоставление информации об организации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</si>
  <si>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№ 2072-п от 24.12.2011</t>
  </si>
  <si>
    <t xml:space="preserve">Прием заявлений, постановка на учет и зачисление детей в образовательные учреждения, реализующие основную образовательную программу дошкольного образования (детские сады) </t>
  </si>
  <si>
    <t>№ 2071-п от 24.12.2010</t>
  </si>
  <si>
    <t xml:space="preserve">Зачисление в муниципальные общеобразовательные учреждения </t>
  </si>
  <si>
    <t>№ 1214-п от 20.06.2013</t>
  </si>
  <si>
    <t>Проведение аттестации руководителей муниципальных образовательных учреждений</t>
  </si>
  <si>
    <t>№ 409-п от 22.03.2012</t>
  </si>
  <si>
    <t>Меры организации отдыха, оздоровления и занятости детей и подростков в летний период</t>
  </si>
  <si>
    <t>ежегодно, II квартал</t>
  </si>
  <si>
    <t>Реализация отдельных положений закона Красноярского края "О защите прав ребенка" в муниципальных общеобразовательных учреждениях</t>
  </si>
  <si>
    <t>№ 16-п от 12.01.2009</t>
  </si>
  <si>
    <t>Порядок установления и взимания родительской платы за содержание детей (присмотр и уход за детьми) в муниципальных дошкольных образовательных учреждениях</t>
  </si>
  <si>
    <t>№1121-п от 20.07.2012</t>
  </si>
  <si>
    <t>Установление родительской платы за содержание детей в муниципальных дошкольных образовательных учреждениях</t>
  </si>
  <si>
    <t>2014 год, III квартал</t>
  </si>
  <si>
    <t>Проведение мониторинга качества управления финансами главных распорядителей бюджетных средств города</t>
  </si>
  <si>
    <t>№ 1579 от 16.10.2012</t>
  </si>
  <si>
    <t>Стандарт качества оказания муниципальных услуг в области дошкольного, начального общего, основного общего, среднего (полного) общего образования и дополнительного образования детей</t>
  </si>
  <si>
    <t>№ 2089 от 28.12.2012</t>
  </si>
  <si>
    <t>Решение Назаровского городского Совета депутатов</t>
  </si>
  <si>
    <t>Новая система оплаты труда работников муниципальных бюджетных и казенных учреждений</t>
  </si>
  <si>
    <t>№ 14-101 от 26.06.2013</t>
  </si>
  <si>
    <t>Расчет нормативных затрат на оказание муниципальными учреждениями муниципальных услуг и нормативных затрат на содержание имущества муниципальных учреждений</t>
  </si>
  <si>
    <t>№ 944-п от 21.06.2011</t>
  </si>
  <si>
    <t>Оценка выполнения муниципального задания на оказание муниципальных услуг (выполнение работ)</t>
  </si>
  <si>
    <t>№ 943-п от 21.06.2011</t>
  </si>
  <si>
    <t>Расходование средств субвенции на реализацию Закона Красноярского края от 27.12.2005 № 17-4379 "О наделении органов местного самоуправления государственными полномочиями по обеспечению содержания в муниципальных дошкольных образовательных учреждениях (группах) детей без взимания родительской платы</t>
  </si>
  <si>
    <t>№ 123-п от 01.02.2012</t>
  </si>
  <si>
    <t>Расходование средств субвенции на реализацию Закона Красноярского края от 20.12.2007 № 4-1089 "О наделении органов местного самоуправления государственными полномочиями на организацию и осуществлению деятельности по опеке и попечительству в отношении несовершеннолетних</t>
  </si>
  <si>
    <t>№ 219-п от 11.02.2011</t>
  </si>
  <si>
    <t>Расходование средств субвенции по обеспечению жилыми помещениями детей-сирот и детей, оставшихся без попечения родителей</t>
  </si>
  <si>
    <t>ежегодно, I квартал</t>
  </si>
  <si>
    <t>Расходование средств субвенции на финансовое обеспечение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</si>
  <si>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№ 223-п от 11.02.2011</t>
  </si>
  <si>
    <t>Условия и размер краевых выплат воспитателям (включая старшего) и  помощникам воспитателей в муниципальных образовательных учреждениях,реализующих основную общеобразовательную программу дошкольного образования детей</t>
  </si>
  <si>
    <t>Расходование субсидии на оплату стоимости набора продуктов питания или готовых блюд и их транспортировку в лагрях с дневным пребыванием детей</t>
  </si>
  <si>
    <t>Расходование субсидии на организацию отдыха, оздоровления и занятости детей в муниципальных загородных оздоровительных лагерях</t>
  </si>
  <si>
    <t>№ 150-п от 04.02.2014</t>
  </si>
  <si>
    <t>"Развитие образования города Назарово "</t>
  </si>
  <si>
    <t>к муниципальной программе "Развитие образования города Назарово"</t>
  </si>
  <si>
    <t xml:space="preserve">Развитие образования города Назарово </t>
  </si>
  <si>
    <t xml:space="preserve"> Назарово "</t>
  </si>
  <si>
    <t>Назарово "</t>
  </si>
</sst>
</file>

<file path=xl/styles.xml><?xml version="1.0" encoding="utf-8"?>
<styleSheet xmlns="http://schemas.openxmlformats.org/spreadsheetml/2006/main">
  <numFmts count="6">
    <numFmt numFmtId="164" formatCode="#,##0.00_р_."/>
    <numFmt numFmtId="165" formatCode="#,##0.000_р_."/>
    <numFmt numFmtId="166" formatCode="#,##0.00000_р_."/>
    <numFmt numFmtId="167" formatCode="#,##0.00000"/>
    <numFmt numFmtId="168" formatCode="#,##0.000"/>
    <numFmt numFmtId="169" formatCode="#,##0.000000_р_.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6" fillId="0" borderId="0" xfId="0" applyFont="1"/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4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left"/>
    </xf>
    <xf numFmtId="0" fontId="1" fillId="0" borderId="0" xfId="0" applyFont="1" applyBorder="1"/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5" fontId="1" fillId="6" borderId="1" xfId="0" applyNumberFormat="1" applyFont="1" applyFill="1" applyBorder="1"/>
    <xf numFmtId="165" fontId="1" fillId="2" borderId="1" xfId="0" applyNumberFormat="1" applyFont="1" applyFill="1" applyBorder="1"/>
    <xf numFmtId="49" fontId="1" fillId="6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wrapText="1"/>
    </xf>
    <xf numFmtId="49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165" fontId="1" fillId="6" borderId="8" xfId="0" applyNumberFormat="1" applyFont="1" applyFill="1" applyBorder="1"/>
    <xf numFmtId="0" fontId="1" fillId="0" borderId="8" xfId="0" applyFont="1" applyBorder="1" applyAlignment="1">
      <alignment horizontal="center"/>
    </xf>
    <xf numFmtId="49" fontId="1" fillId="7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6" fontId="1" fillId="7" borderId="1" xfId="0" applyNumberFormat="1" applyFont="1" applyFill="1" applyBorder="1"/>
    <xf numFmtId="166" fontId="1" fillId="0" borderId="6" xfId="0" applyNumberFormat="1" applyFont="1" applyBorder="1"/>
    <xf numFmtId="166" fontId="1" fillId="0" borderId="3" xfId="0" applyNumberFormat="1" applyFont="1" applyBorder="1" applyAlignment="1">
      <alignment vertical="center"/>
    </xf>
    <xf numFmtId="166" fontId="1" fillId="0" borderId="4" xfId="0" applyNumberFormat="1" applyFont="1" applyBorder="1" applyAlignment="1">
      <alignment vertical="center"/>
    </xf>
    <xf numFmtId="166" fontId="1" fillId="0" borderId="1" xfId="0" applyNumberFormat="1" applyFont="1" applyBorder="1"/>
    <xf numFmtId="166" fontId="1" fillId="0" borderId="8" xfId="0" applyNumberFormat="1" applyFont="1" applyBorder="1"/>
    <xf numFmtId="166" fontId="1" fillId="0" borderId="9" xfId="0" applyNumberFormat="1" applyFont="1" applyBorder="1"/>
    <xf numFmtId="166" fontId="1" fillId="6" borderId="1" xfId="0" applyNumberFormat="1" applyFont="1" applyFill="1" applyBorder="1"/>
    <xf numFmtId="166" fontId="1" fillId="0" borderId="6" xfId="0" applyNumberFormat="1" applyFont="1" applyBorder="1" applyAlignment="1">
      <alignment vertical="center"/>
    </xf>
    <xf numFmtId="166" fontId="1" fillId="0" borderId="9" xfId="0" applyNumberFormat="1" applyFont="1" applyBorder="1" applyAlignment="1">
      <alignment vertical="center"/>
    </xf>
    <xf numFmtId="166" fontId="1" fillId="0" borderId="3" xfId="0" applyNumberFormat="1" applyFont="1" applyBorder="1"/>
    <xf numFmtId="166" fontId="1" fillId="0" borderId="4" xfId="0" applyNumberFormat="1" applyFont="1" applyBorder="1"/>
    <xf numFmtId="165" fontId="1" fillId="8" borderId="1" xfId="0" applyNumberFormat="1" applyFont="1" applyFill="1" applyBorder="1"/>
    <xf numFmtId="166" fontId="1" fillId="8" borderId="1" xfId="0" applyNumberFormat="1" applyFont="1" applyFill="1" applyBorder="1"/>
    <xf numFmtId="166" fontId="1" fillId="2" borderId="1" xfId="0" applyNumberFormat="1" applyFont="1" applyFill="1" applyBorder="1"/>
    <xf numFmtId="166" fontId="1" fillId="6" borderId="3" xfId="0" applyNumberFormat="1" applyFont="1" applyFill="1" applyBorder="1" applyAlignment="1">
      <alignment vertical="center"/>
    </xf>
    <xf numFmtId="166" fontId="1" fillId="8" borderId="8" xfId="0" applyNumberFormat="1" applyFont="1" applyFill="1" applyBorder="1"/>
    <xf numFmtId="164" fontId="0" fillId="8" borderId="0" xfId="0" applyNumberFormat="1" applyFill="1"/>
    <xf numFmtId="167" fontId="0" fillId="0" borderId="0" xfId="0" applyNumberFormat="1"/>
    <xf numFmtId="166" fontId="1" fillId="0" borderId="8" xfId="0" applyNumberFormat="1" applyFont="1" applyBorder="1" applyAlignment="1">
      <alignment vertical="center"/>
    </xf>
    <xf numFmtId="168" fontId="0" fillId="0" borderId="0" xfId="0" applyNumberFormat="1"/>
    <xf numFmtId="166" fontId="0" fillId="0" borderId="0" xfId="0" applyNumberFormat="1"/>
    <xf numFmtId="167" fontId="2" fillId="0" borderId="0" xfId="0" applyNumberFormat="1" applyFont="1"/>
    <xf numFmtId="167" fontId="2" fillId="9" borderId="0" xfId="0" applyNumberFormat="1" applyFont="1" applyFill="1"/>
    <xf numFmtId="0" fontId="10" fillId="0" borderId="0" xfId="0" applyFont="1"/>
    <xf numFmtId="166" fontId="1" fillId="10" borderId="1" xfId="0" applyNumberFormat="1" applyFont="1" applyFill="1" applyBorder="1"/>
    <xf numFmtId="165" fontId="1" fillId="10" borderId="1" xfId="0" applyNumberFormat="1" applyFont="1" applyFill="1" applyBorder="1"/>
    <xf numFmtId="166" fontId="1" fillId="10" borderId="8" xfId="0" applyNumberFormat="1" applyFont="1" applyFill="1" applyBorder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6" fontId="1" fillId="0" borderId="17" xfId="0" applyNumberFormat="1" applyFont="1" applyBorder="1"/>
    <xf numFmtId="166" fontId="1" fillId="0" borderId="18" xfId="0" applyNumberFormat="1" applyFont="1" applyBorder="1"/>
    <xf numFmtId="166" fontId="1" fillId="6" borderId="17" xfId="0" applyNumberFormat="1" applyFont="1" applyFill="1" applyBorder="1"/>
    <xf numFmtId="165" fontId="1" fillId="8" borderId="17" xfId="0" applyNumberFormat="1" applyFont="1" applyFill="1" applyBorder="1"/>
    <xf numFmtId="165" fontId="1" fillId="6" borderId="17" xfId="0" applyNumberFormat="1" applyFont="1" applyFill="1" applyBorder="1"/>
    <xf numFmtId="166" fontId="1" fillId="8" borderId="17" xfId="0" applyNumberFormat="1" applyFont="1" applyFill="1" applyBorder="1"/>
    <xf numFmtId="165" fontId="1" fillId="2" borderId="17" xfId="0" applyNumberFormat="1" applyFont="1" applyFill="1" applyBorder="1"/>
    <xf numFmtId="166" fontId="1" fillId="2" borderId="17" xfId="0" applyNumberFormat="1" applyFont="1" applyFill="1" applyBorder="1"/>
    <xf numFmtId="166" fontId="1" fillId="7" borderId="17" xfId="0" applyNumberFormat="1" applyFont="1" applyFill="1" applyBorder="1"/>
    <xf numFmtId="166" fontId="1" fillId="0" borderId="19" xfId="0" applyNumberFormat="1" applyFont="1" applyBorder="1" applyAlignment="1">
      <alignment vertical="center"/>
    </xf>
    <xf numFmtId="0" fontId="1" fillId="0" borderId="2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/>
    </xf>
    <xf numFmtId="166" fontId="1" fillId="0" borderId="20" xfId="0" applyNumberFormat="1" applyFont="1" applyBorder="1" applyAlignment="1">
      <alignment vertical="center"/>
    </xf>
    <xf numFmtId="166" fontId="1" fillId="6" borderId="20" xfId="0" applyNumberFormat="1" applyFont="1" applyFill="1" applyBorder="1" applyAlignment="1">
      <alignment vertical="center"/>
    </xf>
    <xf numFmtId="166" fontId="1" fillId="0" borderId="21" xfId="0" applyNumberFormat="1" applyFont="1" applyBorder="1"/>
    <xf numFmtId="0" fontId="2" fillId="0" borderId="13" xfId="0" applyFont="1" applyBorder="1" applyAlignment="1">
      <alignment wrapText="1"/>
    </xf>
    <xf numFmtId="49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6" fontId="1" fillId="6" borderId="13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166" fontId="1" fillId="4" borderId="6" xfId="0" applyNumberFormat="1" applyFont="1" applyFill="1" applyBorder="1"/>
    <xf numFmtId="0" fontId="0" fillId="11" borderId="0" xfId="0" applyFill="1"/>
    <xf numFmtId="166" fontId="1" fillId="11" borderId="6" xfId="0" applyNumberFormat="1" applyFont="1" applyFill="1" applyBorder="1"/>
    <xf numFmtId="166" fontId="1" fillId="7" borderId="6" xfId="0" applyNumberFormat="1" applyFont="1" applyFill="1" applyBorder="1"/>
    <xf numFmtId="169" fontId="1" fillId="8" borderId="1" xfId="0" applyNumberFormat="1" applyFont="1" applyFill="1" applyBorder="1"/>
    <xf numFmtId="166" fontId="1" fillId="12" borderId="6" xfId="0" applyNumberFormat="1" applyFont="1" applyFill="1" applyBorder="1"/>
    <xf numFmtId="166" fontId="1" fillId="7" borderId="6" xfId="0" applyNumberFormat="1" applyFont="1" applyFill="1" applyBorder="1" applyAlignment="1">
      <alignment vertical="center"/>
    </xf>
    <xf numFmtId="166" fontId="1" fillId="12" borderId="6" xfId="0" applyNumberFormat="1" applyFont="1" applyFill="1" applyBorder="1" applyAlignment="1">
      <alignment vertical="center"/>
    </xf>
    <xf numFmtId="166" fontId="1" fillId="12" borderId="9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3" fillId="6" borderId="0" xfId="0" applyFont="1" applyFill="1" applyAlignment="1">
      <alignment horizontal="left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4" fillId="5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4" fillId="4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7"/>
  <sheetViews>
    <sheetView tabSelected="1" workbookViewId="0">
      <selection activeCell="G4" sqref="G4:G5"/>
    </sheetView>
  </sheetViews>
  <sheetFormatPr defaultRowHeight="18.75"/>
  <cols>
    <col min="1" max="1" width="5" style="74" customWidth="1"/>
    <col min="2" max="2" width="20.7109375" style="74" customWidth="1"/>
    <col min="3" max="3" width="43.42578125" style="74" customWidth="1"/>
    <col min="4" max="4" width="26" style="74" customWidth="1"/>
  </cols>
  <sheetData>
    <row r="1" spans="1:4">
      <c r="B1" s="73"/>
      <c r="D1" s="75" t="s">
        <v>142</v>
      </c>
    </row>
    <row r="2" spans="1:4" ht="63.75">
      <c r="B2" s="73"/>
      <c r="D2" s="75" t="s">
        <v>192</v>
      </c>
    </row>
    <row r="3" spans="1:4">
      <c r="B3" s="23" t="s">
        <v>143</v>
      </c>
      <c r="C3" s="76"/>
      <c r="D3" s="76"/>
    </row>
    <row r="4" spans="1:4">
      <c r="A4" s="113" t="s">
        <v>144</v>
      </c>
      <c r="B4" s="113"/>
      <c r="C4" s="113"/>
      <c r="D4" s="113"/>
    </row>
    <row r="6" spans="1:4" ht="47.25">
      <c r="A6" s="77" t="s">
        <v>145</v>
      </c>
      <c r="B6" s="77" t="s">
        <v>146</v>
      </c>
      <c r="C6" s="77" t="s">
        <v>147</v>
      </c>
      <c r="D6" s="77" t="s">
        <v>148</v>
      </c>
    </row>
    <row r="7" spans="1:4" ht="47.25">
      <c r="A7" s="78">
        <v>1</v>
      </c>
      <c r="B7" s="77" t="s">
        <v>149</v>
      </c>
      <c r="C7" s="79" t="s">
        <v>150</v>
      </c>
      <c r="D7" s="77" t="s">
        <v>151</v>
      </c>
    </row>
    <row r="8" spans="1:4" ht="110.25">
      <c r="A8" s="78">
        <f>A7+1</f>
        <v>2</v>
      </c>
      <c r="B8" s="77" t="s">
        <v>149</v>
      </c>
      <c r="C8" s="79" t="s">
        <v>152</v>
      </c>
      <c r="D8" s="77" t="s">
        <v>153</v>
      </c>
    </row>
    <row r="9" spans="1:4" ht="78.75">
      <c r="A9" s="78">
        <f t="shared" ref="A9:A27" si="0">A8+1</f>
        <v>3</v>
      </c>
      <c r="B9" s="77" t="s">
        <v>149</v>
      </c>
      <c r="C9" s="79" t="s">
        <v>154</v>
      </c>
      <c r="D9" s="77" t="s">
        <v>155</v>
      </c>
    </row>
    <row r="10" spans="1:4" ht="47.25">
      <c r="A10" s="78">
        <f t="shared" si="0"/>
        <v>4</v>
      </c>
      <c r="B10" s="77" t="s">
        <v>149</v>
      </c>
      <c r="C10" s="79" t="s">
        <v>156</v>
      </c>
      <c r="D10" s="77" t="s">
        <v>157</v>
      </c>
    </row>
    <row r="11" spans="1:4" ht="47.25">
      <c r="A11" s="78">
        <f t="shared" si="0"/>
        <v>5</v>
      </c>
      <c r="B11" s="77" t="s">
        <v>149</v>
      </c>
      <c r="C11" s="79" t="s">
        <v>158</v>
      </c>
      <c r="D11" s="77" t="s">
        <v>159</v>
      </c>
    </row>
    <row r="12" spans="1:4" ht="47.25">
      <c r="A12" s="78">
        <f t="shared" si="0"/>
        <v>6</v>
      </c>
      <c r="B12" s="77" t="s">
        <v>149</v>
      </c>
      <c r="C12" s="79" t="s">
        <v>160</v>
      </c>
      <c r="D12" s="77" t="s">
        <v>161</v>
      </c>
    </row>
    <row r="13" spans="1:4" ht="63">
      <c r="A13" s="78">
        <f t="shared" si="0"/>
        <v>7</v>
      </c>
      <c r="B13" s="77" t="s">
        <v>149</v>
      </c>
      <c r="C13" s="79" t="s">
        <v>162</v>
      </c>
      <c r="D13" s="77" t="s">
        <v>163</v>
      </c>
    </row>
    <row r="14" spans="1:4" ht="78.75">
      <c r="A14" s="78">
        <f t="shared" si="0"/>
        <v>8</v>
      </c>
      <c r="B14" s="77" t="s">
        <v>149</v>
      </c>
      <c r="C14" s="79" t="s">
        <v>164</v>
      </c>
      <c r="D14" s="77" t="s">
        <v>165</v>
      </c>
    </row>
    <row r="15" spans="1:4" ht="63">
      <c r="A15" s="78">
        <f t="shared" si="0"/>
        <v>9</v>
      </c>
      <c r="B15" s="77" t="s">
        <v>149</v>
      </c>
      <c r="C15" s="79" t="s">
        <v>166</v>
      </c>
      <c r="D15" s="77" t="s">
        <v>167</v>
      </c>
    </row>
    <row r="16" spans="1:4" ht="63">
      <c r="A16" s="78">
        <f t="shared" si="0"/>
        <v>10</v>
      </c>
      <c r="B16" s="77" t="s">
        <v>149</v>
      </c>
      <c r="C16" s="79" t="s">
        <v>168</v>
      </c>
      <c r="D16" s="77" t="s">
        <v>169</v>
      </c>
    </row>
    <row r="17" spans="1:4" ht="94.5">
      <c r="A17" s="78">
        <f t="shared" si="0"/>
        <v>11</v>
      </c>
      <c r="B17" s="77" t="s">
        <v>149</v>
      </c>
      <c r="C17" s="79" t="s">
        <v>170</v>
      </c>
      <c r="D17" s="77" t="s">
        <v>171</v>
      </c>
    </row>
    <row r="18" spans="1:4" ht="63">
      <c r="A18" s="78">
        <f t="shared" si="0"/>
        <v>12</v>
      </c>
      <c r="B18" s="77" t="s">
        <v>172</v>
      </c>
      <c r="C18" s="79" t="s">
        <v>173</v>
      </c>
      <c r="D18" s="77" t="s">
        <v>174</v>
      </c>
    </row>
    <row r="19" spans="1:4" ht="78.75">
      <c r="A19" s="78">
        <f t="shared" si="0"/>
        <v>13</v>
      </c>
      <c r="B19" s="77" t="s">
        <v>149</v>
      </c>
      <c r="C19" s="79" t="s">
        <v>175</v>
      </c>
      <c r="D19" s="77" t="s">
        <v>176</v>
      </c>
    </row>
    <row r="20" spans="1:4" ht="47.25">
      <c r="A20" s="78">
        <f t="shared" si="0"/>
        <v>14</v>
      </c>
      <c r="B20" s="77" t="s">
        <v>149</v>
      </c>
      <c r="C20" s="79" t="s">
        <v>177</v>
      </c>
      <c r="D20" s="77" t="s">
        <v>178</v>
      </c>
    </row>
    <row r="21" spans="1:4" ht="141.75">
      <c r="A21" s="78">
        <f t="shared" si="0"/>
        <v>15</v>
      </c>
      <c r="B21" s="77" t="s">
        <v>149</v>
      </c>
      <c r="C21" s="79" t="s">
        <v>179</v>
      </c>
      <c r="D21" s="77" t="s">
        <v>180</v>
      </c>
    </row>
    <row r="22" spans="1:4" ht="126">
      <c r="A22" s="78">
        <f t="shared" si="0"/>
        <v>16</v>
      </c>
      <c r="B22" s="77" t="s">
        <v>149</v>
      </c>
      <c r="C22" s="79" t="s">
        <v>181</v>
      </c>
      <c r="D22" s="77" t="s">
        <v>182</v>
      </c>
    </row>
    <row r="23" spans="1:4" ht="63">
      <c r="A23" s="78">
        <f t="shared" si="0"/>
        <v>17</v>
      </c>
      <c r="B23" s="77" t="s">
        <v>149</v>
      </c>
      <c r="C23" s="79" t="s">
        <v>183</v>
      </c>
      <c r="D23" s="77" t="s">
        <v>184</v>
      </c>
    </row>
    <row r="24" spans="1:4" ht="110.25">
      <c r="A24" s="78">
        <f t="shared" si="0"/>
        <v>18</v>
      </c>
      <c r="B24" s="77" t="s">
        <v>149</v>
      </c>
      <c r="C24" s="79" t="s">
        <v>185</v>
      </c>
      <c r="D24" s="77" t="s">
        <v>186</v>
      </c>
    </row>
    <row r="25" spans="1:4" ht="110.25">
      <c r="A25" s="78">
        <f t="shared" si="0"/>
        <v>19</v>
      </c>
      <c r="B25" s="77" t="s">
        <v>149</v>
      </c>
      <c r="C25" s="79" t="s">
        <v>187</v>
      </c>
      <c r="D25" s="77" t="s">
        <v>190</v>
      </c>
    </row>
    <row r="26" spans="1:4" ht="63">
      <c r="A26" s="78">
        <f t="shared" si="0"/>
        <v>20</v>
      </c>
      <c r="B26" s="77" t="s">
        <v>149</v>
      </c>
      <c r="C26" s="79" t="s">
        <v>188</v>
      </c>
      <c r="D26" s="77" t="s">
        <v>161</v>
      </c>
    </row>
    <row r="27" spans="1:4" ht="63">
      <c r="A27" s="78">
        <f t="shared" si="0"/>
        <v>21</v>
      </c>
      <c r="B27" s="77" t="s">
        <v>149</v>
      </c>
      <c r="C27" s="79" t="s">
        <v>189</v>
      </c>
      <c r="D27" s="77" t="s">
        <v>161</v>
      </c>
    </row>
    <row r="28" spans="1:4" ht="15.75">
      <c r="A28" s="80"/>
      <c r="B28" s="81"/>
      <c r="C28" s="81"/>
      <c r="D28" s="82"/>
    </row>
    <row r="29" spans="1:4">
      <c r="A29" s="83"/>
      <c r="B29" s="81"/>
      <c r="C29" s="81"/>
      <c r="D29" s="82"/>
    </row>
    <row r="30" spans="1:4">
      <c r="A30" s="83"/>
      <c r="B30" s="81"/>
      <c r="C30" s="81"/>
      <c r="D30" s="82"/>
    </row>
    <row r="31" spans="1:4">
      <c r="A31" s="83"/>
      <c r="B31" s="81"/>
      <c r="C31" s="81"/>
      <c r="D31" s="82"/>
    </row>
    <row r="32" spans="1:4">
      <c r="A32" s="83"/>
      <c r="B32" s="81"/>
      <c r="C32" s="81"/>
      <c r="D32" s="82"/>
    </row>
    <row r="33" spans="1:4">
      <c r="A33" s="83"/>
      <c r="B33" s="81"/>
      <c r="C33" s="81"/>
      <c r="D33" s="82"/>
    </row>
    <row r="34" spans="1:4">
      <c r="A34" s="83"/>
      <c r="B34" s="81"/>
      <c r="C34" s="81"/>
      <c r="D34" s="82"/>
    </row>
    <row r="35" spans="1:4">
      <c r="A35" s="83"/>
      <c r="B35" s="81"/>
      <c r="C35" s="81"/>
      <c r="D35" s="82"/>
    </row>
    <row r="36" spans="1:4">
      <c r="A36" s="83"/>
      <c r="B36" s="81"/>
      <c r="C36" s="81"/>
      <c r="D36" s="82"/>
    </row>
    <row r="37" spans="1:4">
      <c r="A37" s="83"/>
      <c r="B37" s="81"/>
      <c r="C37" s="81"/>
      <c r="D37" s="82"/>
    </row>
    <row r="38" spans="1:4">
      <c r="A38" s="83"/>
      <c r="B38" s="81"/>
      <c r="C38" s="81"/>
      <c r="D38" s="82"/>
    </row>
    <row r="39" spans="1:4">
      <c r="A39" s="83"/>
      <c r="B39" s="81"/>
      <c r="C39" s="81"/>
      <c r="D39" s="82"/>
    </row>
    <row r="40" spans="1:4">
      <c r="A40" s="83"/>
      <c r="B40" s="81"/>
      <c r="C40" s="81"/>
      <c r="D40" s="82"/>
    </row>
    <row r="41" spans="1:4">
      <c r="A41" s="83"/>
      <c r="B41" s="81"/>
      <c r="C41" s="81"/>
      <c r="D41" s="82"/>
    </row>
    <row r="42" spans="1:4">
      <c r="A42" s="83"/>
      <c r="B42" s="81"/>
      <c r="C42" s="81"/>
      <c r="D42" s="82"/>
    </row>
    <row r="43" spans="1:4">
      <c r="A43" s="83"/>
      <c r="B43" s="81"/>
      <c r="C43" s="81"/>
      <c r="D43" s="82"/>
    </row>
    <row r="44" spans="1:4">
      <c r="A44" s="83"/>
      <c r="B44" s="81"/>
      <c r="C44" s="81"/>
      <c r="D44" s="82"/>
    </row>
    <row r="45" spans="1:4">
      <c r="A45" s="83"/>
      <c r="B45" s="81"/>
      <c r="C45" s="81"/>
      <c r="D45" s="82"/>
    </row>
    <row r="46" spans="1:4">
      <c r="A46" s="83"/>
      <c r="B46" s="81"/>
      <c r="C46" s="81"/>
      <c r="D46" s="82"/>
    </row>
    <row r="47" spans="1:4">
      <c r="A47" s="83"/>
      <c r="B47" s="81"/>
      <c r="C47" s="81"/>
      <c r="D47" s="82"/>
    </row>
    <row r="48" spans="1:4">
      <c r="A48" s="83"/>
      <c r="B48" s="81"/>
      <c r="C48" s="81"/>
      <c r="D48" s="82"/>
    </row>
    <row r="49" spans="1:4">
      <c r="A49" s="83"/>
      <c r="B49" s="81"/>
      <c r="C49" s="81"/>
      <c r="D49" s="82"/>
    </row>
    <row r="50" spans="1:4">
      <c r="A50" s="83"/>
      <c r="B50" s="81"/>
      <c r="C50" s="81"/>
      <c r="D50" s="82"/>
    </row>
    <row r="51" spans="1:4">
      <c r="A51" s="83"/>
      <c r="B51" s="81"/>
      <c r="C51" s="81"/>
      <c r="D51" s="82"/>
    </row>
    <row r="52" spans="1:4">
      <c r="A52" s="83"/>
      <c r="B52" s="81"/>
      <c r="C52" s="81"/>
      <c r="D52" s="82"/>
    </row>
    <row r="53" spans="1:4">
      <c r="A53" s="83"/>
      <c r="B53" s="81"/>
      <c r="C53" s="81"/>
      <c r="D53" s="82"/>
    </row>
    <row r="54" spans="1:4">
      <c r="A54" s="83"/>
      <c r="B54" s="81"/>
      <c r="C54" s="81"/>
      <c r="D54" s="82"/>
    </row>
    <row r="55" spans="1:4">
      <c r="A55" s="83"/>
      <c r="B55" s="81"/>
      <c r="C55" s="81"/>
      <c r="D55" s="82"/>
    </row>
    <row r="56" spans="1:4">
      <c r="A56" s="83"/>
      <c r="B56" s="81"/>
      <c r="C56" s="81"/>
      <c r="D56" s="82"/>
    </row>
    <row r="57" spans="1:4">
      <c r="A57" s="83"/>
      <c r="B57" s="81"/>
      <c r="C57" s="81"/>
      <c r="D57" s="82"/>
    </row>
    <row r="58" spans="1:4">
      <c r="A58" s="83"/>
      <c r="B58" s="81"/>
      <c r="C58" s="81"/>
      <c r="D58" s="82"/>
    </row>
    <row r="59" spans="1:4">
      <c r="A59" s="83"/>
      <c r="B59" s="81"/>
      <c r="C59" s="81"/>
      <c r="D59" s="82"/>
    </row>
    <row r="60" spans="1:4">
      <c r="A60" s="83"/>
      <c r="B60" s="81"/>
      <c r="C60" s="81"/>
      <c r="D60" s="82"/>
    </row>
    <row r="61" spans="1:4">
      <c r="A61" s="83"/>
      <c r="B61" s="81"/>
      <c r="C61" s="81"/>
      <c r="D61" s="82"/>
    </row>
    <row r="62" spans="1:4">
      <c r="A62" s="83"/>
      <c r="B62" s="81"/>
      <c r="C62" s="81"/>
      <c r="D62" s="82"/>
    </row>
    <row r="63" spans="1:4">
      <c r="A63" s="83"/>
      <c r="B63" s="81"/>
      <c r="C63" s="81"/>
      <c r="D63" s="82"/>
    </row>
    <row r="64" spans="1:4">
      <c r="A64" s="83"/>
      <c r="B64" s="81"/>
      <c r="C64" s="81"/>
      <c r="D64" s="82"/>
    </row>
    <row r="65" spans="1:4">
      <c r="A65" s="83"/>
      <c r="B65" s="81"/>
      <c r="C65" s="81"/>
      <c r="D65" s="82"/>
    </row>
    <row r="66" spans="1:4">
      <c r="A66" s="83"/>
      <c r="B66" s="81"/>
      <c r="C66" s="81"/>
      <c r="D66" s="82"/>
    </row>
    <row r="67" spans="1:4">
      <c r="A67" s="83"/>
      <c r="B67" s="81"/>
      <c r="C67" s="81"/>
      <c r="D67" s="82"/>
    </row>
    <row r="68" spans="1:4">
      <c r="A68" s="83"/>
      <c r="B68" s="81"/>
      <c r="C68" s="81"/>
      <c r="D68" s="82"/>
    </row>
    <row r="69" spans="1:4">
      <c r="A69" s="83"/>
      <c r="B69" s="81"/>
      <c r="C69" s="81"/>
      <c r="D69" s="82"/>
    </row>
    <row r="70" spans="1:4">
      <c r="A70" s="83"/>
      <c r="B70" s="81"/>
      <c r="C70" s="81"/>
      <c r="D70" s="82"/>
    </row>
    <row r="71" spans="1:4">
      <c r="A71" s="83"/>
      <c r="B71" s="81"/>
      <c r="C71" s="81"/>
      <c r="D71" s="82"/>
    </row>
    <row r="72" spans="1:4">
      <c r="A72" s="83"/>
      <c r="B72" s="81"/>
      <c r="C72" s="81"/>
      <c r="D72" s="82"/>
    </row>
    <row r="73" spans="1:4">
      <c r="A73" s="83"/>
      <c r="B73" s="81"/>
      <c r="C73" s="81"/>
      <c r="D73" s="82"/>
    </row>
    <row r="74" spans="1:4">
      <c r="A74" s="83"/>
      <c r="B74" s="81"/>
      <c r="C74" s="81"/>
      <c r="D74" s="82"/>
    </row>
    <row r="75" spans="1:4">
      <c r="A75" s="83"/>
      <c r="B75" s="81"/>
      <c r="C75" s="81"/>
      <c r="D75" s="82"/>
    </row>
    <row r="76" spans="1:4">
      <c r="A76" s="83"/>
      <c r="B76" s="81"/>
      <c r="C76" s="81"/>
      <c r="D76" s="82"/>
    </row>
    <row r="77" spans="1:4">
      <c r="A77" s="83"/>
      <c r="B77" s="81"/>
      <c r="C77" s="81"/>
      <c r="D77" s="82"/>
    </row>
    <row r="78" spans="1:4">
      <c r="A78" s="83"/>
      <c r="B78" s="81"/>
      <c r="C78" s="81"/>
      <c r="D78" s="82"/>
    </row>
    <row r="79" spans="1:4">
      <c r="A79" s="83"/>
      <c r="B79" s="81"/>
      <c r="C79" s="81"/>
      <c r="D79" s="82"/>
    </row>
    <row r="80" spans="1:4">
      <c r="A80" s="83"/>
      <c r="B80" s="81"/>
      <c r="C80" s="81"/>
      <c r="D80" s="82"/>
    </row>
    <row r="81" spans="1:4">
      <c r="A81" s="83"/>
      <c r="B81" s="81"/>
      <c r="C81" s="81"/>
      <c r="D81" s="82"/>
    </row>
    <row r="82" spans="1:4">
      <c r="A82" s="83"/>
      <c r="B82" s="81"/>
      <c r="C82" s="81"/>
      <c r="D82" s="82"/>
    </row>
    <row r="83" spans="1:4">
      <c r="A83" s="83"/>
      <c r="B83" s="81"/>
      <c r="C83" s="81"/>
      <c r="D83" s="82"/>
    </row>
    <row r="84" spans="1:4">
      <c r="A84" s="83"/>
      <c r="B84" s="81"/>
      <c r="C84" s="81"/>
      <c r="D84" s="82"/>
    </row>
    <row r="85" spans="1:4">
      <c r="A85" s="83"/>
      <c r="B85" s="81"/>
      <c r="C85" s="81"/>
      <c r="D85" s="82"/>
    </row>
    <row r="86" spans="1:4">
      <c r="A86" s="83"/>
      <c r="B86" s="81"/>
      <c r="C86" s="81"/>
      <c r="D86" s="82"/>
    </row>
    <row r="87" spans="1:4">
      <c r="A87" s="83"/>
      <c r="B87" s="81"/>
      <c r="C87" s="81"/>
      <c r="D87" s="82"/>
    </row>
    <row r="88" spans="1:4">
      <c r="A88" s="83"/>
      <c r="B88" s="81"/>
      <c r="C88" s="81"/>
      <c r="D88" s="82"/>
    </row>
    <row r="89" spans="1:4">
      <c r="A89" s="83"/>
      <c r="B89" s="81"/>
      <c r="C89" s="81"/>
      <c r="D89" s="82"/>
    </row>
    <row r="90" spans="1:4">
      <c r="A90" s="83"/>
      <c r="B90" s="81"/>
      <c r="C90" s="81"/>
      <c r="D90" s="82"/>
    </row>
    <row r="91" spans="1:4">
      <c r="A91" s="83"/>
      <c r="B91" s="81"/>
      <c r="C91" s="81"/>
      <c r="D91" s="82"/>
    </row>
    <row r="92" spans="1:4">
      <c r="A92" s="83"/>
      <c r="B92" s="81"/>
      <c r="C92" s="81"/>
      <c r="D92" s="82"/>
    </row>
    <row r="93" spans="1:4">
      <c r="A93" s="83"/>
      <c r="B93" s="81"/>
      <c r="C93" s="81"/>
      <c r="D93" s="82"/>
    </row>
    <row r="94" spans="1:4">
      <c r="A94" s="83"/>
      <c r="B94" s="81"/>
      <c r="C94" s="81"/>
      <c r="D94" s="82"/>
    </row>
    <row r="95" spans="1:4">
      <c r="A95" s="83"/>
      <c r="B95" s="81"/>
      <c r="C95" s="81"/>
      <c r="D95" s="82"/>
    </row>
    <row r="96" spans="1:4">
      <c r="A96" s="83"/>
      <c r="B96" s="81"/>
      <c r="C96" s="81"/>
      <c r="D96" s="82"/>
    </row>
    <row r="97" spans="1:4">
      <c r="A97" s="83"/>
      <c r="B97" s="81"/>
      <c r="C97" s="81"/>
      <c r="D97" s="82"/>
    </row>
    <row r="98" spans="1:4">
      <c r="A98" s="83"/>
      <c r="B98" s="81"/>
      <c r="C98" s="81"/>
      <c r="D98" s="82"/>
    </row>
    <row r="99" spans="1:4">
      <c r="A99" s="83"/>
      <c r="B99" s="81"/>
      <c r="C99" s="81"/>
      <c r="D99" s="82"/>
    </row>
    <row r="100" spans="1:4">
      <c r="A100" s="83"/>
      <c r="B100" s="81"/>
      <c r="C100" s="81"/>
      <c r="D100" s="82"/>
    </row>
    <row r="101" spans="1:4">
      <c r="A101" s="83"/>
      <c r="B101" s="81"/>
      <c r="C101" s="81"/>
      <c r="D101" s="82"/>
    </row>
    <row r="102" spans="1:4">
      <c r="A102" s="83"/>
      <c r="B102" s="81"/>
      <c r="C102" s="81"/>
      <c r="D102" s="82"/>
    </row>
    <row r="103" spans="1:4">
      <c r="A103" s="83"/>
      <c r="B103" s="81"/>
      <c r="C103" s="81"/>
      <c r="D103" s="82"/>
    </row>
    <row r="104" spans="1:4">
      <c r="A104" s="83"/>
      <c r="B104" s="81"/>
      <c r="C104" s="81"/>
      <c r="D104" s="82"/>
    </row>
    <row r="105" spans="1:4">
      <c r="A105" s="83"/>
      <c r="B105" s="81"/>
      <c r="C105" s="81"/>
      <c r="D105" s="82"/>
    </row>
    <row r="106" spans="1:4">
      <c r="A106" s="83"/>
      <c r="B106" s="81"/>
      <c r="C106" s="81"/>
      <c r="D106" s="82"/>
    </row>
    <row r="107" spans="1:4">
      <c r="A107" s="83"/>
      <c r="B107" s="81"/>
      <c r="C107" s="81"/>
      <c r="D107" s="82"/>
    </row>
    <row r="108" spans="1:4">
      <c r="A108" s="83"/>
      <c r="B108" s="81"/>
      <c r="C108" s="81"/>
      <c r="D108" s="82"/>
    </row>
    <row r="109" spans="1:4">
      <c r="A109" s="83"/>
      <c r="B109" s="81"/>
      <c r="C109" s="81"/>
      <c r="D109" s="82"/>
    </row>
    <row r="110" spans="1:4">
      <c r="A110" s="83"/>
      <c r="B110" s="81"/>
      <c r="C110" s="81"/>
      <c r="D110" s="82"/>
    </row>
    <row r="111" spans="1:4">
      <c r="A111" s="83"/>
      <c r="B111" s="81"/>
      <c r="C111" s="81"/>
      <c r="D111" s="82"/>
    </row>
    <row r="112" spans="1:4">
      <c r="A112" s="83"/>
      <c r="B112" s="81"/>
      <c r="C112" s="81"/>
      <c r="D112" s="82"/>
    </row>
    <row r="113" spans="1:4">
      <c r="A113" s="83"/>
      <c r="B113" s="81"/>
      <c r="C113" s="81"/>
      <c r="D113" s="82"/>
    </row>
    <row r="114" spans="1:4">
      <c r="A114" s="83"/>
      <c r="B114" s="81"/>
      <c r="C114" s="81"/>
      <c r="D114" s="82"/>
    </row>
    <row r="115" spans="1:4">
      <c r="A115" s="83"/>
      <c r="B115" s="81"/>
      <c r="C115" s="81"/>
      <c r="D115" s="82"/>
    </row>
    <row r="116" spans="1:4">
      <c r="A116" s="83"/>
      <c r="B116" s="81"/>
      <c r="C116" s="81"/>
      <c r="D116" s="82"/>
    </row>
    <row r="117" spans="1:4">
      <c r="A117" s="83"/>
      <c r="B117" s="81"/>
      <c r="C117" s="81"/>
      <c r="D117" s="82"/>
    </row>
    <row r="118" spans="1:4">
      <c r="A118" s="83"/>
      <c r="B118" s="81"/>
      <c r="C118" s="81"/>
      <c r="D118" s="82"/>
    </row>
    <row r="119" spans="1:4">
      <c r="A119" s="83"/>
      <c r="B119" s="81"/>
      <c r="C119" s="81"/>
      <c r="D119" s="82"/>
    </row>
    <row r="120" spans="1:4">
      <c r="A120" s="83"/>
      <c r="B120" s="81"/>
      <c r="C120" s="81"/>
      <c r="D120" s="82"/>
    </row>
    <row r="121" spans="1:4">
      <c r="A121" s="83"/>
      <c r="B121" s="81"/>
      <c r="C121" s="81"/>
      <c r="D121" s="82"/>
    </row>
    <row r="122" spans="1:4">
      <c r="A122" s="83"/>
      <c r="B122" s="81"/>
      <c r="C122" s="81"/>
      <c r="D122" s="82"/>
    </row>
    <row r="123" spans="1:4">
      <c r="A123" s="83"/>
      <c r="B123" s="81"/>
      <c r="C123" s="81"/>
      <c r="D123" s="82"/>
    </row>
    <row r="124" spans="1:4">
      <c r="A124" s="83"/>
      <c r="B124" s="81"/>
      <c r="C124" s="81"/>
      <c r="D124" s="82"/>
    </row>
    <row r="125" spans="1:4">
      <c r="A125" s="83"/>
      <c r="B125" s="81"/>
      <c r="C125" s="81"/>
      <c r="D125" s="82"/>
    </row>
    <row r="126" spans="1:4">
      <c r="A126" s="83"/>
      <c r="B126" s="81"/>
      <c r="C126" s="81"/>
      <c r="D126" s="82"/>
    </row>
    <row r="127" spans="1:4">
      <c r="A127" s="83"/>
      <c r="B127" s="81"/>
      <c r="C127" s="81"/>
      <c r="D127" s="82"/>
    </row>
    <row r="128" spans="1:4">
      <c r="A128" s="83"/>
      <c r="B128" s="81"/>
      <c r="C128" s="81"/>
      <c r="D128" s="82"/>
    </row>
    <row r="129" spans="1:4">
      <c r="A129" s="83"/>
      <c r="B129" s="81"/>
      <c r="C129" s="81"/>
      <c r="D129" s="82"/>
    </row>
    <row r="130" spans="1:4">
      <c r="A130" s="83"/>
      <c r="B130" s="81"/>
      <c r="C130" s="81"/>
      <c r="D130" s="82"/>
    </row>
    <row r="131" spans="1:4">
      <c r="A131" s="83"/>
      <c r="B131" s="81"/>
      <c r="C131" s="81"/>
      <c r="D131" s="82"/>
    </row>
    <row r="132" spans="1:4">
      <c r="A132" s="83"/>
      <c r="B132" s="81"/>
      <c r="C132" s="81"/>
      <c r="D132" s="82"/>
    </row>
    <row r="133" spans="1:4">
      <c r="A133" s="83"/>
      <c r="B133" s="81"/>
      <c r="C133" s="81"/>
      <c r="D133" s="82"/>
    </row>
    <row r="134" spans="1:4">
      <c r="A134" s="83"/>
      <c r="B134" s="81"/>
      <c r="C134" s="81"/>
      <c r="D134" s="82"/>
    </row>
    <row r="135" spans="1:4">
      <c r="A135" s="83"/>
      <c r="B135" s="81"/>
      <c r="C135" s="81"/>
      <c r="D135" s="82"/>
    </row>
    <row r="136" spans="1:4">
      <c r="A136" s="83"/>
      <c r="B136" s="81"/>
      <c r="C136" s="81"/>
      <c r="D136" s="82"/>
    </row>
    <row r="137" spans="1:4">
      <c r="A137" s="83"/>
      <c r="B137" s="81"/>
      <c r="C137" s="81"/>
      <c r="D137" s="82"/>
    </row>
    <row r="138" spans="1:4">
      <c r="A138" s="83"/>
      <c r="B138" s="81"/>
      <c r="C138" s="81"/>
      <c r="D138" s="82"/>
    </row>
    <row r="139" spans="1:4">
      <c r="A139" s="83"/>
      <c r="B139" s="83"/>
      <c r="C139" s="83"/>
      <c r="D139" s="82"/>
    </row>
    <row r="140" spans="1:4">
      <c r="A140" s="83"/>
      <c r="B140" s="83"/>
      <c r="C140" s="83"/>
      <c r="D140" s="82"/>
    </row>
    <row r="141" spans="1:4">
      <c r="A141" s="83"/>
      <c r="B141" s="83"/>
      <c r="C141" s="83"/>
      <c r="D141" s="82"/>
    </row>
    <row r="142" spans="1:4">
      <c r="A142" s="83"/>
      <c r="B142" s="83"/>
      <c r="C142" s="83"/>
      <c r="D142" s="82"/>
    </row>
    <row r="143" spans="1:4">
      <c r="A143" s="83"/>
      <c r="B143" s="83"/>
      <c r="C143" s="83"/>
      <c r="D143" s="82"/>
    </row>
    <row r="144" spans="1:4">
      <c r="A144" s="83"/>
      <c r="B144" s="83"/>
      <c r="C144" s="83"/>
      <c r="D144" s="82"/>
    </row>
    <row r="145" spans="1:4">
      <c r="A145" s="83"/>
      <c r="B145" s="83"/>
      <c r="C145" s="83"/>
      <c r="D145" s="82"/>
    </row>
    <row r="146" spans="1:4">
      <c r="A146" s="83"/>
      <c r="B146" s="83"/>
      <c r="C146" s="83"/>
      <c r="D146" s="82"/>
    </row>
    <row r="147" spans="1:4">
      <c r="A147" s="83"/>
      <c r="B147" s="83"/>
      <c r="C147" s="83"/>
      <c r="D147" s="82"/>
    </row>
    <row r="148" spans="1:4">
      <c r="A148" s="83"/>
      <c r="B148" s="83"/>
      <c r="C148" s="83"/>
      <c r="D148" s="82"/>
    </row>
    <row r="149" spans="1:4">
      <c r="A149" s="83"/>
      <c r="B149" s="83"/>
      <c r="C149" s="83"/>
      <c r="D149" s="82"/>
    </row>
    <row r="150" spans="1:4">
      <c r="A150" s="83"/>
      <c r="B150" s="83"/>
      <c r="C150" s="83"/>
      <c r="D150" s="83"/>
    </row>
    <row r="151" spans="1:4">
      <c r="A151" s="83"/>
      <c r="B151" s="83"/>
      <c r="C151" s="83"/>
      <c r="D151" s="83"/>
    </row>
    <row r="152" spans="1:4">
      <c r="A152" s="83"/>
      <c r="B152" s="83"/>
      <c r="C152" s="83"/>
      <c r="D152" s="83"/>
    </row>
    <row r="153" spans="1:4">
      <c r="A153" s="83"/>
      <c r="B153" s="83"/>
      <c r="C153" s="83"/>
      <c r="D153" s="83"/>
    </row>
    <row r="154" spans="1:4">
      <c r="A154" s="83"/>
      <c r="B154" s="83"/>
      <c r="C154" s="83"/>
      <c r="D154" s="83"/>
    </row>
    <row r="155" spans="1:4">
      <c r="A155" s="83"/>
      <c r="B155" s="83"/>
      <c r="C155" s="83"/>
      <c r="D155" s="83"/>
    </row>
    <row r="156" spans="1:4">
      <c r="A156" s="83"/>
      <c r="B156" s="83"/>
      <c r="C156" s="83"/>
      <c r="D156" s="83"/>
    </row>
    <row r="157" spans="1:4">
      <c r="A157" s="83"/>
      <c r="B157" s="83"/>
      <c r="C157" s="83"/>
      <c r="D157" s="83"/>
    </row>
  </sheetData>
  <mergeCells count="1">
    <mergeCell ref="A4:D4"/>
  </mergeCells>
  <pageMargins left="0.51181102362204722" right="0" top="0.15748031496062992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V153"/>
  <sheetViews>
    <sheetView topLeftCell="A7" zoomScale="80" zoomScaleNormal="80" zoomScaleSheetLayoutView="90" workbookViewId="0">
      <selection activeCell="I15" sqref="I15"/>
    </sheetView>
  </sheetViews>
  <sheetFormatPr defaultRowHeight="15" outlineLevelRow="1" outlineLevelCol="1"/>
  <cols>
    <col min="1" max="1" width="16" style="1" customWidth="1"/>
    <col min="2" max="2" width="18.140625" style="1" customWidth="1"/>
    <col min="3" max="3" width="17.7109375" style="1" customWidth="1"/>
    <col min="4" max="5" width="7.5703125" style="1" customWidth="1"/>
    <col min="6" max="6" width="9.85546875" style="1" bestFit="1" customWidth="1"/>
    <col min="7" max="7" width="8.42578125" style="1" customWidth="1"/>
    <col min="8" max="8" width="18.85546875" style="1" bestFit="1" customWidth="1"/>
    <col min="9" max="9" width="16.42578125" style="1" customWidth="1"/>
    <col min="10" max="10" width="16" style="1" bestFit="1" customWidth="1"/>
    <col min="11" max="11" width="15.5703125" style="1" customWidth="1"/>
    <col min="12" max="12" width="17.140625" style="1" customWidth="1"/>
    <col min="13" max="13" width="9.140625" hidden="1" customWidth="1" outlineLevel="1"/>
    <col min="14" max="14" width="18" hidden="1" customWidth="1" outlineLevel="1"/>
    <col min="15" max="16" width="10" hidden="1" customWidth="1" outlineLevel="1"/>
    <col min="17" max="17" width="12" bestFit="1" customWidth="1" collapsed="1"/>
    <col min="19" max="19" width="15.5703125" customWidth="1" outlineLevel="1"/>
    <col min="20" max="20" width="14.7109375" customWidth="1" outlineLevel="1"/>
    <col min="21" max="21" width="11.42578125" customWidth="1" outlineLevel="1"/>
    <col min="22" max="22" width="15.85546875" customWidth="1" outlineLevel="1"/>
  </cols>
  <sheetData>
    <row r="1" spans="1:12" hidden="1" outlineLevel="1">
      <c r="I1" s="1" t="s">
        <v>99</v>
      </c>
    </row>
    <row r="2" spans="1:12" hidden="1" outlineLevel="1">
      <c r="I2" s="1" t="s">
        <v>100</v>
      </c>
    </row>
    <row r="3" spans="1:12" ht="15.75" hidden="1" outlineLevel="1">
      <c r="I3" s="68" t="s">
        <v>141</v>
      </c>
    </row>
    <row r="4" spans="1:12" hidden="1" outlineLevel="1"/>
    <row r="5" spans="1:12" hidden="1" outlineLevel="1"/>
    <row r="6" spans="1:12" hidden="1" outlineLevel="1"/>
    <row r="7" spans="1:12" ht="15.75" collapsed="1">
      <c r="A7" s="10"/>
      <c r="H7" s="24"/>
      <c r="I7" s="24"/>
      <c r="J7" s="24" t="s">
        <v>35</v>
      </c>
      <c r="K7" s="24"/>
      <c r="L7" s="24"/>
    </row>
    <row r="8" spans="1:12" ht="15.75">
      <c r="A8" s="10"/>
      <c r="H8" s="24"/>
      <c r="I8" s="24"/>
      <c r="J8" s="24" t="s">
        <v>36</v>
      </c>
      <c r="K8" s="24"/>
      <c r="L8" s="24"/>
    </row>
    <row r="9" spans="1:12" ht="18.75">
      <c r="A9" s="10"/>
      <c r="C9" s="26"/>
      <c r="D9" s="10"/>
      <c r="F9" s="23"/>
      <c r="G9" s="23"/>
      <c r="H9" s="24"/>
      <c r="I9" s="24"/>
      <c r="J9" s="24" t="s">
        <v>191</v>
      </c>
      <c r="K9" s="24"/>
      <c r="L9" s="24"/>
    </row>
    <row r="10" spans="1:12" ht="15.75">
      <c r="H10" s="24"/>
      <c r="I10" s="24"/>
      <c r="J10" s="24"/>
      <c r="K10" s="24"/>
      <c r="L10" s="24"/>
    </row>
    <row r="11" spans="1:12" ht="18.75">
      <c r="H11" s="133"/>
      <c r="I11" s="133"/>
      <c r="J11" s="133"/>
      <c r="K11" s="133"/>
      <c r="L11" s="133"/>
    </row>
    <row r="12" spans="1:12" ht="23.25" customHeight="1">
      <c r="A12" s="113" t="s">
        <v>61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</row>
    <row r="14" spans="1:12" ht="23.25" customHeight="1">
      <c r="A14" s="126" t="s">
        <v>50</v>
      </c>
      <c r="B14" s="126" t="s">
        <v>0</v>
      </c>
      <c r="C14" s="126" t="s">
        <v>1</v>
      </c>
      <c r="D14" s="126" t="s">
        <v>2</v>
      </c>
      <c r="E14" s="126"/>
      <c r="F14" s="126"/>
      <c r="G14" s="126"/>
      <c r="H14" s="126" t="s">
        <v>7</v>
      </c>
      <c r="I14" s="126"/>
      <c r="J14" s="126"/>
      <c r="K14" s="126"/>
      <c r="L14" s="126"/>
    </row>
    <row r="15" spans="1:12" ht="36.75" customHeight="1">
      <c r="A15" s="126"/>
      <c r="B15" s="126"/>
      <c r="C15" s="126"/>
      <c r="D15" s="2" t="s">
        <v>3</v>
      </c>
      <c r="E15" s="2" t="s">
        <v>4</v>
      </c>
      <c r="F15" s="2" t="s">
        <v>5</v>
      </c>
      <c r="G15" s="2" t="s">
        <v>6</v>
      </c>
      <c r="H15" s="2">
        <v>2014</v>
      </c>
      <c r="I15" s="2">
        <v>2015</v>
      </c>
      <c r="J15" s="2">
        <v>2016</v>
      </c>
      <c r="K15" s="33">
        <v>2017</v>
      </c>
      <c r="L15" s="3" t="s">
        <v>8</v>
      </c>
    </row>
    <row r="16" spans="1:12" ht="15.75" thickBot="1">
      <c r="A16" s="34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>
        <v>8</v>
      </c>
      <c r="I16" s="34">
        <v>9</v>
      </c>
      <c r="J16" s="34">
        <v>10</v>
      </c>
      <c r="K16" s="34">
        <v>10</v>
      </c>
      <c r="L16" s="34">
        <v>11</v>
      </c>
    </row>
    <row r="17" spans="1:22" ht="45">
      <c r="A17" s="120" t="s">
        <v>9</v>
      </c>
      <c r="B17" s="125" t="s">
        <v>64</v>
      </c>
      <c r="C17" s="6" t="s">
        <v>10</v>
      </c>
      <c r="D17" s="35" t="s">
        <v>32</v>
      </c>
      <c r="E17" s="35" t="s">
        <v>32</v>
      </c>
      <c r="F17" s="35" t="s">
        <v>32</v>
      </c>
      <c r="G17" s="35" t="s">
        <v>32</v>
      </c>
      <c r="H17" s="59">
        <f>H20+H129+H137+H101</f>
        <v>755448.48894999991</v>
      </c>
      <c r="I17" s="59">
        <f>I20+I129+I137+I101</f>
        <v>540874.91999999993</v>
      </c>
      <c r="J17" s="59">
        <f>J20+J129+J137+J101</f>
        <v>539179.5199999999</v>
      </c>
      <c r="K17" s="46">
        <f>K20+K129+K137+K101</f>
        <v>539179.5199999999</v>
      </c>
      <c r="L17" s="47">
        <f>SUM(H17:K17)</f>
        <v>2374682.4489499996</v>
      </c>
      <c r="N17" s="15">
        <f>H22+H25+H29+H31+H33+H37+H46+H51+H52+H55+H58+H59+H60+H67+H69+H70+H71+H72+H73+H80+H81+H88+H89+H95+H96+H107+H129+H108+H109</f>
        <v>318596.11126000003</v>
      </c>
      <c r="O17" s="15">
        <f>I22+I25+I29+I31+I33+I37+I46+I51+I52+I55+I58+I59+I60+I67+I69+I70+I71+I72+I73+I80+I81+I88+I89+I95+I96+I107+I108+I109+I129</f>
        <v>297061.35099999991</v>
      </c>
      <c r="P17" s="15">
        <f>J22+J25+J29+J31+J33++J37+J46+J51+J52+J55+J58+J59+J60+J67+J69+J70+J71+J72+J73+J80+J81+J88+J89+J95+J96+J107+J108+J109+J129</f>
        <v>295365.95099999988</v>
      </c>
    </row>
    <row r="18" spans="1:22" ht="26.25" customHeight="1">
      <c r="A18" s="121"/>
      <c r="B18" s="126"/>
      <c r="C18" s="28" t="s">
        <v>65</v>
      </c>
      <c r="D18" s="9" t="s">
        <v>31</v>
      </c>
      <c r="E18" s="33" t="s">
        <v>32</v>
      </c>
      <c r="F18" s="33" t="s">
        <v>32</v>
      </c>
      <c r="G18" s="33" t="s">
        <v>32</v>
      </c>
      <c r="H18" s="48">
        <f>H17-H19</f>
        <v>560842.30611999985</v>
      </c>
      <c r="I18" s="48">
        <f t="shared" ref="I18:J18" si="0">I17-I19</f>
        <v>526469.86066999997</v>
      </c>
      <c r="J18" s="48">
        <f t="shared" si="0"/>
        <v>526515.86066999985</v>
      </c>
      <c r="K18" s="48">
        <f t="shared" ref="K18" si="1">K17-K19</f>
        <v>526515.86066999985</v>
      </c>
      <c r="L18" s="52">
        <f t="shared" ref="L18:L19" si="2">SUM(H18:K18)</f>
        <v>2140343.8881299994</v>
      </c>
      <c r="N18" s="15">
        <f>H17-N17</f>
        <v>436852.37768999988</v>
      </c>
      <c r="O18" s="15">
        <f>I17-O17</f>
        <v>243813.56900000002</v>
      </c>
      <c r="P18" s="15">
        <f>J17-P17</f>
        <v>243813.56900000002</v>
      </c>
    </row>
    <row r="19" spans="1:22" ht="28.5" customHeight="1" thickBot="1">
      <c r="A19" s="122"/>
      <c r="B19" s="127"/>
      <c r="C19" s="36" t="s">
        <v>66</v>
      </c>
      <c r="D19" s="37" t="s">
        <v>85</v>
      </c>
      <c r="E19" s="38" t="s">
        <v>32</v>
      </c>
      <c r="F19" s="38" t="s">
        <v>32</v>
      </c>
      <c r="G19" s="38" t="s">
        <v>32</v>
      </c>
      <c r="H19" s="49">
        <f>H100+H103+H136</f>
        <v>194606.18283000001</v>
      </c>
      <c r="I19" s="49">
        <f t="shared" ref="I19:K19" si="3">I100+I103+I136</f>
        <v>14405.059330000002</v>
      </c>
      <c r="J19" s="49">
        <f t="shared" si="3"/>
        <v>12663.659330000002</v>
      </c>
      <c r="K19" s="49">
        <f t="shared" si="3"/>
        <v>12663.659330000002</v>
      </c>
      <c r="L19" s="53">
        <f t="shared" si="2"/>
        <v>234338.56081999998</v>
      </c>
      <c r="N19" s="15">
        <f>N18-467.7-19759.8</f>
        <v>416624.87768999988</v>
      </c>
      <c r="O19" s="15">
        <f>O18-491.1-20846.6</f>
        <v>222475.86900000001</v>
      </c>
      <c r="P19" s="15">
        <f>P18-491.1-20846.6</f>
        <v>222475.86900000001</v>
      </c>
    </row>
    <row r="20" spans="1:22" ht="46.5" customHeight="1">
      <c r="A20" s="123" t="s">
        <v>11</v>
      </c>
      <c r="B20" s="124" t="s">
        <v>70</v>
      </c>
      <c r="C20" s="94" t="s">
        <v>39</v>
      </c>
      <c r="D20" s="95" t="s">
        <v>32</v>
      </c>
      <c r="E20" s="95" t="s">
        <v>32</v>
      </c>
      <c r="F20" s="95" t="s">
        <v>32</v>
      </c>
      <c r="G20" s="95" t="s">
        <v>32</v>
      </c>
      <c r="H20" s="97">
        <f>SUM(H21:H98)</f>
        <v>699581.98886999988</v>
      </c>
      <c r="I20" s="96">
        <f>SUM(I21:I98)</f>
        <v>488534.34566999995</v>
      </c>
      <c r="J20" s="96">
        <f>SUM(J21:J98)</f>
        <v>488534.34566999995</v>
      </c>
      <c r="K20" s="96">
        <f>SUM(K21:K98)</f>
        <v>488534.34566999995</v>
      </c>
      <c r="L20" s="93">
        <f>SUM(H20:K20)</f>
        <v>2165185.0258799996</v>
      </c>
      <c r="S20" t="s">
        <v>134</v>
      </c>
      <c r="T20" t="s">
        <v>135</v>
      </c>
      <c r="U20" t="s">
        <v>136</v>
      </c>
    </row>
    <row r="21" spans="1:22" ht="15" hidden="1" customHeight="1" outlineLevel="1">
      <c r="A21" s="123"/>
      <c r="B21" s="124"/>
      <c r="C21" s="4"/>
      <c r="D21" s="9" t="s">
        <v>31</v>
      </c>
      <c r="E21" s="9" t="s">
        <v>40</v>
      </c>
      <c r="F21" s="103" t="s">
        <v>79</v>
      </c>
      <c r="G21" s="8">
        <v>111</v>
      </c>
      <c r="H21" s="69">
        <f>2562.93553</f>
        <v>2562.9355300000002</v>
      </c>
      <c r="I21" s="51">
        <v>2705.6819999999998</v>
      </c>
      <c r="J21" s="51">
        <v>2705.6819999999998</v>
      </c>
      <c r="K21" s="51">
        <v>2705.6819999999998</v>
      </c>
      <c r="L21" s="104">
        <f>SUM(H21:K21)</f>
        <v>10679.981529999999</v>
      </c>
      <c r="S21" s="62">
        <f>H22+H25+H26+H29+H30+H31+H33+H35+H37+H39+H40+H41+H46+H51+H52+H53+H55+H58+H59+H60+H62+H63+H67+H69+H70+H72+H73+H74+H75+H76+H77+H78+H80+H81+H88+H89+H91+H92+H93+H95+H47+H48+H49+H64+H56</f>
        <v>506110.25685999996</v>
      </c>
      <c r="T21" s="62">
        <f>H21+H23+H24+H27+H28+H32+H34+H36+H38+H50+H54+H57+H61+H65+H66+H68+H79+H82+H83+H84+H90+H98+H85+H86+H87+H97</f>
        <v>171308.87201000005</v>
      </c>
      <c r="U21" s="64">
        <f>H42+H43+H44+H45</f>
        <v>22162.86</v>
      </c>
      <c r="V21" s="62">
        <f>S21+T21+U21</f>
        <v>699581.98887</v>
      </c>
    </row>
    <row r="22" spans="1:22" ht="15" hidden="1" customHeight="1" outlineLevel="1">
      <c r="A22" s="123"/>
      <c r="B22" s="124"/>
      <c r="C22" s="4"/>
      <c r="D22" s="9" t="s">
        <v>31</v>
      </c>
      <c r="E22" s="9" t="s">
        <v>40</v>
      </c>
      <c r="F22" s="9" t="s">
        <v>81</v>
      </c>
      <c r="G22" s="8">
        <v>111</v>
      </c>
      <c r="H22" s="69">
        <v>4105.473</v>
      </c>
      <c r="I22" s="57">
        <v>4279.6409999999996</v>
      </c>
      <c r="J22" s="57">
        <v>4279.6409999999996</v>
      </c>
      <c r="K22" s="57">
        <v>4279.6409999999996</v>
      </c>
      <c r="L22" s="106">
        <f t="shared" ref="L22:L85" si="4">SUM(H22:K22)</f>
        <v>16944.396000000001</v>
      </c>
    </row>
    <row r="23" spans="1:22" ht="15" hidden="1" customHeight="1" outlineLevel="1">
      <c r="A23" s="123"/>
      <c r="B23" s="124"/>
      <c r="C23" s="4"/>
      <c r="D23" s="9" t="s">
        <v>31</v>
      </c>
      <c r="E23" s="9" t="s">
        <v>40</v>
      </c>
      <c r="F23" s="103" t="s">
        <v>79</v>
      </c>
      <c r="G23" s="8">
        <v>112</v>
      </c>
      <c r="H23" s="69">
        <f>3+3.479</f>
        <v>6.4790000000000001</v>
      </c>
      <c r="I23" s="51">
        <v>1.56</v>
      </c>
      <c r="J23" s="51">
        <v>1.56</v>
      </c>
      <c r="K23" s="51">
        <v>1.56</v>
      </c>
      <c r="L23" s="104">
        <f t="shared" si="4"/>
        <v>11.159000000000001</v>
      </c>
    </row>
    <row r="24" spans="1:22" ht="15" hidden="1" customHeight="1" outlineLevel="1">
      <c r="A24" s="123"/>
      <c r="B24" s="124"/>
      <c r="C24" s="4"/>
      <c r="D24" s="9" t="s">
        <v>31</v>
      </c>
      <c r="E24" s="9" t="s">
        <v>40</v>
      </c>
      <c r="F24" s="103" t="s">
        <v>79</v>
      </c>
      <c r="G24" s="8">
        <v>244</v>
      </c>
      <c r="H24" s="69">
        <f>1414.22-105.52-30-30-180-3.479</f>
        <v>1065.221</v>
      </c>
      <c r="I24" s="51">
        <v>1064.1980000000001</v>
      </c>
      <c r="J24" s="51">
        <v>1064.1980000000001</v>
      </c>
      <c r="K24" s="51">
        <v>1064.1980000000001</v>
      </c>
      <c r="L24" s="104">
        <f t="shared" si="4"/>
        <v>4257.8150000000005</v>
      </c>
    </row>
    <row r="25" spans="1:22" ht="15" hidden="1" customHeight="1" outlineLevel="1">
      <c r="A25" s="123"/>
      <c r="B25" s="124"/>
      <c r="C25" s="4" t="s">
        <v>67</v>
      </c>
      <c r="D25" s="9" t="s">
        <v>31</v>
      </c>
      <c r="E25" s="9" t="s">
        <v>40</v>
      </c>
      <c r="F25" s="9" t="s">
        <v>80</v>
      </c>
      <c r="G25" s="8">
        <v>244</v>
      </c>
      <c r="H25" s="69">
        <v>652.11599999999999</v>
      </c>
      <c r="I25" s="57">
        <v>723.18399999999997</v>
      </c>
      <c r="J25" s="57">
        <v>723.18399999999997</v>
      </c>
      <c r="K25" s="57">
        <v>723.18399999999997</v>
      </c>
      <c r="L25" s="106">
        <f t="shared" si="4"/>
        <v>2821.6679999999997</v>
      </c>
    </row>
    <row r="26" spans="1:22" ht="15" hidden="1" customHeight="1" outlineLevel="1">
      <c r="A26" s="123"/>
      <c r="B26" s="124"/>
      <c r="C26" s="4"/>
      <c r="D26" s="9" t="s">
        <v>31</v>
      </c>
      <c r="E26" s="9" t="s">
        <v>40</v>
      </c>
      <c r="F26" s="9" t="s">
        <v>81</v>
      </c>
      <c r="G26" s="8">
        <v>244</v>
      </c>
      <c r="H26" s="69">
        <f>75.363+495.2</f>
        <v>570.56299999999999</v>
      </c>
      <c r="I26" s="57">
        <v>76.52</v>
      </c>
      <c r="J26" s="57">
        <v>76.52</v>
      </c>
      <c r="K26" s="57">
        <v>76.52</v>
      </c>
      <c r="L26" s="106">
        <f t="shared" si="4"/>
        <v>800.12299999999993</v>
      </c>
    </row>
    <row r="27" spans="1:22" ht="15" hidden="1" customHeight="1" outlineLevel="1">
      <c r="A27" s="123"/>
      <c r="B27" s="124"/>
      <c r="C27" s="4"/>
      <c r="D27" s="9" t="s">
        <v>31</v>
      </c>
      <c r="E27" s="9" t="s">
        <v>40</v>
      </c>
      <c r="F27" s="103" t="s">
        <v>79</v>
      </c>
      <c r="G27" s="8">
        <v>621</v>
      </c>
      <c r="H27" s="69">
        <f>16203.16565+69.26</f>
        <v>16272.425650000001</v>
      </c>
      <c r="I27" s="51">
        <v>20063.384999999998</v>
      </c>
      <c r="J27" s="51">
        <v>20063.384999999998</v>
      </c>
      <c r="K27" s="51">
        <v>20063.384999999998</v>
      </c>
      <c r="L27" s="104">
        <f t="shared" si="4"/>
        <v>76462.580649999989</v>
      </c>
    </row>
    <row r="28" spans="1:22" ht="15" hidden="1" customHeight="1" outlineLevel="1">
      <c r="A28" s="123"/>
      <c r="B28" s="124"/>
      <c r="C28" s="4"/>
      <c r="D28" s="9" t="s">
        <v>31</v>
      </c>
      <c r="E28" s="9" t="s">
        <v>40</v>
      </c>
      <c r="F28" s="103" t="s">
        <v>79</v>
      </c>
      <c r="G28" s="8">
        <v>622</v>
      </c>
      <c r="H28" s="69">
        <v>1545.749</v>
      </c>
      <c r="I28" s="51">
        <v>0</v>
      </c>
      <c r="J28" s="51">
        <v>0</v>
      </c>
      <c r="K28" s="86">
        <v>0</v>
      </c>
      <c r="L28" s="104">
        <f t="shared" si="4"/>
        <v>1545.749</v>
      </c>
    </row>
    <row r="29" spans="1:22" ht="15" hidden="1" customHeight="1" outlineLevel="1">
      <c r="A29" s="123"/>
      <c r="B29" s="124"/>
      <c r="C29" s="4"/>
      <c r="D29" s="9" t="s">
        <v>31</v>
      </c>
      <c r="E29" s="9" t="s">
        <v>40</v>
      </c>
      <c r="F29" s="9" t="s">
        <v>81</v>
      </c>
      <c r="G29" s="8">
        <v>621</v>
      </c>
      <c r="H29" s="69">
        <f>14742.592+2449.6</f>
        <v>17192.191999999999</v>
      </c>
      <c r="I29" s="57">
        <v>21752.135999999999</v>
      </c>
      <c r="J29" s="57">
        <v>21752.135999999999</v>
      </c>
      <c r="K29" s="57">
        <v>21752.135999999999</v>
      </c>
      <c r="L29" s="106">
        <f t="shared" si="4"/>
        <v>82448.599999999991</v>
      </c>
    </row>
    <row r="30" spans="1:22" ht="15" hidden="1" customHeight="1" outlineLevel="1">
      <c r="A30" s="123"/>
      <c r="B30" s="124"/>
      <c r="C30" s="4"/>
      <c r="D30" s="9" t="s">
        <v>31</v>
      </c>
      <c r="E30" s="9" t="s">
        <v>40</v>
      </c>
      <c r="F30" s="9" t="s">
        <v>81</v>
      </c>
      <c r="G30" s="8">
        <v>622</v>
      </c>
      <c r="H30" s="69">
        <v>66</v>
      </c>
      <c r="I30" s="57">
        <v>149</v>
      </c>
      <c r="J30" s="57">
        <v>149</v>
      </c>
      <c r="K30" s="57">
        <v>149</v>
      </c>
      <c r="L30" s="106">
        <f t="shared" si="4"/>
        <v>513</v>
      </c>
    </row>
    <row r="31" spans="1:22" ht="15" hidden="1" customHeight="1" outlineLevel="1">
      <c r="A31" s="123"/>
      <c r="B31" s="124"/>
      <c r="C31" s="4" t="s">
        <v>67</v>
      </c>
      <c r="D31" s="9" t="s">
        <v>31</v>
      </c>
      <c r="E31" s="9" t="s">
        <v>40</v>
      </c>
      <c r="F31" s="9" t="s">
        <v>80</v>
      </c>
      <c r="G31" s="8">
        <v>622</v>
      </c>
      <c r="H31" s="69">
        <v>112.63200000000001</v>
      </c>
      <c r="I31" s="57">
        <v>118.56</v>
      </c>
      <c r="J31" s="57">
        <v>118.56</v>
      </c>
      <c r="K31" s="57">
        <v>118.56</v>
      </c>
      <c r="L31" s="106">
        <f t="shared" si="4"/>
        <v>468.31200000000001</v>
      </c>
    </row>
    <row r="32" spans="1:22" ht="15" hidden="1" customHeight="1" outlineLevel="1">
      <c r="A32" s="123"/>
      <c r="B32" s="124"/>
      <c r="C32" s="4"/>
      <c r="D32" s="9" t="s">
        <v>31</v>
      </c>
      <c r="E32" s="9" t="s">
        <v>40</v>
      </c>
      <c r="F32" s="103" t="s">
        <v>79</v>
      </c>
      <c r="G32" s="8">
        <v>611</v>
      </c>
      <c r="H32" s="69">
        <f>59934.01913+348.724</f>
        <v>60282.743130000003</v>
      </c>
      <c r="I32" s="51">
        <v>72944.188999999998</v>
      </c>
      <c r="J32" s="51">
        <v>72944.188999999998</v>
      </c>
      <c r="K32" s="51">
        <v>72944.188999999998</v>
      </c>
      <c r="L32" s="104">
        <f t="shared" si="4"/>
        <v>279115.31013</v>
      </c>
    </row>
    <row r="33" spans="1:18" ht="15" hidden="1" customHeight="1" outlineLevel="1">
      <c r="A33" s="123"/>
      <c r="B33" s="124"/>
      <c r="C33" s="4"/>
      <c r="D33" s="9" t="s">
        <v>31</v>
      </c>
      <c r="E33" s="9" t="s">
        <v>40</v>
      </c>
      <c r="F33" s="9" t="s">
        <v>81</v>
      </c>
      <c r="G33" s="8">
        <v>611</v>
      </c>
      <c r="H33" s="69">
        <f>67592.735+4928.8</f>
        <v>72521.535000000003</v>
      </c>
      <c r="I33" s="57">
        <v>74761.281000000003</v>
      </c>
      <c r="J33" s="57">
        <v>74761.281000000003</v>
      </c>
      <c r="K33" s="57">
        <v>74761.281000000003</v>
      </c>
      <c r="L33" s="106">
        <f t="shared" si="4"/>
        <v>296805.37800000003</v>
      </c>
      <c r="N33" s="15">
        <f>H33+H29+H22+H52</f>
        <v>94419.819000000003</v>
      </c>
      <c r="O33" s="15">
        <f>I33+I29+I22+I52</f>
        <v>101414.781</v>
      </c>
      <c r="R33" s="105"/>
    </row>
    <row r="34" spans="1:18" ht="15" hidden="1" customHeight="1" outlineLevel="1">
      <c r="A34" s="123"/>
      <c r="B34" s="124"/>
      <c r="C34" s="4"/>
      <c r="D34" s="9" t="s">
        <v>31</v>
      </c>
      <c r="E34" s="9" t="s">
        <v>40</v>
      </c>
      <c r="F34" s="103" t="s">
        <v>79</v>
      </c>
      <c r="G34" s="8">
        <v>612</v>
      </c>
      <c r="H34" s="69">
        <v>1659.45866</v>
      </c>
      <c r="I34" s="29">
        <v>0</v>
      </c>
      <c r="J34" s="29">
        <v>0</v>
      </c>
      <c r="K34" s="88">
        <v>0</v>
      </c>
      <c r="L34" s="104">
        <f t="shared" si="4"/>
        <v>1659.45866</v>
      </c>
      <c r="N34" s="15"/>
      <c r="O34" s="15"/>
    </row>
    <row r="35" spans="1:18" ht="15" hidden="1" customHeight="1" outlineLevel="1">
      <c r="A35" s="123"/>
      <c r="B35" s="124"/>
      <c r="C35" s="4"/>
      <c r="D35" s="9" t="s">
        <v>31</v>
      </c>
      <c r="E35" s="9" t="s">
        <v>40</v>
      </c>
      <c r="F35" s="9" t="s">
        <v>81</v>
      </c>
      <c r="G35" s="8">
        <v>612</v>
      </c>
      <c r="H35" s="69">
        <v>476.52699999999999</v>
      </c>
      <c r="I35" s="57">
        <v>610.10799999999995</v>
      </c>
      <c r="J35" s="57">
        <v>610.10799999999995</v>
      </c>
      <c r="K35" s="57">
        <v>610.10799999999995</v>
      </c>
      <c r="L35" s="106">
        <f t="shared" si="4"/>
        <v>2306.8509999999997</v>
      </c>
    </row>
    <row r="36" spans="1:18" ht="15" hidden="1" customHeight="1" outlineLevel="1">
      <c r="A36" s="123"/>
      <c r="B36" s="124"/>
      <c r="C36" s="4"/>
      <c r="D36" s="9" t="s">
        <v>31</v>
      </c>
      <c r="E36" s="9" t="s">
        <v>40</v>
      </c>
      <c r="F36" s="9" t="s">
        <v>122</v>
      </c>
      <c r="G36" s="8">
        <v>612</v>
      </c>
      <c r="H36" s="69">
        <f>362.879+443.42346-54.405</f>
        <v>751.89746000000002</v>
      </c>
      <c r="I36" s="29">
        <v>0</v>
      </c>
      <c r="J36" s="29">
        <v>0</v>
      </c>
      <c r="K36" s="88"/>
      <c r="L36" s="45">
        <f t="shared" si="4"/>
        <v>751.89746000000002</v>
      </c>
    </row>
    <row r="37" spans="1:18" ht="15" hidden="1" customHeight="1" outlineLevel="1">
      <c r="A37" s="123"/>
      <c r="B37" s="124"/>
      <c r="C37" s="4" t="s">
        <v>67</v>
      </c>
      <c r="D37" s="9" t="s">
        <v>31</v>
      </c>
      <c r="E37" s="9" t="s">
        <v>40</v>
      </c>
      <c r="F37" s="9" t="s">
        <v>80</v>
      </c>
      <c r="G37" s="8">
        <v>612</v>
      </c>
      <c r="H37" s="69">
        <v>345.8</v>
      </c>
      <c r="I37" s="57">
        <v>308.25599999999997</v>
      </c>
      <c r="J37" s="57">
        <v>308.25599999999997</v>
      </c>
      <c r="K37" s="57">
        <v>308.25599999999997</v>
      </c>
      <c r="L37" s="106">
        <f t="shared" si="4"/>
        <v>1270.568</v>
      </c>
      <c r="N37" s="15">
        <f>H37+H31+H25</f>
        <v>1110.548</v>
      </c>
      <c r="O37" s="15">
        <f>I37+I31+I25</f>
        <v>1150</v>
      </c>
    </row>
    <row r="38" spans="1:18" ht="15" hidden="1" customHeight="1" outlineLevel="1">
      <c r="A38" s="123"/>
      <c r="B38" s="124"/>
      <c r="C38" s="4"/>
      <c r="D38" s="9" t="s">
        <v>31</v>
      </c>
      <c r="E38" s="9" t="s">
        <v>40</v>
      </c>
      <c r="F38" s="103" t="s">
        <v>79</v>
      </c>
      <c r="G38" s="8">
        <v>852</v>
      </c>
      <c r="H38" s="69">
        <f>2.1+30</f>
        <v>32.1</v>
      </c>
      <c r="I38" s="51">
        <v>1.0509999999999999</v>
      </c>
      <c r="J38" s="51">
        <v>1.0509999999999999</v>
      </c>
      <c r="K38" s="51">
        <v>1.0509999999999999</v>
      </c>
      <c r="L38" s="104">
        <f t="shared" si="4"/>
        <v>35.253000000000007</v>
      </c>
    </row>
    <row r="39" spans="1:18" ht="15" hidden="1" customHeight="1" outlineLevel="1">
      <c r="A39" s="123"/>
      <c r="B39" s="124"/>
      <c r="C39" s="4"/>
      <c r="D39" s="9" t="s">
        <v>31</v>
      </c>
      <c r="E39" s="9" t="s">
        <v>40</v>
      </c>
      <c r="F39" s="9" t="s">
        <v>104</v>
      </c>
      <c r="G39" s="8">
        <v>111</v>
      </c>
      <c r="H39" s="69">
        <f>85.25867+46.16+13.59285</f>
        <v>145.01151999999999</v>
      </c>
      <c r="I39" s="57">
        <v>0</v>
      </c>
      <c r="J39" s="57">
        <v>0</v>
      </c>
      <c r="K39" s="89">
        <v>0</v>
      </c>
      <c r="L39" s="45">
        <f t="shared" si="4"/>
        <v>145.01151999999999</v>
      </c>
    </row>
    <row r="40" spans="1:18" ht="15" hidden="1" customHeight="1" outlineLevel="1">
      <c r="A40" s="123"/>
      <c r="B40" s="124"/>
      <c r="C40" s="4"/>
      <c r="D40" s="9" t="s">
        <v>31</v>
      </c>
      <c r="E40" s="9" t="s">
        <v>40</v>
      </c>
      <c r="F40" s="9" t="s">
        <v>104</v>
      </c>
      <c r="G40" s="8">
        <v>611</v>
      </c>
      <c r="H40" s="69">
        <f>2600-57.81+14.45222</f>
        <v>2556.6422200000002</v>
      </c>
      <c r="I40" s="57">
        <v>0</v>
      </c>
      <c r="J40" s="57">
        <v>0</v>
      </c>
      <c r="K40" s="89">
        <v>0</v>
      </c>
      <c r="L40" s="45">
        <f t="shared" si="4"/>
        <v>2556.6422200000002</v>
      </c>
    </row>
    <row r="41" spans="1:18" ht="15" hidden="1" customHeight="1" outlineLevel="1">
      <c r="A41" s="123"/>
      <c r="B41" s="124"/>
      <c r="C41" s="4"/>
      <c r="D41" s="9" t="s">
        <v>31</v>
      </c>
      <c r="E41" s="9" t="s">
        <v>40</v>
      </c>
      <c r="F41" s="9" t="s">
        <v>104</v>
      </c>
      <c r="G41" s="8">
        <v>621</v>
      </c>
      <c r="H41" s="69">
        <f>685.671+26.23</f>
        <v>711.90100000000007</v>
      </c>
      <c r="I41" s="57">
        <v>0</v>
      </c>
      <c r="J41" s="57">
        <v>0</v>
      </c>
      <c r="K41" s="89">
        <v>0</v>
      </c>
      <c r="L41" s="45">
        <f t="shared" si="4"/>
        <v>711.90100000000007</v>
      </c>
    </row>
    <row r="42" spans="1:18" ht="15" hidden="1" customHeight="1" outlineLevel="1">
      <c r="A42" s="123"/>
      <c r="B42" s="124"/>
      <c r="C42" s="4"/>
      <c r="D42" s="9" t="s">
        <v>31</v>
      </c>
      <c r="E42" s="9" t="s">
        <v>40</v>
      </c>
      <c r="F42" s="9" t="s">
        <v>72</v>
      </c>
      <c r="G42" s="8"/>
      <c r="H42" s="30">
        <f>431.199+157.953+314.908+700</f>
        <v>1604.06</v>
      </c>
      <c r="I42" s="58">
        <v>1604.06</v>
      </c>
      <c r="J42" s="58">
        <v>1604.06</v>
      </c>
      <c r="K42" s="58">
        <v>1604.06</v>
      </c>
      <c r="L42" s="45">
        <f t="shared" si="4"/>
        <v>6416.24</v>
      </c>
    </row>
    <row r="43" spans="1:18" ht="15" hidden="1" customHeight="1" outlineLevel="1">
      <c r="A43" s="123"/>
      <c r="B43" s="124"/>
      <c r="C43" s="4"/>
      <c r="D43" s="9" t="s">
        <v>31</v>
      </c>
      <c r="E43" s="9" t="s">
        <v>40</v>
      </c>
      <c r="F43" s="9" t="s">
        <v>73</v>
      </c>
      <c r="G43" s="8"/>
      <c r="H43" s="30">
        <v>19759.8</v>
      </c>
      <c r="I43" s="58">
        <v>22706.16</v>
      </c>
      <c r="J43" s="58">
        <v>22706.16</v>
      </c>
      <c r="K43" s="58">
        <v>22706.16</v>
      </c>
      <c r="L43" s="45">
        <f t="shared" si="4"/>
        <v>87878.28</v>
      </c>
    </row>
    <row r="44" spans="1:18" ht="15" hidden="1" customHeight="1" outlineLevel="1">
      <c r="A44" s="123"/>
      <c r="B44" s="124"/>
      <c r="C44" s="4"/>
      <c r="D44" s="9" t="s">
        <v>31</v>
      </c>
      <c r="E44" s="9" t="s">
        <v>40</v>
      </c>
      <c r="F44" s="9" t="s">
        <v>139</v>
      </c>
      <c r="G44" s="8" t="s">
        <v>140</v>
      </c>
      <c r="H44" s="30">
        <v>599</v>
      </c>
      <c r="I44" s="58">
        <v>0</v>
      </c>
      <c r="J44" s="58">
        <v>0</v>
      </c>
      <c r="K44" s="91">
        <v>0</v>
      </c>
      <c r="L44" s="45">
        <f t="shared" si="4"/>
        <v>599</v>
      </c>
    </row>
    <row r="45" spans="1:18" ht="15" hidden="1" customHeight="1" outlineLevel="1">
      <c r="A45" s="123"/>
      <c r="B45" s="124"/>
      <c r="C45" s="4"/>
      <c r="D45" s="9" t="s">
        <v>31</v>
      </c>
      <c r="E45" s="9" t="s">
        <v>41</v>
      </c>
      <c r="F45" s="9" t="s">
        <v>139</v>
      </c>
      <c r="G45" s="8" t="s">
        <v>140</v>
      </c>
      <c r="H45" s="30">
        <v>200</v>
      </c>
      <c r="I45" s="30">
        <v>0</v>
      </c>
      <c r="J45" s="30">
        <v>0</v>
      </c>
      <c r="K45" s="90">
        <v>0</v>
      </c>
      <c r="L45" s="45">
        <f t="shared" si="4"/>
        <v>200</v>
      </c>
    </row>
    <row r="46" spans="1:18" ht="15" hidden="1" customHeight="1" outlineLevel="1">
      <c r="A46" s="123"/>
      <c r="B46" s="124"/>
      <c r="C46" s="4"/>
      <c r="D46" s="9" t="s">
        <v>31</v>
      </c>
      <c r="E46" s="9" t="s">
        <v>37</v>
      </c>
      <c r="F46" s="9" t="s">
        <v>86</v>
      </c>
      <c r="G46" s="8">
        <v>622</v>
      </c>
      <c r="H46" s="69">
        <f>40590+15000</f>
        <v>55590</v>
      </c>
      <c r="I46" s="57">
        <v>0</v>
      </c>
      <c r="J46" s="57">
        <v>0</v>
      </c>
      <c r="K46" s="89">
        <v>0</v>
      </c>
      <c r="L46" s="45">
        <f t="shared" si="4"/>
        <v>55590</v>
      </c>
    </row>
    <row r="47" spans="1:18" ht="15" hidden="1" customHeight="1" outlineLevel="1">
      <c r="A47" s="123"/>
      <c r="B47" s="124"/>
      <c r="C47" s="4"/>
      <c r="D47" s="9" t="s">
        <v>31</v>
      </c>
      <c r="E47" s="9" t="s">
        <v>37</v>
      </c>
      <c r="F47" s="9" t="s">
        <v>137</v>
      </c>
      <c r="G47" s="8">
        <v>612</v>
      </c>
      <c r="H47" s="69">
        <v>623.79999999999995</v>
      </c>
      <c r="I47" s="57">
        <v>0</v>
      </c>
      <c r="J47" s="57">
        <v>0</v>
      </c>
      <c r="K47" s="89">
        <v>0</v>
      </c>
      <c r="L47" s="45">
        <f t="shared" si="4"/>
        <v>623.79999999999995</v>
      </c>
    </row>
    <row r="48" spans="1:18" ht="15" hidden="1" customHeight="1" outlineLevel="1">
      <c r="A48" s="123"/>
      <c r="B48" s="124"/>
      <c r="C48" s="4"/>
      <c r="D48" s="9" t="s">
        <v>31</v>
      </c>
      <c r="E48" s="9" t="s">
        <v>37</v>
      </c>
      <c r="F48" s="9" t="s">
        <v>137</v>
      </c>
      <c r="G48" s="8">
        <v>622</v>
      </c>
      <c r="H48" s="69">
        <v>1986.1</v>
      </c>
      <c r="I48" s="57">
        <v>0</v>
      </c>
      <c r="J48" s="57">
        <v>0</v>
      </c>
      <c r="K48" s="89">
        <v>0</v>
      </c>
      <c r="L48" s="45">
        <f t="shared" si="4"/>
        <v>1986.1</v>
      </c>
    </row>
    <row r="49" spans="1:12" ht="15" hidden="1" customHeight="1" outlineLevel="1">
      <c r="A49" s="123"/>
      <c r="B49" s="124"/>
      <c r="C49" s="4"/>
      <c r="D49" s="9" t="s">
        <v>31</v>
      </c>
      <c r="E49" s="9" t="s">
        <v>37</v>
      </c>
      <c r="F49" s="9" t="s">
        <v>137</v>
      </c>
      <c r="G49" s="8">
        <v>244</v>
      </c>
      <c r="H49" s="69">
        <v>650.5</v>
      </c>
      <c r="I49" s="57">
        <v>0</v>
      </c>
      <c r="J49" s="57">
        <v>0</v>
      </c>
      <c r="K49" s="89">
        <v>0</v>
      </c>
      <c r="L49" s="45">
        <f t="shared" si="4"/>
        <v>650.5</v>
      </c>
    </row>
    <row r="50" spans="1:12" ht="15" hidden="1" customHeight="1" outlineLevel="1">
      <c r="A50" s="123"/>
      <c r="B50" s="124"/>
      <c r="C50" s="4"/>
      <c r="D50" s="9" t="s">
        <v>31</v>
      </c>
      <c r="E50" s="9" t="s">
        <v>41</v>
      </c>
      <c r="F50" s="103" t="s">
        <v>79</v>
      </c>
      <c r="G50" s="8">
        <v>111</v>
      </c>
      <c r="H50" s="69">
        <f>3280.92706+208-40.45-51.56</f>
        <v>3396.9170600000002</v>
      </c>
      <c r="I50" s="51">
        <v>3881.7489999999998</v>
      </c>
      <c r="J50" s="51">
        <v>3881.7489999999998</v>
      </c>
      <c r="K50" s="51">
        <v>3881.7489999999998</v>
      </c>
      <c r="L50" s="104">
        <f t="shared" si="4"/>
        <v>15042.164059999999</v>
      </c>
    </row>
    <row r="51" spans="1:12" ht="15" hidden="1" customHeight="1" outlineLevel="1">
      <c r="A51" s="123"/>
      <c r="B51" s="124"/>
      <c r="C51" s="4"/>
      <c r="D51" s="9" t="s">
        <v>31</v>
      </c>
      <c r="E51" s="9" t="s">
        <v>41</v>
      </c>
      <c r="F51" s="9" t="s">
        <v>83</v>
      </c>
      <c r="G51" s="8">
        <v>111</v>
      </c>
      <c r="H51" s="69">
        <f>6219.329-155.99</f>
        <v>6063.3389999999999</v>
      </c>
      <c r="I51" s="57">
        <v>6530.7161100000003</v>
      </c>
      <c r="J51" s="57">
        <v>6530.7161100000003</v>
      </c>
      <c r="K51" s="57">
        <v>6530.7161100000003</v>
      </c>
      <c r="L51" s="106">
        <f t="shared" si="4"/>
        <v>25655.487330000004</v>
      </c>
    </row>
    <row r="52" spans="1:12" ht="15" hidden="1" customHeight="1" outlineLevel="1">
      <c r="A52" s="123"/>
      <c r="B52" s="124"/>
      <c r="C52" s="4"/>
      <c r="D52" s="9" t="s">
        <v>31</v>
      </c>
      <c r="E52" s="9" t="s">
        <v>41</v>
      </c>
      <c r="F52" s="9" t="s">
        <v>81</v>
      </c>
      <c r="G52" s="8">
        <v>111</v>
      </c>
      <c r="H52" s="69">
        <v>600.61900000000003</v>
      </c>
      <c r="I52" s="57">
        <v>621.72299999999996</v>
      </c>
      <c r="J52" s="57">
        <v>621.72299999999996</v>
      </c>
      <c r="K52" s="57">
        <v>621.72299999999996</v>
      </c>
      <c r="L52" s="106">
        <f t="shared" si="4"/>
        <v>2465.788</v>
      </c>
    </row>
    <row r="53" spans="1:12" ht="15" hidden="1" customHeight="1" outlineLevel="1">
      <c r="A53" s="123"/>
      <c r="B53" s="124"/>
      <c r="C53" s="4"/>
      <c r="D53" s="9" t="s">
        <v>31</v>
      </c>
      <c r="E53" s="9" t="s">
        <v>41</v>
      </c>
      <c r="F53" s="9" t="s">
        <v>81</v>
      </c>
      <c r="G53" s="8">
        <v>244</v>
      </c>
      <c r="H53" s="69">
        <v>17.390999999999998</v>
      </c>
      <c r="I53" s="57">
        <v>17.390999999999998</v>
      </c>
      <c r="J53" s="57">
        <v>17.390999999999998</v>
      </c>
      <c r="K53" s="57">
        <v>17.390999999999998</v>
      </c>
      <c r="L53" s="106">
        <f t="shared" si="4"/>
        <v>69.563999999999993</v>
      </c>
    </row>
    <row r="54" spans="1:12" ht="15" hidden="1" customHeight="1" outlineLevel="1">
      <c r="A54" s="123"/>
      <c r="B54" s="124"/>
      <c r="C54" s="4"/>
      <c r="D54" s="9" t="s">
        <v>31</v>
      </c>
      <c r="E54" s="9" t="s">
        <v>41</v>
      </c>
      <c r="F54" s="103" t="s">
        <v>79</v>
      </c>
      <c r="G54" s="8">
        <v>112</v>
      </c>
      <c r="H54" s="69">
        <f>6.04-0.00777</f>
        <v>6.0322300000000002</v>
      </c>
      <c r="I54" s="51">
        <v>1.56</v>
      </c>
      <c r="J54" s="51">
        <v>1.56</v>
      </c>
      <c r="K54" s="51">
        <v>1.56</v>
      </c>
      <c r="L54" s="104">
        <f t="shared" si="4"/>
        <v>10.712230000000002</v>
      </c>
    </row>
    <row r="55" spans="1:12" ht="15" hidden="1" customHeight="1" outlineLevel="1">
      <c r="A55" s="123"/>
      <c r="B55" s="124"/>
      <c r="C55" s="4"/>
      <c r="D55" s="9" t="s">
        <v>31</v>
      </c>
      <c r="E55" s="9" t="s">
        <v>41</v>
      </c>
      <c r="F55" s="9" t="s">
        <v>83</v>
      </c>
      <c r="G55" s="8">
        <v>112</v>
      </c>
      <c r="H55" s="69">
        <v>30.75</v>
      </c>
      <c r="I55" s="57">
        <v>36.503999999999998</v>
      </c>
      <c r="J55" s="57">
        <v>36.503999999999998</v>
      </c>
      <c r="K55" s="57">
        <v>36.503999999999998</v>
      </c>
      <c r="L55" s="106">
        <f t="shared" si="4"/>
        <v>140.26199999999997</v>
      </c>
    </row>
    <row r="56" spans="1:12" ht="15" hidden="1" customHeight="1" outlineLevel="1">
      <c r="A56" s="123"/>
      <c r="B56" s="124"/>
      <c r="C56" s="4"/>
      <c r="D56" s="9" t="s">
        <v>31</v>
      </c>
      <c r="E56" s="9" t="s">
        <v>41</v>
      </c>
      <c r="F56" s="9" t="s">
        <v>80</v>
      </c>
      <c r="G56" s="8">
        <v>112</v>
      </c>
      <c r="H56" s="69">
        <v>3.952</v>
      </c>
      <c r="I56" s="57">
        <v>0</v>
      </c>
      <c r="J56" s="57">
        <v>0</v>
      </c>
      <c r="K56" s="89">
        <v>0</v>
      </c>
      <c r="L56" s="106">
        <f t="shared" si="4"/>
        <v>3.952</v>
      </c>
    </row>
    <row r="57" spans="1:12" ht="15" hidden="1" customHeight="1" outlineLevel="1">
      <c r="A57" s="123"/>
      <c r="B57" s="124"/>
      <c r="C57" s="4"/>
      <c r="D57" s="9" t="s">
        <v>31</v>
      </c>
      <c r="E57" s="9" t="s">
        <v>41</v>
      </c>
      <c r="F57" s="103" t="s">
        <v>79</v>
      </c>
      <c r="G57" s="8">
        <v>244</v>
      </c>
      <c r="H57" s="69">
        <f>4713.90117-50-69.52+132.14834-0.00018</f>
        <v>4726.5293299999994</v>
      </c>
      <c r="I57" s="51">
        <v>4470.3119999999999</v>
      </c>
      <c r="J57" s="51">
        <v>4470.3119999999999</v>
      </c>
      <c r="K57" s="51">
        <v>4470.3119999999999</v>
      </c>
      <c r="L57" s="104">
        <f t="shared" si="4"/>
        <v>18137.465329999999</v>
      </c>
    </row>
    <row r="58" spans="1:12" ht="15" hidden="1" customHeight="1" outlineLevel="1">
      <c r="A58" s="123"/>
      <c r="B58" s="124"/>
      <c r="C58" s="4"/>
      <c r="D58" s="9" t="s">
        <v>31</v>
      </c>
      <c r="E58" s="9" t="s">
        <v>41</v>
      </c>
      <c r="F58" s="9" t="s">
        <v>83</v>
      </c>
      <c r="G58" s="8">
        <v>244</v>
      </c>
      <c r="H58" s="69">
        <v>291.91300000000001</v>
      </c>
      <c r="I58" s="57">
        <v>7608.6638400000002</v>
      </c>
      <c r="J58" s="57">
        <v>7608.6638400000002</v>
      </c>
      <c r="K58" s="57">
        <v>7608.6638400000002</v>
      </c>
      <c r="L58" s="106">
        <f t="shared" si="4"/>
        <v>23117.90452</v>
      </c>
    </row>
    <row r="59" spans="1:12" ht="15" hidden="1" customHeight="1" outlineLevel="1">
      <c r="A59" s="123"/>
      <c r="B59" s="124"/>
      <c r="C59" s="4"/>
      <c r="D59" s="9" t="s">
        <v>31</v>
      </c>
      <c r="E59" s="9" t="s">
        <v>71</v>
      </c>
      <c r="F59" s="9" t="s">
        <v>93</v>
      </c>
      <c r="G59" s="8">
        <v>244</v>
      </c>
      <c r="H59" s="69">
        <f>2083.985-1620.3</f>
        <v>463.68500000000017</v>
      </c>
      <c r="I59" s="108">
        <v>1971.23</v>
      </c>
      <c r="J59" s="108">
        <v>1971.23</v>
      </c>
      <c r="K59" s="108">
        <v>1971.23</v>
      </c>
      <c r="L59" s="109">
        <f t="shared" si="4"/>
        <v>6377.375</v>
      </c>
    </row>
    <row r="60" spans="1:12" ht="15" hidden="1" customHeight="1" outlineLevel="1">
      <c r="A60" s="123"/>
      <c r="B60" s="124"/>
      <c r="C60" s="4"/>
      <c r="D60" s="9" t="s">
        <v>31</v>
      </c>
      <c r="E60" s="9" t="s">
        <v>42</v>
      </c>
      <c r="F60" s="9" t="s">
        <v>92</v>
      </c>
      <c r="G60" s="8">
        <v>244</v>
      </c>
      <c r="H60" s="69">
        <v>125.294</v>
      </c>
      <c r="I60" s="57">
        <v>125.294</v>
      </c>
      <c r="J60" s="57">
        <v>125.294</v>
      </c>
      <c r="K60" s="57">
        <v>125.294</v>
      </c>
      <c r="L60" s="106">
        <f t="shared" si="4"/>
        <v>501.17599999999999</v>
      </c>
    </row>
    <row r="61" spans="1:12" ht="15" hidden="1" customHeight="1" outlineLevel="1">
      <c r="A61" s="123"/>
      <c r="B61" s="124"/>
      <c r="C61" s="4"/>
      <c r="D61" s="9" t="s">
        <v>31</v>
      </c>
      <c r="E61" s="9" t="s">
        <v>42</v>
      </c>
      <c r="F61" s="9" t="s">
        <v>106</v>
      </c>
      <c r="G61" s="8">
        <v>244</v>
      </c>
      <c r="H61" s="69">
        <v>1.6706700000000001</v>
      </c>
      <c r="I61" s="51">
        <v>1.6706700000000001</v>
      </c>
      <c r="J61" s="51">
        <v>1.6706700000000001</v>
      </c>
      <c r="K61" s="51">
        <v>1.6706700000000001</v>
      </c>
      <c r="L61" s="107">
        <f t="shared" si="4"/>
        <v>6.6826800000000004</v>
      </c>
    </row>
    <row r="62" spans="1:12" ht="15" hidden="1" customHeight="1" outlineLevel="1">
      <c r="A62" s="123"/>
      <c r="B62" s="124"/>
      <c r="C62" s="4" t="s">
        <v>109</v>
      </c>
      <c r="D62" s="9" t="s">
        <v>85</v>
      </c>
      <c r="E62" s="9" t="s">
        <v>37</v>
      </c>
      <c r="F62" s="9" t="s">
        <v>86</v>
      </c>
      <c r="G62" s="8">
        <v>244</v>
      </c>
      <c r="H62" s="69">
        <v>3350.55206</v>
      </c>
      <c r="I62" s="57">
        <v>0</v>
      </c>
      <c r="J62" s="57">
        <v>0</v>
      </c>
      <c r="K62" s="89">
        <v>0</v>
      </c>
      <c r="L62" s="45">
        <f t="shared" si="4"/>
        <v>3350.55206</v>
      </c>
    </row>
    <row r="63" spans="1:12" ht="15" hidden="1" customHeight="1" outlineLevel="1">
      <c r="A63" s="123"/>
      <c r="B63" s="124"/>
      <c r="C63" s="4"/>
      <c r="D63" s="9" t="s">
        <v>85</v>
      </c>
      <c r="E63" s="9" t="s">
        <v>37</v>
      </c>
      <c r="F63" s="9" t="s">
        <v>133</v>
      </c>
      <c r="G63" s="8">
        <v>244</v>
      </c>
      <c r="H63" s="69">
        <v>8568.6</v>
      </c>
      <c r="I63" s="57">
        <v>0</v>
      </c>
      <c r="J63" s="57">
        <v>0</v>
      </c>
      <c r="K63" s="89">
        <v>0</v>
      </c>
      <c r="L63" s="45">
        <f t="shared" si="4"/>
        <v>8568.6</v>
      </c>
    </row>
    <row r="64" spans="1:12" ht="15" hidden="1" customHeight="1" outlineLevel="1">
      <c r="A64" s="123"/>
      <c r="B64" s="124"/>
      <c r="C64" s="4"/>
      <c r="D64" s="9" t="s">
        <v>85</v>
      </c>
      <c r="E64" s="9" t="s">
        <v>37</v>
      </c>
      <c r="F64" s="9" t="s">
        <v>133</v>
      </c>
      <c r="G64" s="8">
        <v>412</v>
      </c>
      <c r="H64" s="69">
        <v>162649.20000000001</v>
      </c>
      <c r="I64" s="57">
        <v>0</v>
      </c>
      <c r="J64" s="57">
        <v>0</v>
      </c>
      <c r="K64" s="89">
        <v>0</v>
      </c>
      <c r="L64" s="45">
        <f t="shared" si="4"/>
        <v>162649.20000000001</v>
      </c>
    </row>
    <row r="65" spans="1:15" ht="15" hidden="1" customHeight="1" outlineLevel="1">
      <c r="A65" s="123"/>
      <c r="B65" s="124"/>
      <c r="C65" s="4"/>
      <c r="D65" s="9" t="s">
        <v>31</v>
      </c>
      <c r="E65" s="9" t="s">
        <v>41</v>
      </c>
      <c r="F65" s="103" t="s">
        <v>79</v>
      </c>
      <c r="G65" s="8">
        <v>611</v>
      </c>
      <c r="H65" s="69">
        <f>61606.91-2369.8-78.76228-297.2-1267.00672-492-98.90052-401.134</f>
        <v>56602.106480000002</v>
      </c>
      <c r="I65" s="51">
        <v>58054.786999999997</v>
      </c>
      <c r="J65" s="51">
        <v>58054.786999999997</v>
      </c>
      <c r="K65" s="51">
        <v>58054.786999999997</v>
      </c>
      <c r="L65" s="104">
        <f t="shared" si="4"/>
        <v>230766.46747999999</v>
      </c>
    </row>
    <row r="66" spans="1:15" ht="15" hidden="1" customHeight="1" outlineLevel="1">
      <c r="A66" s="123"/>
      <c r="B66" s="124"/>
      <c r="C66" s="4"/>
      <c r="D66" s="9" t="s">
        <v>31</v>
      </c>
      <c r="E66" s="9" t="s">
        <v>41</v>
      </c>
      <c r="F66" s="103" t="s">
        <v>79</v>
      </c>
      <c r="G66" s="8">
        <v>612</v>
      </c>
      <c r="H66" s="69">
        <f>300+931.99003+98.90052+119.3</f>
        <v>1450.1905499999998</v>
      </c>
      <c r="I66" s="51">
        <v>142.19999999999999</v>
      </c>
      <c r="J66" s="51">
        <v>142.19999999999999</v>
      </c>
      <c r="K66" s="51">
        <v>142.19999999999999</v>
      </c>
      <c r="L66" s="104">
        <f t="shared" si="4"/>
        <v>1876.7905499999999</v>
      </c>
    </row>
    <row r="67" spans="1:15" ht="15" hidden="1" customHeight="1" outlineLevel="1">
      <c r="A67" s="123"/>
      <c r="B67" s="124"/>
      <c r="C67" s="4"/>
      <c r="D67" s="9" t="s">
        <v>31</v>
      </c>
      <c r="E67" s="9" t="s">
        <v>41</v>
      </c>
      <c r="F67" s="9" t="s">
        <v>83</v>
      </c>
      <c r="G67" s="8">
        <v>611</v>
      </c>
      <c r="H67" s="69">
        <f>119429.639-4999.28</f>
        <v>114430.359</v>
      </c>
      <c r="I67" s="57">
        <v>125562.92995999999</v>
      </c>
      <c r="J67" s="57">
        <v>125562.92995999999</v>
      </c>
      <c r="K67" s="57">
        <v>125562.92995999999</v>
      </c>
      <c r="L67" s="106">
        <f t="shared" si="4"/>
        <v>491119.14887999994</v>
      </c>
      <c r="N67" s="15">
        <f>H67+H69+H58+H55+H51+H80+H81</f>
        <v>149618.79999999999</v>
      </c>
      <c r="O67" s="15">
        <f>I67+I69+I80+I81+I51+I55+I58</f>
        <v>171440.4</v>
      </c>
    </row>
    <row r="68" spans="1:15" ht="15" hidden="1" customHeight="1" outlineLevel="1">
      <c r="A68" s="123"/>
      <c r="B68" s="124"/>
      <c r="C68" s="4"/>
      <c r="D68" s="9" t="s">
        <v>31</v>
      </c>
      <c r="E68" s="9" t="s">
        <v>41</v>
      </c>
      <c r="F68" s="9" t="s">
        <v>122</v>
      </c>
      <c r="G68" s="8">
        <v>612</v>
      </c>
      <c r="H68" s="69">
        <f>637.121+2163.07426+39.52612</f>
        <v>2839.72138</v>
      </c>
      <c r="I68" s="51">
        <v>0</v>
      </c>
      <c r="J68" s="51">
        <v>0</v>
      </c>
      <c r="K68" s="86">
        <v>0</v>
      </c>
      <c r="L68" s="45">
        <f t="shared" si="4"/>
        <v>2839.72138</v>
      </c>
    </row>
    <row r="69" spans="1:15" ht="15" hidden="1" customHeight="1" outlineLevel="1">
      <c r="A69" s="123"/>
      <c r="B69" s="124"/>
      <c r="C69" s="4"/>
      <c r="D69" s="9" t="s">
        <v>31</v>
      </c>
      <c r="E69" s="9" t="s">
        <v>41</v>
      </c>
      <c r="F69" s="9" t="s">
        <v>83</v>
      </c>
      <c r="G69" s="8">
        <v>612</v>
      </c>
      <c r="H69" s="69">
        <v>2185.6950000000002</v>
      </c>
      <c r="I69" s="57">
        <v>2055.5320000000002</v>
      </c>
      <c r="J69" s="57">
        <v>2055.5320000000002</v>
      </c>
      <c r="K69" s="57">
        <v>2055.5320000000002</v>
      </c>
      <c r="L69" s="106">
        <f t="shared" si="4"/>
        <v>8352.2910000000011</v>
      </c>
    </row>
    <row r="70" spans="1:15" ht="15" hidden="1" customHeight="1" outlineLevel="1">
      <c r="A70" s="123"/>
      <c r="B70" s="124"/>
      <c r="C70" s="4" t="s">
        <v>130</v>
      </c>
      <c r="D70" s="9" t="s">
        <v>31</v>
      </c>
      <c r="E70" s="9" t="s">
        <v>41</v>
      </c>
      <c r="F70" s="9" t="s">
        <v>131</v>
      </c>
      <c r="G70" s="8">
        <v>111</v>
      </c>
      <c r="H70" s="69">
        <f>7.35168+2.22021</f>
        <v>9.5718899999999998</v>
      </c>
      <c r="I70" s="56">
        <v>0</v>
      </c>
      <c r="J70" s="56">
        <v>0</v>
      </c>
      <c r="K70" s="87">
        <v>0</v>
      </c>
      <c r="L70" s="45">
        <f t="shared" si="4"/>
        <v>9.5718899999999998</v>
      </c>
    </row>
    <row r="71" spans="1:15" ht="15" hidden="1" customHeight="1" outlineLevel="1">
      <c r="A71" s="123"/>
      <c r="B71" s="124"/>
      <c r="C71" s="4"/>
      <c r="D71" s="9" t="s">
        <v>31</v>
      </c>
      <c r="E71" s="9"/>
      <c r="F71" s="9"/>
      <c r="G71" s="8"/>
      <c r="H71" s="29"/>
      <c r="I71" s="29"/>
      <c r="J71" s="29"/>
      <c r="K71" s="88"/>
      <c r="L71" s="45">
        <f t="shared" si="4"/>
        <v>0</v>
      </c>
    </row>
    <row r="72" spans="1:15" ht="15" hidden="1" customHeight="1" outlineLevel="1">
      <c r="A72" s="123"/>
      <c r="B72" s="124"/>
      <c r="C72" s="4"/>
      <c r="D72" s="9" t="s">
        <v>31</v>
      </c>
      <c r="E72" s="9" t="s">
        <v>71</v>
      </c>
      <c r="F72" s="9" t="s">
        <v>93</v>
      </c>
      <c r="G72" s="8">
        <v>612</v>
      </c>
      <c r="H72" s="70">
        <v>6028.6310000000003</v>
      </c>
      <c r="I72" s="108">
        <v>5264.9889999999996</v>
      </c>
      <c r="J72" s="108">
        <v>5264.9889999999996</v>
      </c>
      <c r="K72" s="108">
        <v>5264.9889999999996</v>
      </c>
      <c r="L72" s="109">
        <f t="shared" si="4"/>
        <v>21823.597999999998</v>
      </c>
    </row>
    <row r="73" spans="1:15" ht="15" hidden="1" customHeight="1" outlineLevel="1">
      <c r="A73" s="123"/>
      <c r="B73" s="124"/>
      <c r="C73" s="4"/>
      <c r="D73" s="9" t="s">
        <v>31</v>
      </c>
      <c r="E73" s="9" t="s">
        <v>42</v>
      </c>
      <c r="F73" s="9" t="s">
        <v>92</v>
      </c>
      <c r="G73" s="8">
        <v>612</v>
      </c>
      <c r="H73" s="70">
        <v>1200.2550000000001</v>
      </c>
      <c r="I73" s="57">
        <f>1408.995-208.74</f>
        <v>1200.2549999999999</v>
      </c>
      <c r="J73" s="57">
        <f t="shared" ref="J73:K73" si="5">1408.995-208.74</f>
        <v>1200.2549999999999</v>
      </c>
      <c r="K73" s="57">
        <f t="shared" si="5"/>
        <v>1200.2549999999999</v>
      </c>
      <c r="L73" s="106">
        <f t="shared" si="4"/>
        <v>4801.0200000000004</v>
      </c>
    </row>
    <row r="74" spans="1:15" ht="15" hidden="1" customHeight="1" outlineLevel="1">
      <c r="A74" s="123"/>
      <c r="B74" s="124"/>
      <c r="C74" s="4"/>
      <c r="D74" s="9" t="s">
        <v>31</v>
      </c>
      <c r="E74" s="42" t="s">
        <v>40</v>
      </c>
      <c r="F74" s="42" t="s">
        <v>103</v>
      </c>
      <c r="G74" s="43">
        <v>111</v>
      </c>
      <c r="H74" s="70">
        <v>337.71600000000001</v>
      </c>
      <c r="I74" s="56">
        <v>0</v>
      </c>
      <c r="J74" s="56">
        <v>0</v>
      </c>
      <c r="K74" s="87">
        <v>0</v>
      </c>
      <c r="L74" s="45">
        <f t="shared" si="4"/>
        <v>337.71600000000001</v>
      </c>
    </row>
    <row r="75" spans="1:15" ht="15" hidden="1" customHeight="1" outlineLevel="1">
      <c r="A75" s="123"/>
      <c r="B75" s="124"/>
      <c r="C75" s="4"/>
      <c r="D75" s="9" t="s">
        <v>31</v>
      </c>
      <c r="E75" s="42" t="s">
        <v>40</v>
      </c>
      <c r="F75" s="42" t="s">
        <v>103</v>
      </c>
      <c r="G75" s="43">
        <v>611</v>
      </c>
      <c r="H75" s="70">
        <v>4834.3879999999999</v>
      </c>
      <c r="I75" s="56">
        <v>0</v>
      </c>
      <c r="J75" s="56">
        <v>0</v>
      </c>
      <c r="K75" s="87">
        <v>0</v>
      </c>
      <c r="L75" s="45">
        <f t="shared" si="4"/>
        <v>4834.3879999999999</v>
      </c>
    </row>
    <row r="76" spans="1:15" ht="15" hidden="1" customHeight="1" outlineLevel="1">
      <c r="A76" s="123"/>
      <c r="B76" s="124"/>
      <c r="C76" s="4"/>
      <c r="D76" s="9" t="s">
        <v>31</v>
      </c>
      <c r="E76" s="42" t="s">
        <v>40</v>
      </c>
      <c r="F76" s="42" t="s">
        <v>103</v>
      </c>
      <c r="G76" s="43">
        <v>621</v>
      </c>
      <c r="H76" s="70">
        <v>1076.0029999999999</v>
      </c>
      <c r="I76" s="56">
        <v>0</v>
      </c>
      <c r="J76" s="56">
        <v>0</v>
      </c>
      <c r="K76" s="87">
        <v>0</v>
      </c>
      <c r="L76" s="45">
        <f t="shared" si="4"/>
        <v>1076.0029999999999</v>
      </c>
    </row>
    <row r="77" spans="1:15" ht="15" hidden="1" customHeight="1" outlineLevel="1">
      <c r="A77" s="123"/>
      <c r="B77" s="124"/>
      <c r="C77" s="4"/>
      <c r="D77" s="9" t="s">
        <v>31</v>
      </c>
      <c r="E77" s="42" t="s">
        <v>41</v>
      </c>
      <c r="F77" s="42" t="s">
        <v>103</v>
      </c>
      <c r="G77" s="43">
        <v>111</v>
      </c>
      <c r="H77" s="70">
        <v>70.712999999999994</v>
      </c>
      <c r="I77" s="56">
        <v>0</v>
      </c>
      <c r="J77" s="56">
        <v>0</v>
      </c>
      <c r="K77" s="87">
        <v>0</v>
      </c>
      <c r="L77" s="45">
        <f t="shared" si="4"/>
        <v>70.712999999999994</v>
      </c>
    </row>
    <row r="78" spans="1:15" ht="15" hidden="1" customHeight="1" outlineLevel="1">
      <c r="A78" s="123"/>
      <c r="B78" s="124"/>
      <c r="C78" s="4"/>
      <c r="D78" s="9" t="s">
        <v>31</v>
      </c>
      <c r="E78" s="42" t="s">
        <v>41</v>
      </c>
      <c r="F78" s="42" t="s">
        <v>103</v>
      </c>
      <c r="G78" s="43">
        <v>611</v>
      </c>
      <c r="H78" s="70">
        <v>8.98</v>
      </c>
      <c r="I78" s="56">
        <v>0</v>
      </c>
      <c r="J78" s="56">
        <v>0</v>
      </c>
      <c r="K78" s="87">
        <v>0</v>
      </c>
      <c r="L78" s="45">
        <f t="shared" si="4"/>
        <v>8.98</v>
      </c>
    </row>
    <row r="79" spans="1:15" ht="15" hidden="1" customHeight="1" outlineLevel="1">
      <c r="A79" s="123"/>
      <c r="B79" s="124"/>
      <c r="C79" s="4"/>
      <c r="D79" s="9" t="s">
        <v>31</v>
      </c>
      <c r="E79" s="9" t="s">
        <v>41</v>
      </c>
      <c r="F79" s="103" t="s">
        <v>79</v>
      </c>
      <c r="G79" s="8">
        <v>621</v>
      </c>
      <c r="H79" s="69">
        <f>12535.77-711.9-300-260-12-246.04234</f>
        <v>11005.827660000001</v>
      </c>
      <c r="I79" s="51">
        <v>11690.519</v>
      </c>
      <c r="J79" s="51">
        <v>11690.519</v>
      </c>
      <c r="K79" s="51">
        <v>11690.519</v>
      </c>
      <c r="L79" s="104">
        <f t="shared" si="4"/>
        <v>46077.384660000003</v>
      </c>
    </row>
    <row r="80" spans="1:15" ht="15" hidden="1" customHeight="1" outlineLevel="1">
      <c r="A80" s="123"/>
      <c r="B80" s="124"/>
      <c r="C80" s="4"/>
      <c r="D80" s="9" t="s">
        <v>31</v>
      </c>
      <c r="E80" s="9" t="s">
        <v>41</v>
      </c>
      <c r="F80" s="9" t="s">
        <v>83</v>
      </c>
      <c r="G80" s="8">
        <v>621</v>
      </c>
      <c r="H80" s="69">
        <f>27553.594-1468.43</f>
        <v>26085.164000000001</v>
      </c>
      <c r="I80" s="57">
        <v>28980.054090000001</v>
      </c>
      <c r="J80" s="57">
        <v>28980.054090000001</v>
      </c>
      <c r="K80" s="57">
        <v>28980.054090000001</v>
      </c>
      <c r="L80" s="106">
        <f t="shared" si="4"/>
        <v>113025.32627000001</v>
      </c>
    </row>
    <row r="81" spans="1:16" ht="15" hidden="1" customHeight="1" outlineLevel="1">
      <c r="A81" s="123"/>
      <c r="B81" s="124"/>
      <c r="C81" s="4"/>
      <c r="D81" s="9" t="s">
        <v>31</v>
      </c>
      <c r="E81" s="9" t="s">
        <v>41</v>
      </c>
      <c r="F81" s="9" t="s">
        <v>83</v>
      </c>
      <c r="G81" s="8">
        <v>622</v>
      </c>
      <c r="H81" s="69">
        <v>531.58000000000004</v>
      </c>
      <c r="I81" s="57">
        <v>666</v>
      </c>
      <c r="J81" s="57">
        <v>666</v>
      </c>
      <c r="K81" s="57">
        <v>666</v>
      </c>
      <c r="L81" s="106">
        <f t="shared" si="4"/>
        <v>2529.58</v>
      </c>
    </row>
    <row r="82" spans="1:16" ht="15" hidden="1" customHeight="1" outlineLevel="1">
      <c r="A82" s="123"/>
      <c r="B82" s="124"/>
      <c r="C82" s="4"/>
      <c r="D82" s="9" t="s">
        <v>31</v>
      </c>
      <c r="E82" s="9" t="s">
        <v>37</v>
      </c>
      <c r="F82" s="9" t="s">
        <v>91</v>
      </c>
      <c r="G82" s="8">
        <v>244</v>
      </c>
      <c r="H82" s="69">
        <f>405.35+136.95644-447.80644</f>
        <v>94.500000000000057</v>
      </c>
      <c r="I82" s="51">
        <v>0</v>
      </c>
      <c r="J82" s="51">
        <v>0</v>
      </c>
      <c r="K82" s="86">
        <v>0</v>
      </c>
      <c r="L82" s="45">
        <f t="shared" si="4"/>
        <v>94.500000000000057</v>
      </c>
    </row>
    <row r="83" spans="1:16" ht="15" hidden="1" customHeight="1" outlineLevel="1">
      <c r="A83" s="123"/>
      <c r="B83" s="124"/>
      <c r="C83" s="4"/>
      <c r="D83" s="9" t="s">
        <v>31</v>
      </c>
      <c r="E83" s="9" t="s">
        <v>37</v>
      </c>
      <c r="F83" s="9" t="s">
        <v>91</v>
      </c>
      <c r="G83" s="8">
        <v>612</v>
      </c>
      <c r="H83" s="69">
        <v>99</v>
      </c>
      <c r="I83" s="51">
        <v>0</v>
      </c>
      <c r="J83" s="51">
        <v>0</v>
      </c>
      <c r="K83" s="86">
        <v>0</v>
      </c>
      <c r="L83" s="45">
        <f t="shared" si="4"/>
        <v>99</v>
      </c>
    </row>
    <row r="84" spans="1:16" ht="15" hidden="1" customHeight="1" outlineLevel="1">
      <c r="A84" s="123"/>
      <c r="B84" s="124"/>
      <c r="C84" s="4"/>
      <c r="D84" s="9" t="s">
        <v>31</v>
      </c>
      <c r="E84" s="9" t="s">
        <v>37</v>
      </c>
      <c r="F84" s="9" t="s">
        <v>91</v>
      </c>
      <c r="G84" s="8">
        <v>622</v>
      </c>
      <c r="H84" s="69">
        <v>6010</v>
      </c>
      <c r="I84" s="51">
        <v>0</v>
      </c>
      <c r="J84" s="51">
        <v>0</v>
      </c>
      <c r="K84" s="86">
        <v>0</v>
      </c>
      <c r="L84" s="45">
        <f t="shared" si="4"/>
        <v>6010</v>
      </c>
    </row>
    <row r="85" spans="1:16" ht="15" hidden="1" customHeight="1" outlineLevel="1">
      <c r="A85" s="123"/>
      <c r="B85" s="124"/>
      <c r="C85" s="4"/>
      <c r="D85" s="9" t="s">
        <v>31</v>
      </c>
      <c r="E85" s="9" t="s">
        <v>37</v>
      </c>
      <c r="F85" s="9" t="s">
        <v>138</v>
      </c>
      <c r="G85" s="8">
        <v>612</v>
      </c>
      <c r="H85" s="69">
        <v>6.2380000000000004</v>
      </c>
      <c r="I85" s="51">
        <v>0</v>
      </c>
      <c r="J85" s="51">
        <v>0</v>
      </c>
      <c r="K85" s="86">
        <v>0</v>
      </c>
      <c r="L85" s="45">
        <f t="shared" si="4"/>
        <v>6.2380000000000004</v>
      </c>
    </row>
    <row r="86" spans="1:16" ht="15" hidden="1" customHeight="1" outlineLevel="1">
      <c r="A86" s="123"/>
      <c r="B86" s="124"/>
      <c r="C86" s="4"/>
      <c r="D86" s="9" t="s">
        <v>31</v>
      </c>
      <c r="E86" s="9" t="s">
        <v>37</v>
      </c>
      <c r="F86" s="9" t="s">
        <v>138</v>
      </c>
      <c r="G86" s="8">
        <v>622</v>
      </c>
      <c r="H86" s="69">
        <v>19.861000000000001</v>
      </c>
      <c r="I86" s="51">
        <v>0</v>
      </c>
      <c r="J86" s="51">
        <v>0</v>
      </c>
      <c r="K86" s="86">
        <v>0</v>
      </c>
      <c r="L86" s="45">
        <f t="shared" ref="L86:L100" si="6">SUM(H86:K86)</f>
        <v>19.861000000000001</v>
      </c>
    </row>
    <row r="87" spans="1:16" ht="15" hidden="1" customHeight="1" outlineLevel="1">
      <c r="A87" s="123"/>
      <c r="B87" s="124"/>
      <c r="C87" s="4"/>
      <c r="D87" s="9" t="s">
        <v>31</v>
      </c>
      <c r="E87" s="9" t="s">
        <v>37</v>
      </c>
      <c r="F87" s="9" t="s">
        <v>138</v>
      </c>
      <c r="G87" s="8">
        <v>244</v>
      </c>
      <c r="H87" s="69">
        <v>6.5049999999999999</v>
      </c>
      <c r="I87" s="51">
        <v>0</v>
      </c>
      <c r="J87" s="51">
        <v>0</v>
      </c>
      <c r="K87" s="86">
        <v>0</v>
      </c>
      <c r="L87" s="45">
        <f t="shared" si="6"/>
        <v>6.5049999999999999</v>
      </c>
    </row>
    <row r="88" spans="1:16" ht="15" hidden="1" customHeight="1" outlineLevel="1">
      <c r="A88" s="123"/>
      <c r="B88" s="124"/>
      <c r="C88" s="4"/>
      <c r="D88" s="9" t="s">
        <v>31</v>
      </c>
      <c r="E88" s="9" t="s">
        <v>71</v>
      </c>
      <c r="F88" s="9" t="s">
        <v>93</v>
      </c>
      <c r="G88" s="8">
        <v>622</v>
      </c>
      <c r="H88" s="70">
        <v>734.18399999999997</v>
      </c>
      <c r="I88" s="108">
        <v>761.88099999999997</v>
      </c>
      <c r="J88" s="108">
        <v>761.88099999999997</v>
      </c>
      <c r="K88" s="108">
        <v>761.88099999999997</v>
      </c>
      <c r="L88" s="109">
        <f t="shared" si="6"/>
        <v>3019.8269999999998</v>
      </c>
      <c r="N88" s="15">
        <f>H88+H72+H59</f>
        <v>7226.5000000000009</v>
      </c>
      <c r="O88" s="15">
        <f>I88+I72+I59</f>
        <v>7998.1</v>
      </c>
    </row>
    <row r="89" spans="1:16" ht="15" hidden="1" customHeight="1" outlineLevel="1">
      <c r="A89" s="123"/>
      <c r="B89" s="124"/>
      <c r="C89" s="4"/>
      <c r="D89" s="9" t="s">
        <v>31</v>
      </c>
      <c r="E89" s="9" t="s">
        <v>42</v>
      </c>
      <c r="F89" s="9" t="s">
        <v>92</v>
      </c>
      <c r="G89" s="8">
        <v>622</v>
      </c>
      <c r="H89" s="70">
        <v>135.68100000000001</v>
      </c>
      <c r="I89" s="57">
        <v>135.68100000000001</v>
      </c>
      <c r="J89" s="57">
        <v>135.68100000000001</v>
      </c>
      <c r="K89" s="57">
        <v>135.68100000000001</v>
      </c>
      <c r="L89" s="106">
        <f t="shared" si="6"/>
        <v>542.72400000000005</v>
      </c>
    </row>
    <row r="90" spans="1:16" ht="15" hidden="1" customHeight="1" outlineLevel="1">
      <c r="A90" s="123"/>
      <c r="B90" s="124"/>
      <c r="C90" s="4"/>
      <c r="D90" s="9" t="s">
        <v>31</v>
      </c>
      <c r="E90" s="9" t="s">
        <v>41</v>
      </c>
      <c r="F90" s="103" t="s">
        <v>79</v>
      </c>
      <c r="G90" s="8">
        <v>852</v>
      </c>
      <c r="H90" s="69">
        <f>7.85883+0.00795</f>
        <v>7.8667800000000003</v>
      </c>
      <c r="I90" s="51">
        <v>0.63300000000000001</v>
      </c>
      <c r="J90" s="51">
        <v>0.63300000000000001</v>
      </c>
      <c r="K90" s="51">
        <v>0.63300000000000001</v>
      </c>
      <c r="L90" s="104">
        <f t="shared" si="6"/>
        <v>9.7657799999999995</v>
      </c>
    </row>
    <row r="91" spans="1:16" ht="15" hidden="1" customHeight="1" outlineLevel="1">
      <c r="A91" s="123"/>
      <c r="B91" s="124"/>
      <c r="C91" s="4"/>
      <c r="D91" s="9" t="s">
        <v>31</v>
      </c>
      <c r="E91" s="9" t="s">
        <v>41</v>
      </c>
      <c r="F91" s="9" t="s">
        <v>104</v>
      </c>
      <c r="G91" s="8">
        <v>111</v>
      </c>
      <c r="H91" s="69">
        <f>301.07294-0.4+40.45+51.56</f>
        <v>392.68294000000003</v>
      </c>
      <c r="I91" s="56">
        <v>0</v>
      </c>
      <c r="J91" s="56">
        <v>0</v>
      </c>
      <c r="K91" s="87">
        <v>0</v>
      </c>
      <c r="L91" s="45">
        <f t="shared" si="6"/>
        <v>392.68294000000003</v>
      </c>
    </row>
    <row r="92" spans="1:16" ht="15" hidden="1" customHeight="1" outlineLevel="1">
      <c r="A92" s="123"/>
      <c r="B92" s="124"/>
      <c r="C92" s="5"/>
      <c r="D92" s="9" t="s">
        <v>31</v>
      </c>
      <c r="E92" s="9" t="s">
        <v>41</v>
      </c>
      <c r="F92" s="9" t="s">
        <v>104</v>
      </c>
      <c r="G92" s="8">
        <v>611</v>
      </c>
      <c r="H92" s="69">
        <f>2270+15.74-31.27477</f>
        <v>2254.4652299999998</v>
      </c>
      <c r="I92" s="56">
        <v>0</v>
      </c>
      <c r="J92" s="56">
        <v>0</v>
      </c>
      <c r="K92" s="87">
        <v>0</v>
      </c>
      <c r="L92" s="45">
        <f t="shared" si="6"/>
        <v>2254.4652299999998</v>
      </c>
    </row>
    <row r="93" spans="1:16" ht="15" hidden="1" customHeight="1" outlineLevel="1">
      <c r="A93" s="123"/>
      <c r="B93" s="124"/>
      <c r="C93" s="5"/>
      <c r="D93" s="9" t="s">
        <v>31</v>
      </c>
      <c r="E93" s="9" t="s">
        <v>41</v>
      </c>
      <c r="F93" s="9" t="s">
        <v>104</v>
      </c>
      <c r="G93" s="8">
        <v>621</v>
      </c>
      <c r="H93" s="69">
        <f>480-41</f>
        <v>439</v>
      </c>
      <c r="I93" s="56">
        <v>0</v>
      </c>
      <c r="J93" s="56">
        <v>0</v>
      </c>
      <c r="K93" s="87">
        <v>0</v>
      </c>
      <c r="L93" s="45">
        <f t="shared" si="6"/>
        <v>439</v>
      </c>
    </row>
    <row r="94" spans="1:16" ht="15" hidden="1" customHeight="1" outlineLevel="1">
      <c r="A94" s="123"/>
      <c r="B94" s="124"/>
      <c r="C94" s="5"/>
      <c r="D94" s="9" t="s">
        <v>31</v>
      </c>
      <c r="E94" s="9"/>
      <c r="F94" s="9"/>
      <c r="G94" s="8"/>
      <c r="H94" s="29"/>
      <c r="I94" s="29"/>
      <c r="J94" s="29"/>
      <c r="K94" s="88"/>
      <c r="L94" s="45">
        <f t="shared" si="6"/>
        <v>0</v>
      </c>
      <c r="N94" s="62"/>
    </row>
    <row r="95" spans="1:16" ht="15" hidden="1" customHeight="1" outlineLevel="1">
      <c r="A95" s="123"/>
      <c r="B95" s="124"/>
      <c r="C95" s="5"/>
      <c r="D95" s="9" t="s">
        <v>31</v>
      </c>
      <c r="E95" s="9" t="s">
        <v>43</v>
      </c>
      <c r="F95" s="9" t="s">
        <v>94</v>
      </c>
      <c r="G95" s="8">
        <v>321</v>
      </c>
      <c r="H95" s="69">
        <v>4883.1000000000004</v>
      </c>
      <c r="I95" s="57">
        <v>4883.1000000000004</v>
      </c>
      <c r="J95" s="57">
        <v>4883.1000000000004</v>
      </c>
      <c r="K95" s="57">
        <v>4883.1000000000004</v>
      </c>
      <c r="L95" s="109">
        <f t="shared" si="6"/>
        <v>19532.400000000001</v>
      </c>
      <c r="N95" s="61">
        <f>H22+H25+H26+H29+H30+H31+H33+H35+H37+H39+H40+H41+H46+H51+H52+H53+H55+H58+H59+H60+H62+H67+H69+H72+H73+H74+H75+H76+H77+H78+H80+H81+H88+H89+H91+H92+H93+H95</f>
        <v>331618.53296999994</v>
      </c>
      <c r="O95" t="s">
        <v>124</v>
      </c>
      <c r="P95" t="s">
        <v>125</v>
      </c>
    </row>
    <row r="96" spans="1:16" ht="15" hidden="1" customHeight="1" outlineLevel="1">
      <c r="A96" s="123"/>
      <c r="B96" s="124"/>
      <c r="C96" s="5"/>
      <c r="D96" s="9" t="s">
        <v>31</v>
      </c>
      <c r="E96" s="9"/>
      <c r="F96" s="9"/>
      <c r="G96" s="8"/>
      <c r="H96" s="29"/>
      <c r="I96" s="29"/>
      <c r="J96" s="29"/>
      <c r="K96" s="88"/>
      <c r="L96" s="45">
        <f t="shared" si="6"/>
        <v>0</v>
      </c>
      <c r="N96" s="61">
        <f>H105+H107+H110+H112+H113+H114+H117+H118+H119+H120+H127+H128</f>
        <v>15044.323999999999</v>
      </c>
      <c r="O96" t="s">
        <v>124</v>
      </c>
      <c r="P96" t="s">
        <v>126</v>
      </c>
    </row>
    <row r="97" spans="1:22" ht="15" hidden="1" customHeight="1" outlineLevel="1">
      <c r="A97" s="123"/>
      <c r="B97" s="124"/>
      <c r="C97" s="5"/>
      <c r="D97" s="9" t="s">
        <v>85</v>
      </c>
      <c r="E97" s="9" t="s">
        <v>37</v>
      </c>
      <c r="F97" s="9" t="s">
        <v>91</v>
      </c>
      <c r="G97" s="8">
        <v>244</v>
      </c>
      <c r="H97" s="69">
        <f>327.8+81.29</f>
        <v>409.09000000000003</v>
      </c>
      <c r="I97" s="51">
        <v>0</v>
      </c>
      <c r="J97" s="51">
        <v>0</v>
      </c>
      <c r="K97" s="86">
        <v>0</v>
      </c>
      <c r="L97" s="45">
        <f t="shared" si="6"/>
        <v>409.09000000000003</v>
      </c>
      <c r="N97" s="61">
        <f>H130+H131+H132</f>
        <v>1523.8000000000002</v>
      </c>
      <c r="O97" t="s">
        <v>124</v>
      </c>
      <c r="P97" t="s">
        <v>127</v>
      </c>
    </row>
    <row r="98" spans="1:22" ht="15" hidden="1" customHeight="1" outlineLevel="1">
      <c r="A98" s="123"/>
      <c r="B98" s="124"/>
      <c r="C98" s="4"/>
      <c r="D98" s="9" t="s">
        <v>85</v>
      </c>
      <c r="E98" s="9" t="s">
        <v>37</v>
      </c>
      <c r="F98" s="9" t="s">
        <v>91</v>
      </c>
      <c r="G98" s="8">
        <v>244</v>
      </c>
      <c r="H98" s="69">
        <f>447.80644</f>
        <v>447.80644000000001</v>
      </c>
      <c r="I98" s="51">
        <v>0</v>
      </c>
      <c r="J98" s="51">
        <v>0</v>
      </c>
      <c r="K98" s="86">
        <v>0</v>
      </c>
      <c r="L98" s="45">
        <f t="shared" si="6"/>
        <v>447.80644000000001</v>
      </c>
    </row>
    <row r="99" spans="1:22" ht="26.25" collapsed="1">
      <c r="A99" s="123"/>
      <c r="B99" s="124"/>
      <c r="C99" s="28" t="s">
        <v>65</v>
      </c>
      <c r="D99" s="27" t="s">
        <v>31</v>
      </c>
      <c r="E99" s="33" t="s">
        <v>32</v>
      </c>
      <c r="F99" s="33" t="s">
        <v>32</v>
      </c>
      <c r="G99" s="33" t="s">
        <v>32</v>
      </c>
      <c r="H99" s="51">
        <f>H20-H100</f>
        <v>524156.7403699999</v>
      </c>
      <c r="I99" s="51">
        <f>I20-I100</f>
        <v>488534.34566999995</v>
      </c>
      <c r="J99" s="51">
        <f>J20-J100</f>
        <v>488534.34566999995</v>
      </c>
      <c r="K99" s="51">
        <f>K20-K100</f>
        <v>488534.34566999995</v>
      </c>
      <c r="L99" s="45">
        <f t="shared" si="6"/>
        <v>1989759.7773799996</v>
      </c>
    </row>
    <row r="100" spans="1:22" ht="27" thickBot="1">
      <c r="A100" s="123"/>
      <c r="B100" s="124"/>
      <c r="C100" s="99" t="s">
        <v>66</v>
      </c>
      <c r="D100" s="100" t="s">
        <v>85</v>
      </c>
      <c r="E100" s="101" t="s">
        <v>32</v>
      </c>
      <c r="F100" s="101" t="s">
        <v>32</v>
      </c>
      <c r="G100" s="101" t="s">
        <v>32</v>
      </c>
      <c r="H100" s="102">
        <f>H62+H63+H98+H97+H64</f>
        <v>175425.24850000002</v>
      </c>
      <c r="I100" s="102">
        <f t="shared" ref="I100:J100" si="7">I62+I63+I98+I97+I64</f>
        <v>0</v>
      </c>
      <c r="J100" s="102">
        <f t="shared" si="7"/>
        <v>0</v>
      </c>
      <c r="K100" s="102">
        <f t="shared" ref="K100" si="8">K62+K63+K98+K97+K64</f>
        <v>0</v>
      </c>
      <c r="L100" s="98">
        <f t="shared" si="6"/>
        <v>175425.24850000002</v>
      </c>
    </row>
    <row r="101" spans="1:22" ht="45.75" customHeight="1">
      <c r="A101" s="131" t="s">
        <v>58</v>
      </c>
      <c r="B101" s="128" t="s">
        <v>69</v>
      </c>
      <c r="C101" s="6" t="s">
        <v>38</v>
      </c>
      <c r="D101" s="35" t="s">
        <v>32</v>
      </c>
      <c r="E101" s="35" t="s">
        <v>32</v>
      </c>
      <c r="F101" s="35" t="s">
        <v>32</v>
      </c>
      <c r="G101" s="35" t="s">
        <v>32</v>
      </c>
      <c r="H101" s="59">
        <f>SUM(H104:H128)</f>
        <v>30287.591199999992</v>
      </c>
      <c r="I101" s="59">
        <f t="shared" ref="I101:K101" si="9">SUM(I104:I128)</f>
        <v>21041.569330000002</v>
      </c>
      <c r="J101" s="59">
        <f t="shared" si="9"/>
        <v>21041.569330000002</v>
      </c>
      <c r="K101" s="59">
        <f t="shared" si="9"/>
        <v>21041.569330000002</v>
      </c>
      <c r="L101" s="47">
        <f>SUM(H101:K101)</f>
        <v>93412.299189999991</v>
      </c>
    </row>
    <row r="102" spans="1:22" ht="26.25">
      <c r="A102" s="123"/>
      <c r="B102" s="129"/>
      <c r="C102" s="28" t="s">
        <v>65</v>
      </c>
      <c r="D102" s="27" t="s">
        <v>31</v>
      </c>
      <c r="E102" s="33" t="s">
        <v>32</v>
      </c>
      <c r="F102" s="33" t="s">
        <v>32</v>
      </c>
      <c r="G102" s="33" t="s">
        <v>32</v>
      </c>
      <c r="H102" s="48">
        <f>H104+H105+H106+H107+H108+H109</f>
        <v>13641.05687</v>
      </c>
      <c r="I102" s="48">
        <f t="shared" ref="I102:K102" si="10">I104+I105+I106+I107+I108+I109</f>
        <v>13602.01</v>
      </c>
      <c r="J102" s="48">
        <f t="shared" si="10"/>
        <v>13602.01</v>
      </c>
      <c r="K102" s="48">
        <f t="shared" si="10"/>
        <v>13602.01</v>
      </c>
      <c r="L102" s="52">
        <f t="shared" ref="L102:L128" si="11">SUM(H102:K102)</f>
        <v>54447.086870000006</v>
      </c>
    </row>
    <row r="103" spans="1:22" ht="27" thickBot="1">
      <c r="A103" s="123"/>
      <c r="B103" s="129"/>
      <c r="C103" s="28" t="s">
        <v>66</v>
      </c>
      <c r="D103" s="27" t="s">
        <v>85</v>
      </c>
      <c r="E103" s="33" t="s">
        <v>32</v>
      </c>
      <c r="F103" s="33" t="s">
        <v>32</v>
      </c>
      <c r="G103" s="33" t="s">
        <v>32</v>
      </c>
      <c r="H103" s="51">
        <f>H101-H102</f>
        <v>16646.534329999991</v>
      </c>
      <c r="I103" s="51">
        <f t="shared" ref="I103:K103" si="12">I101-I102</f>
        <v>7439.5593300000019</v>
      </c>
      <c r="J103" s="51">
        <f t="shared" si="12"/>
        <v>7439.5593300000019</v>
      </c>
      <c r="K103" s="51">
        <f t="shared" si="12"/>
        <v>7439.5593300000019</v>
      </c>
      <c r="L103" s="52">
        <f t="shared" si="11"/>
        <v>38965.212319999999</v>
      </c>
    </row>
    <row r="104" spans="1:22" ht="15" hidden="1" customHeight="1" outlineLevel="1">
      <c r="A104" s="123"/>
      <c r="B104" s="129"/>
      <c r="C104" s="4"/>
      <c r="D104" s="9" t="s">
        <v>31</v>
      </c>
      <c r="E104" s="9" t="s">
        <v>41</v>
      </c>
      <c r="F104" s="9" t="s">
        <v>82</v>
      </c>
      <c r="G104" s="8">
        <v>611</v>
      </c>
      <c r="H104" s="69">
        <f>13804.37-311.1-87.39-80-130-107+70.0435</f>
        <v>13158.923500000001</v>
      </c>
      <c r="I104" s="51">
        <v>13393.27</v>
      </c>
      <c r="J104" s="51">
        <v>13393.27</v>
      </c>
      <c r="K104" s="51">
        <v>13393.27</v>
      </c>
      <c r="L104" s="110">
        <f t="shared" si="11"/>
        <v>53338.733500000002</v>
      </c>
      <c r="S104" s="65">
        <f>H105+H107+H109+H110+H112+H113+H114+H117+H118+H119+H120+H127+H128</f>
        <v>15053.926369999999</v>
      </c>
      <c r="T104" s="62">
        <f>H104+H106+H111+H115+H116+H121+H122+H125+H126+H123+H124</f>
        <v>15233.664829999998</v>
      </c>
      <c r="U104">
        <v>0</v>
      </c>
      <c r="V104" s="62">
        <f>U104+T104+S104</f>
        <v>30287.591199999995</v>
      </c>
    </row>
    <row r="105" spans="1:22" ht="15" hidden="1" customHeight="1" outlineLevel="1">
      <c r="A105" s="123"/>
      <c r="B105" s="129"/>
      <c r="C105" s="5"/>
      <c r="D105" s="9" t="s">
        <v>31</v>
      </c>
      <c r="E105" s="9" t="s">
        <v>41</v>
      </c>
      <c r="F105" s="9" t="s">
        <v>105</v>
      </c>
      <c r="G105" s="8">
        <v>611</v>
      </c>
      <c r="H105" s="69">
        <f>229.551-5.76</f>
        <v>223.791</v>
      </c>
      <c r="I105" s="57">
        <v>0</v>
      </c>
      <c r="J105" s="57">
        <v>0</v>
      </c>
      <c r="K105" s="89">
        <v>0</v>
      </c>
      <c r="L105" s="52">
        <f t="shared" si="11"/>
        <v>223.791</v>
      </c>
    </row>
    <row r="106" spans="1:22" ht="15" hidden="1" customHeight="1" outlineLevel="1">
      <c r="A106" s="123"/>
      <c r="B106" s="129"/>
      <c r="C106" s="5"/>
      <c r="D106" s="9" t="s">
        <v>31</v>
      </c>
      <c r="E106" s="9" t="s">
        <v>41</v>
      </c>
      <c r="F106" s="9" t="s">
        <v>82</v>
      </c>
      <c r="G106" s="8">
        <v>612</v>
      </c>
      <c r="H106" s="69">
        <v>40</v>
      </c>
      <c r="I106" s="51">
        <v>0</v>
      </c>
      <c r="J106" s="51">
        <v>0</v>
      </c>
      <c r="K106" s="86">
        <v>0</v>
      </c>
      <c r="L106" s="52">
        <f t="shared" si="11"/>
        <v>40</v>
      </c>
    </row>
    <row r="107" spans="1:22" ht="15" hidden="1" customHeight="1" outlineLevel="1">
      <c r="A107" s="123"/>
      <c r="B107" s="129"/>
      <c r="C107" s="5"/>
      <c r="D107" s="9" t="s">
        <v>31</v>
      </c>
      <c r="E107" s="9" t="s">
        <v>42</v>
      </c>
      <c r="F107" s="9" t="s">
        <v>84</v>
      </c>
      <c r="G107" s="8">
        <v>612</v>
      </c>
      <c r="H107" s="69">
        <v>208.74</v>
      </c>
      <c r="I107" s="57">
        <v>208.74</v>
      </c>
      <c r="J107" s="57">
        <v>208.74</v>
      </c>
      <c r="K107" s="57">
        <v>208.74</v>
      </c>
      <c r="L107" s="110">
        <f t="shared" si="11"/>
        <v>834.96</v>
      </c>
      <c r="N107" s="15">
        <f>H107+H108+H60+H73+H89+H109</f>
        <v>1679.5723700000003</v>
      </c>
      <c r="O107" s="15">
        <f>I109+I108+I107+I89+I73+I60</f>
        <v>1669.97</v>
      </c>
    </row>
    <row r="108" spans="1:22" ht="15" hidden="1" customHeight="1" outlineLevel="1">
      <c r="A108" s="123"/>
      <c r="B108" s="129"/>
      <c r="C108" s="5"/>
      <c r="D108" s="9" t="s">
        <v>31</v>
      </c>
      <c r="E108" s="31" t="s">
        <v>42</v>
      </c>
      <c r="F108" s="31" t="s">
        <v>97</v>
      </c>
      <c r="G108" s="32" t="s">
        <v>98</v>
      </c>
      <c r="H108" s="58">
        <v>0</v>
      </c>
      <c r="I108" s="58">
        <v>0</v>
      </c>
      <c r="J108" s="58">
        <v>0</v>
      </c>
      <c r="K108" s="91">
        <v>0</v>
      </c>
      <c r="L108" s="52">
        <f t="shared" si="11"/>
        <v>0</v>
      </c>
    </row>
    <row r="109" spans="1:22" ht="15" hidden="1" customHeight="1" outlineLevel="1">
      <c r="A109" s="123"/>
      <c r="B109" s="129"/>
      <c r="C109" s="5" t="s">
        <v>130</v>
      </c>
      <c r="D109" s="9" t="s">
        <v>31</v>
      </c>
      <c r="E109" s="9" t="s">
        <v>41</v>
      </c>
      <c r="F109" s="9" t="s">
        <v>132</v>
      </c>
      <c r="G109" s="8">
        <v>611</v>
      </c>
      <c r="H109" s="69">
        <v>9.6023700000000005</v>
      </c>
      <c r="I109" s="57">
        <v>0</v>
      </c>
      <c r="J109" s="57">
        <v>0</v>
      </c>
      <c r="K109" s="89">
        <v>0</v>
      </c>
      <c r="L109" s="52">
        <f t="shared" si="11"/>
        <v>9.6023700000000005</v>
      </c>
    </row>
    <row r="110" spans="1:22" hidden="1" outlineLevel="1">
      <c r="A110" s="123"/>
      <c r="B110" s="129"/>
      <c r="C110" s="28"/>
      <c r="D110" s="27" t="s">
        <v>85</v>
      </c>
      <c r="E110" s="9" t="s">
        <v>42</v>
      </c>
      <c r="F110" s="9" t="s">
        <v>84</v>
      </c>
      <c r="G110" s="8">
        <v>622</v>
      </c>
      <c r="H110" s="69">
        <v>939.33</v>
      </c>
      <c r="I110" s="57">
        <v>939.33</v>
      </c>
      <c r="J110" s="57">
        <v>939.33</v>
      </c>
      <c r="K110" s="57">
        <v>939.33</v>
      </c>
      <c r="L110" s="111">
        <f t="shared" si="11"/>
        <v>3757.32</v>
      </c>
    </row>
    <row r="111" spans="1:22" hidden="1" outlineLevel="1">
      <c r="A111" s="123"/>
      <c r="B111" s="129"/>
      <c r="C111" s="28"/>
      <c r="D111" s="27" t="s">
        <v>85</v>
      </c>
      <c r="E111" s="9" t="s">
        <v>42</v>
      </c>
      <c r="F111" s="9" t="s">
        <v>107</v>
      </c>
      <c r="G111" s="8">
        <v>622</v>
      </c>
      <c r="H111" s="69">
        <v>0.93933</v>
      </c>
      <c r="I111" s="51">
        <v>0.93933</v>
      </c>
      <c r="J111" s="51">
        <v>0.93933</v>
      </c>
      <c r="K111" s="51">
        <v>0.93933</v>
      </c>
      <c r="L111" s="110">
        <f t="shared" si="11"/>
        <v>3.75732</v>
      </c>
    </row>
    <row r="112" spans="1:22" hidden="1" outlineLevel="1">
      <c r="A112" s="123"/>
      <c r="B112" s="129"/>
      <c r="C112" s="28" t="s">
        <v>109</v>
      </c>
      <c r="D112" s="27" t="s">
        <v>85</v>
      </c>
      <c r="E112" s="9" t="s">
        <v>42</v>
      </c>
      <c r="F112" s="9" t="s">
        <v>117</v>
      </c>
      <c r="G112" s="8">
        <v>810</v>
      </c>
      <c r="H112" s="69">
        <v>254.57300000000001</v>
      </c>
      <c r="I112" s="57">
        <v>0</v>
      </c>
      <c r="J112" s="57">
        <v>0</v>
      </c>
      <c r="K112" s="89">
        <v>0</v>
      </c>
      <c r="L112" s="52">
        <f t="shared" si="11"/>
        <v>254.57300000000001</v>
      </c>
      <c r="Q112" s="62">
        <f>H112+H120</f>
        <v>861.673</v>
      </c>
    </row>
    <row r="113" spans="1:17" hidden="1" outlineLevel="1">
      <c r="A113" s="123"/>
      <c r="B113" s="129"/>
      <c r="C113" s="28" t="s">
        <v>109</v>
      </c>
      <c r="D113" s="27" t="s">
        <v>85</v>
      </c>
      <c r="E113" s="9" t="s">
        <v>42</v>
      </c>
      <c r="F113" s="9" t="s">
        <v>118</v>
      </c>
      <c r="G113" s="8">
        <v>622</v>
      </c>
      <c r="H113" s="69">
        <v>5274.5</v>
      </c>
      <c r="I113" s="57">
        <v>0</v>
      </c>
      <c r="J113" s="57">
        <v>0</v>
      </c>
      <c r="K113" s="89">
        <v>0</v>
      </c>
      <c r="L113" s="52">
        <f t="shared" si="11"/>
        <v>5274.5</v>
      </c>
    </row>
    <row r="114" spans="1:17" hidden="1" outlineLevel="1">
      <c r="A114" s="123"/>
      <c r="B114" s="129"/>
      <c r="C114" s="28" t="s">
        <v>109</v>
      </c>
      <c r="D114" s="27" t="s">
        <v>85</v>
      </c>
      <c r="E114" s="9" t="s">
        <v>42</v>
      </c>
      <c r="F114" s="9" t="s">
        <v>119</v>
      </c>
      <c r="G114" s="8">
        <v>810</v>
      </c>
      <c r="H114" s="69">
        <v>1896.09</v>
      </c>
      <c r="I114" s="57">
        <v>0</v>
      </c>
      <c r="J114" s="57">
        <v>0</v>
      </c>
      <c r="K114" s="89">
        <v>0</v>
      </c>
      <c r="L114" s="52">
        <f t="shared" si="11"/>
        <v>1896.09</v>
      </c>
    </row>
    <row r="115" spans="1:17" hidden="1" outlineLevel="1">
      <c r="A115" s="123"/>
      <c r="B115" s="129"/>
      <c r="C115" s="28" t="s">
        <v>113</v>
      </c>
      <c r="D115" s="27" t="s">
        <v>85</v>
      </c>
      <c r="E115" s="9" t="s">
        <v>42</v>
      </c>
      <c r="F115" s="9" t="s">
        <v>112</v>
      </c>
      <c r="G115" s="8">
        <v>622</v>
      </c>
      <c r="H115" s="69">
        <v>0.29199999999999998</v>
      </c>
      <c r="I115" s="51">
        <v>0</v>
      </c>
      <c r="J115" s="51">
        <v>0</v>
      </c>
      <c r="K115" s="86">
        <v>0</v>
      </c>
      <c r="L115" s="52">
        <f t="shared" si="11"/>
        <v>0.29199999999999998</v>
      </c>
    </row>
    <row r="116" spans="1:17" hidden="1" outlineLevel="1">
      <c r="A116" s="123"/>
      <c r="B116" s="129"/>
      <c r="C116" s="28" t="s">
        <v>113</v>
      </c>
      <c r="D116" s="27" t="s">
        <v>85</v>
      </c>
      <c r="E116" s="9" t="s">
        <v>42</v>
      </c>
      <c r="F116" s="9" t="s">
        <v>112</v>
      </c>
      <c r="G116" s="8">
        <v>810</v>
      </c>
      <c r="H116" s="69">
        <v>0.316</v>
      </c>
      <c r="I116" s="51">
        <v>0</v>
      </c>
      <c r="J116" s="51">
        <v>0</v>
      </c>
      <c r="K116" s="86">
        <v>0</v>
      </c>
      <c r="L116" s="52">
        <f t="shared" si="11"/>
        <v>0.316</v>
      </c>
    </row>
    <row r="117" spans="1:17" hidden="1" outlineLevel="1">
      <c r="A117" s="123"/>
      <c r="B117" s="129"/>
      <c r="C117" s="28" t="s">
        <v>113</v>
      </c>
      <c r="D117" s="27" t="s">
        <v>85</v>
      </c>
      <c r="E117" s="9" t="s">
        <v>42</v>
      </c>
      <c r="F117" s="9" t="s">
        <v>116</v>
      </c>
      <c r="G117" s="8">
        <v>622</v>
      </c>
      <c r="H117" s="69">
        <v>291.3</v>
      </c>
      <c r="I117" s="57">
        <v>0</v>
      </c>
      <c r="J117" s="57">
        <v>0</v>
      </c>
      <c r="K117" s="89">
        <v>0</v>
      </c>
      <c r="L117" s="52">
        <f t="shared" si="11"/>
        <v>291.3</v>
      </c>
    </row>
    <row r="118" spans="1:17" hidden="1" outlineLevel="1">
      <c r="A118" s="123"/>
      <c r="B118" s="129"/>
      <c r="C118" s="28" t="s">
        <v>113</v>
      </c>
      <c r="D118" s="27" t="s">
        <v>85</v>
      </c>
      <c r="E118" s="9" t="s">
        <v>42</v>
      </c>
      <c r="F118" s="9" t="s">
        <v>116</v>
      </c>
      <c r="G118" s="8">
        <v>810</v>
      </c>
      <c r="H118" s="69">
        <v>315.60000000000002</v>
      </c>
      <c r="I118" s="57">
        <v>0</v>
      </c>
      <c r="J118" s="57">
        <v>0</v>
      </c>
      <c r="K118" s="89">
        <v>0</v>
      </c>
      <c r="L118" s="52">
        <f t="shared" si="11"/>
        <v>315.60000000000002</v>
      </c>
    </row>
    <row r="119" spans="1:17" hidden="1" outlineLevel="1">
      <c r="A119" s="123"/>
      <c r="B119" s="129"/>
      <c r="C119" s="28"/>
      <c r="D119" s="27" t="s">
        <v>85</v>
      </c>
      <c r="E119" s="9" t="s">
        <v>42</v>
      </c>
      <c r="F119" s="9" t="s">
        <v>117</v>
      </c>
      <c r="G119" s="8">
        <v>622</v>
      </c>
      <c r="H119" s="69">
        <v>562.1</v>
      </c>
      <c r="I119" s="57">
        <v>0</v>
      </c>
      <c r="J119" s="57">
        <v>0</v>
      </c>
      <c r="K119" s="89">
        <v>0</v>
      </c>
      <c r="L119" s="52">
        <f t="shared" si="11"/>
        <v>562.1</v>
      </c>
    </row>
    <row r="120" spans="1:17" hidden="1" outlineLevel="1">
      <c r="A120" s="123"/>
      <c r="B120" s="129"/>
      <c r="C120" s="28"/>
      <c r="D120" s="27" t="s">
        <v>85</v>
      </c>
      <c r="E120" s="9" t="s">
        <v>42</v>
      </c>
      <c r="F120" s="9" t="s">
        <v>117</v>
      </c>
      <c r="G120" s="8">
        <v>810</v>
      </c>
      <c r="H120" s="69">
        <v>607.1</v>
      </c>
      <c r="I120" s="57">
        <v>0</v>
      </c>
      <c r="J120" s="57">
        <v>0</v>
      </c>
      <c r="K120" s="89">
        <v>0</v>
      </c>
      <c r="L120" s="52">
        <f t="shared" si="11"/>
        <v>607.1</v>
      </c>
    </row>
    <row r="121" spans="1:17" hidden="1" outlineLevel="1">
      <c r="A121" s="123"/>
      <c r="B121" s="129"/>
      <c r="C121" s="28"/>
      <c r="D121" s="27" t="s">
        <v>85</v>
      </c>
      <c r="E121" s="9" t="s">
        <v>42</v>
      </c>
      <c r="F121" s="9" t="s">
        <v>123</v>
      </c>
      <c r="G121" s="8">
        <v>622</v>
      </c>
      <c r="H121" s="69">
        <v>56.21</v>
      </c>
      <c r="I121" s="51">
        <v>0</v>
      </c>
      <c r="J121" s="51">
        <v>0</v>
      </c>
      <c r="K121" s="86">
        <v>0</v>
      </c>
      <c r="L121" s="52">
        <f t="shared" si="11"/>
        <v>56.21</v>
      </c>
    </row>
    <row r="122" spans="1:17" hidden="1" outlineLevel="1">
      <c r="A122" s="123"/>
      <c r="B122" s="129"/>
      <c r="C122" s="28"/>
      <c r="D122" s="27" t="s">
        <v>85</v>
      </c>
      <c r="E122" s="9" t="s">
        <v>42</v>
      </c>
      <c r="F122" s="9" t="s">
        <v>123</v>
      </c>
      <c r="G122" s="8">
        <v>810</v>
      </c>
      <c r="H122" s="69">
        <v>60.71</v>
      </c>
      <c r="I122" s="51">
        <v>0</v>
      </c>
      <c r="J122" s="51">
        <v>0</v>
      </c>
      <c r="K122" s="86">
        <v>0</v>
      </c>
      <c r="L122" s="52">
        <f t="shared" si="11"/>
        <v>60.71</v>
      </c>
    </row>
    <row r="123" spans="1:17" hidden="1" outlineLevel="1">
      <c r="A123" s="123"/>
      <c r="B123" s="129"/>
      <c r="C123" s="28" t="s">
        <v>115</v>
      </c>
      <c r="D123" s="27" t="s">
        <v>85</v>
      </c>
      <c r="E123" s="9" t="s">
        <v>42</v>
      </c>
      <c r="F123" s="9" t="s">
        <v>110</v>
      </c>
      <c r="G123" s="8">
        <v>622</v>
      </c>
      <c r="H123" s="69">
        <v>789.57479999999998</v>
      </c>
      <c r="I123" s="58">
        <v>803.36</v>
      </c>
      <c r="J123" s="58">
        <v>803.36</v>
      </c>
      <c r="K123" s="58">
        <v>803.36</v>
      </c>
      <c r="L123" s="110">
        <f t="shared" si="11"/>
        <v>3199.6548000000003</v>
      </c>
      <c r="Q123" s="62">
        <f>H123+H125</f>
        <v>1062.7139999999999</v>
      </c>
    </row>
    <row r="124" spans="1:17" hidden="1" outlineLevel="1">
      <c r="A124" s="123"/>
      <c r="B124" s="129"/>
      <c r="C124" s="28" t="s">
        <v>114</v>
      </c>
      <c r="D124" s="27" t="s">
        <v>85</v>
      </c>
      <c r="E124" s="9" t="s">
        <v>42</v>
      </c>
      <c r="F124" s="9" t="s">
        <v>110</v>
      </c>
      <c r="G124" s="8">
        <v>810</v>
      </c>
      <c r="H124" s="69">
        <v>629.50049999999999</v>
      </c>
      <c r="I124" s="58">
        <v>640.52</v>
      </c>
      <c r="J124" s="58">
        <v>640.52</v>
      </c>
      <c r="K124" s="58">
        <v>640.52</v>
      </c>
      <c r="L124" s="110">
        <f t="shared" si="11"/>
        <v>2551.0605</v>
      </c>
      <c r="Q124" s="62">
        <f>H124+H126</f>
        <v>853.56</v>
      </c>
    </row>
    <row r="125" spans="1:17" hidden="1" outlineLevel="1">
      <c r="A125" s="123"/>
      <c r="B125" s="129"/>
      <c r="C125" s="28" t="s">
        <v>111</v>
      </c>
      <c r="D125" s="27" t="s">
        <v>85</v>
      </c>
      <c r="E125" s="9" t="s">
        <v>42</v>
      </c>
      <c r="F125" s="9" t="s">
        <v>110</v>
      </c>
      <c r="G125" s="8">
        <v>622</v>
      </c>
      <c r="H125" s="69">
        <v>273.13920000000002</v>
      </c>
      <c r="I125" s="51">
        <v>277.93</v>
      </c>
      <c r="J125" s="51">
        <v>277.93</v>
      </c>
      <c r="K125" s="51">
        <v>277.93</v>
      </c>
      <c r="L125" s="110">
        <f t="shared" si="11"/>
        <v>1106.9292</v>
      </c>
    </row>
    <row r="126" spans="1:17" hidden="1" outlineLevel="1">
      <c r="A126" s="123"/>
      <c r="B126" s="129"/>
      <c r="C126" s="28" t="s">
        <v>111</v>
      </c>
      <c r="D126" s="27" t="s">
        <v>85</v>
      </c>
      <c r="E126" s="9" t="s">
        <v>42</v>
      </c>
      <c r="F126" s="9" t="s">
        <v>110</v>
      </c>
      <c r="G126" s="8">
        <v>810</v>
      </c>
      <c r="H126" s="69">
        <v>224.05950000000001</v>
      </c>
      <c r="I126" s="51">
        <v>227.98</v>
      </c>
      <c r="J126" s="51">
        <v>227.98</v>
      </c>
      <c r="K126" s="51">
        <v>227.98</v>
      </c>
      <c r="L126" s="110">
        <f t="shared" si="11"/>
        <v>907.99950000000001</v>
      </c>
    </row>
    <row r="127" spans="1:17" hidden="1" outlineLevel="1">
      <c r="A127" s="123"/>
      <c r="B127" s="129"/>
      <c r="C127" s="28"/>
      <c r="D127" s="27" t="s">
        <v>85</v>
      </c>
      <c r="E127" s="9" t="s">
        <v>42</v>
      </c>
      <c r="F127" s="9" t="s">
        <v>95</v>
      </c>
      <c r="G127" s="8">
        <v>622</v>
      </c>
      <c r="H127" s="69">
        <v>2479.56</v>
      </c>
      <c r="I127" s="57">
        <v>2523</v>
      </c>
      <c r="J127" s="57">
        <v>2523</v>
      </c>
      <c r="K127" s="57">
        <v>2523</v>
      </c>
      <c r="L127" s="111">
        <f t="shared" si="11"/>
        <v>10048.56</v>
      </c>
    </row>
    <row r="128" spans="1:17" ht="15.75" hidden="1" outlineLevel="1" thickBot="1">
      <c r="A128" s="132"/>
      <c r="B128" s="130"/>
      <c r="C128" s="36"/>
      <c r="D128" s="39" t="s">
        <v>85</v>
      </c>
      <c r="E128" s="37" t="s">
        <v>42</v>
      </c>
      <c r="F128" s="37" t="s">
        <v>95</v>
      </c>
      <c r="G128" s="41">
        <v>810</v>
      </c>
      <c r="H128" s="71">
        <f>1993.14-1.5</f>
        <v>1991.64</v>
      </c>
      <c r="I128" s="60">
        <v>2026.5</v>
      </c>
      <c r="J128" s="60">
        <v>2026.5</v>
      </c>
      <c r="K128" s="60">
        <v>2026.5</v>
      </c>
      <c r="L128" s="112">
        <f t="shared" si="11"/>
        <v>8071.14</v>
      </c>
    </row>
    <row r="129" spans="1:12" ht="45.75" customHeight="1" collapsed="1">
      <c r="A129" s="114" t="s">
        <v>62</v>
      </c>
      <c r="B129" s="117" t="s">
        <v>33</v>
      </c>
      <c r="C129" s="6" t="s">
        <v>38</v>
      </c>
      <c r="D129" s="35" t="s">
        <v>32</v>
      </c>
      <c r="E129" s="35" t="s">
        <v>32</v>
      </c>
      <c r="F129" s="35" t="s">
        <v>32</v>
      </c>
      <c r="G129" s="35" t="s">
        <v>32</v>
      </c>
      <c r="H129" s="46">
        <f>SUM(H130:H134)</f>
        <v>4058.2000000000003</v>
      </c>
      <c r="I129" s="46">
        <f t="shared" ref="I129:K129" si="13">SUM(I130:I134)</f>
        <v>8505</v>
      </c>
      <c r="J129" s="46">
        <f t="shared" si="13"/>
        <v>6809.6</v>
      </c>
      <c r="K129" s="46">
        <f t="shared" si="13"/>
        <v>6809.6</v>
      </c>
      <c r="L129" s="47">
        <f>SUM(H129:K129)</f>
        <v>26182.400000000001</v>
      </c>
    </row>
    <row r="130" spans="1:12" ht="15" hidden="1" customHeight="1" outlineLevel="1">
      <c r="A130" s="115"/>
      <c r="B130" s="118"/>
      <c r="C130" s="4"/>
      <c r="D130" s="9" t="s">
        <v>31</v>
      </c>
      <c r="E130" s="9" t="s">
        <v>37</v>
      </c>
      <c r="F130" s="9" t="s">
        <v>88</v>
      </c>
      <c r="G130" s="8">
        <v>121</v>
      </c>
      <c r="H130" s="69">
        <f>1241.606-15.3</f>
        <v>1226.306</v>
      </c>
      <c r="I130" s="57">
        <v>1241.9739999999999</v>
      </c>
      <c r="J130" s="57">
        <v>1287.9870000000001</v>
      </c>
      <c r="K130" s="89">
        <v>1287.9870000000001</v>
      </c>
      <c r="L130" s="45">
        <f>SUM(H130:K130)</f>
        <v>5044.2539999999999</v>
      </c>
    </row>
    <row r="131" spans="1:12" ht="15" hidden="1" customHeight="1" outlineLevel="1">
      <c r="A131" s="115"/>
      <c r="B131" s="118"/>
      <c r="C131" s="5"/>
      <c r="D131" s="9" t="s">
        <v>31</v>
      </c>
      <c r="E131" s="9" t="s">
        <v>37</v>
      </c>
      <c r="F131" s="9" t="s">
        <v>88</v>
      </c>
      <c r="G131" s="8">
        <v>122</v>
      </c>
      <c r="H131" s="69">
        <v>35.15</v>
      </c>
      <c r="I131" s="57">
        <v>35.15</v>
      </c>
      <c r="J131" s="57">
        <v>35.15</v>
      </c>
      <c r="K131" s="57">
        <v>35.15</v>
      </c>
      <c r="L131" s="45">
        <f t="shared" ref="L131:L136" si="14">SUM(H131:K131)</f>
        <v>140.6</v>
      </c>
    </row>
    <row r="132" spans="1:12" ht="15" hidden="1" customHeight="1" outlineLevel="1">
      <c r="A132" s="115"/>
      <c r="B132" s="118"/>
      <c r="C132" s="5"/>
      <c r="D132" s="9" t="s">
        <v>31</v>
      </c>
      <c r="E132" s="9" t="s">
        <v>37</v>
      </c>
      <c r="F132" s="9" t="s">
        <v>88</v>
      </c>
      <c r="G132" s="8">
        <v>244</v>
      </c>
      <c r="H132" s="69">
        <v>262.34399999999999</v>
      </c>
      <c r="I132" s="57">
        <v>262.37599999999998</v>
      </c>
      <c r="J132" s="57">
        <v>262.363</v>
      </c>
      <c r="K132" s="57">
        <v>262.363</v>
      </c>
      <c r="L132" s="45">
        <f t="shared" si="14"/>
        <v>1049.4460000000001</v>
      </c>
    </row>
    <row r="133" spans="1:12" ht="15" hidden="1" customHeight="1" outlineLevel="1">
      <c r="A133" s="115"/>
      <c r="B133" s="118"/>
      <c r="C133" s="5"/>
      <c r="D133" s="9" t="s">
        <v>85</v>
      </c>
      <c r="E133" s="9" t="s">
        <v>37</v>
      </c>
      <c r="F133" s="9" t="s">
        <v>96</v>
      </c>
      <c r="G133" s="8">
        <v>412</v>
      </c>
      <c r="H133" s="57">
        <v>0</v>
      </c>
      <c r="I133" s="44">
        <v>1987.3</v>
      </c>
      <c r="J133" s="44">
        <v>2350.3000000000002</v>
      </c>
      <c r="K133" s="92">
        <v>2335.1999999999998</v>
      </c>
      <c r="L133" s="45">
        <f t="shared" si="14"/>
        <v>6672.8</v>
      </c>
    </row>
    <row r="134" spans="1:12" ht="15" hidden="1" customHeight="1" outlineLevel="1">
      <c r="A134" s="115"/>
      <c r="B134" s="118"/>
      <c r="C134" s="5"/>
      <c r="D134" s="9" t="s">
        <v>85</v>
      </c>
      <c r="E134" s="9" t="s">
        <v>37</v>
      </c>
      <c r="F134" s="9" t="s">
        <v>89</v>
      </c>
      <c r="G134" s="8">
        <v>412</v>
      </c>
      <c r="H134" s="69">
        <v>2534.4</v>
      </c>
      <c r="I134" s="44">
        <v>4978.2</v>
      </c>
      <c r="J134" s="44">
        <v>2873.8</v>
      </c>
      <c r="K134" s="92">
        <v>2888.9</v>
      </c>
      <c r="L134" s="45">
        <f t="shared" si="14"/>
        <v>13275.300000000001</v>
      </c>
    </row>
    <row r="135" spans="1:12" ht="26.25" collapsed="1">
      <c r="A135" s="115"/>
      <c r="B135" s="118"/>
      <c r="C135" s="28" t="s">
        <v>65</v>
      </c>
      <c r="D135" s="27" t="s">
        <v>31</v>
      </c>
      <c r="E135" s="33" t="s">
        <v>32</v>
      </c>
      <c r="F135" s="33" t="s">
        <v>32</v>
      </c>
      <c r="G135" s="33" t="s">
        <v>32</v>
      </c>
      <c r="H135" s="29">
        <f>H129-H136</f>
        <v>1523.8000000000002</v>
      </c>
      <c r="I135" s="29">
        <f t="shared" ref="I135:J135" si="15">I129-I136</f>
        <v>1539.5</v>
      </c>
      <c r="J135" s="29">
        <f t="shared" si="15"/>
        <v>1585.5</v>
      </c>
      <c r="K135" s="29">
        <f t="shared" ref="K135" si="16">K129-K136</f>
        <v>1585.5</v>
      </c>
      <c r="L135" s="45">
        <f t="shared" si="14"/>
        <v>6234.3</v>
      </c>
    </row>
    <row r="136" spans="1:12" ht="27" thickBot="1">
      <c r="A136" s="116"/>
      <c r="B136" s="119"/>
      <c r="C136" s="36" t="s">
        <v>66</v>
      </c>
      <c r="D136" s="39" t="s">
        <v>85</v>
      </c>
      <c r="E136" s="38" t="s">
        <v>32</v>
      </c>
      <c r="F136" s="38" t="s">
        <v>32</v>
      </c>
      <c r="G136" s="38" t="s">
        <v>32</v>
      </c>
      <c r="H136" s="40">
        <f>H134+H133</f>
        <v>2534.4</v>
      </c>
      <c r="I136" s="40">
        <f t="shared" ref="I136:J136" si="17">I134+I133</f>
        <v>6965.5</v>
      </c>
      <c r="J136" s="40">
        <f t="shared" si="17"/>
        <v>5224.1000000000004</v>
      </c>
      <c r="K136" s="40">
        <f t="shared" ref="K136" si="18">K134+K133</f>
        <v>5224.1000000000004</v>
      </c>
      <c r="L136" s="45">
        <f t="shared" si="14"/>
        <v>19948.099999999999</v>
      </c>
    </row>
    <row r="137" spans="1:12" ht="46.5" customHeight="1">
      <c r="A137" s="114" t="s">
        <v>68</v>
      </c>
      <c r="B137" s="117" t="s">
        <v>34</v>
      </c>
      <c r="C137" s="6" t="s">
        <v>38</v>
      </c>
      <c r="D137" s="35" t="s">
        <v>32</v>
      </c>
      <c r="E137" s="35" t="s">
        <v>32</v>
      </c>
      <c r="F137" s="35" t="s">
        <v>32</v>
      </c>
      <c r="G137" s="35" t="s">
        <v>32</v>
      </c>
      <c r="H137" s="59">
        <f>SUM(H138:H152)</f>
        <v>21520.708879999998</v>
      </c>
      <c r="I137" s="59">
        <f t="shared" ref="I137:K137" si="19">SUM(I138:I152)</f>
        <v>22794.005000000001</v>
      </c>
      <c r="J137" s="59">
        <f t="shared" si="19"/>
        <v>22794.005000000001</v>
      </c>
      <c r="K137" s="59">
        <f t="shared" si="19"/>
        <v>22794.005000000001</v>
      </c>
      <c r="L137" s="47">
        <f>SUM(H137:K137)</f>
        <v>89902.723880000005</v>
      </c>
    </row>
    <row r="138" spans="1:12" ht="15" hidden="1" customHeight="1" outlineLevel="1">
      <c r="A138" s="115"/>
      <c r="B138" s="118"/>
      <c r="C138" s="4"/>
      <c r="D138" s="9"/>
      <c r="E138" s="9"/>
      <c r="F138" s="9"/>
      <c r="G138" s="33"/>
      <c r="H138" s="29"/>
      <c r="I138" s="29"/>
      <c r="J138" s="29"/>
      <c r="K138" s="88"/>
      <c r="L138" s="45">
        <f>SUM(H138:K138)</f>
        <v>0</v>
      </c>
    </row>
    <row r="139" spans="1:12" ht="15" hidden="1" customHeight="1" outlineLevel="1">
      <c r="A139" s="115"/>
      <c r="B139" s="118"/>
      <c r="C139" s="5"/>
      <c r="D139" s="9" t="s">
        <v>31</v>
      </c>
      <c r="E139" s="9" t="s">
        <v>37</v>
      </c>
      <c r="F139" s="9" t="s">
        <v>90</v>
      </c>
      <c r="G139" s="8">
        <v>121</v>
      </c>
      <c r="H139" s="69">
        <f>3036.24075-30.34-25.44</f>
        <v>2980.4607499999997</v>
      </c>
      <c r="I139" s="51">
        <v>3300.1790000000001</v>
      </c>
      <c r="J139" s="51">
        <v>3300.1790000000001</v>
      </c>
      <c r="K139" s="51">
        <v>3300.1790000000001</v>
      </c>
      <c r="L139" s="45">
        <f t="shared" ref="L139:L153" si="20">SUM(H139:K139)</f>
        <v>12880.99775</v>
      </c>
    </row>
    <row r="140" spans="1:12" ht="15" hidden="1" customHeight="1" outlineLevel="1">
      <c r="A140" s="115"/>
      <c r="B140" s="118"/>
      <c r="C140" s="5"/>
      <c r="D140" s="9" t="s">
        <v>31</v>
      </c>
      <c r="E140" s="9" t="s">
        <v>37</v>
      </c>
      <c r="F140" s="9" t="s">
        <v>90</v>
      </c>
      <c r="G140" s="8">
        <v>122</v>
      </c>
      <c r="H140" s="69">
        <f>36.5908-25.871</f>
        <v>10.719800000000003</v>
      </c>
      <c r="I140" s="51">
        <v>19.84</v>
      </c>
      <c r="J140" s="51">
        <v>19.84</v>
      </c>
      <c r="K140" s="51">
        <v>19.84</v>
      </c>
      <c r="L140" s="45">
        <f t="shared" si="20"/>
        <v>70.239800000000002</v>
      </c>
    </row>
    <row r="141" spans="1:12" ht="15" hidden="1" customHeight="1" outlineLevel="1">
      <c r="A141" s="115"/>
      <c r="B141" s="118"/>
      <c r="C141" s="5" t="s">
        <v>129</v>
      </c>
      <c r="D141" s="9" t="s">
        <v>31</v>
      </c>
      <c r="E141" s="9" t="s">
        <v>37</v>
      </c>
      <c r="F141" s="9" t="s">
        <v>90</v>
      </c>
      <c r="G141" s="8">
        <v>244</v>
      </c>
      <c r="H141" s="69">
        <f>1210.43792-39.52612-180.3225</f>
        <v>990.58930000000009</v>
      </c>
      <c r="I141" s="51">
        <v>1045.6310000000001</v>
      </c>
      <c r="J141" s="51">
        <v>1045.6310000000001</v>
      </c>
      <c r="K141" s="51">
        <v>1045.6310000000001</v>
      </c>
      <c r="L141" s="45">
        <f t="shared" si="20"/>
        <v>4127.4823000000006</v>
      </c>
    </row>
    <row r="142" spans="1:12" ht="15" hidden="1" customHeight="1" outlineLevel="1">
      <c r="A142" s="115"/>
      <c r="B142" s="118"/>
      <c r="C142" s="5" t="s">
        <v>121</v>
      </c>
      <c r="D142" s="9" t="s">
        <v>31</v>
      </c>
      <c r="E142" s="9" t="s">
        <v>42</v>
      </c>
      <c r="F142" s="9" t="s">
        <v>120</v>
      </c>
      <c r="G142" s="8">
        <v>244</v>
      </c>
      <c r="H142" s="69">
        <v>19.96</v>
      </c>
      <c r="I142" s="51">
        <v>0</v>
      </c>
      <c r="J142" s="51">
        <v>0</v>
      </c>
      <c r="K142" s="86"/>
      <c r="L142" s="45">
        <f t="shared" si="20"/>
        <v>19.96</v>
      </c>
    </row>
    <row r="143" spans="1:12" ht="15" hidden="1" customHeight="1" outlineLevel="1">
      <c r="A143" s="115"/>
      <c r="B143" s="118"/>
      <c r="C143" s="5" t="s">
        <v>121</v>
      </c>
      <c r="D143" s="9" t="s">
        <v>31</v>
      </c>
      <c r="E143" s="9" t="s">
        <v>42</v>
      </c>
      <c r="F143" s="9" t="s">
        <v>120</v>
      </c>
      <c r="G143" s="8">
        <v>350</v>
      </c>
      <c r="H143" s="69">
        <f>38.8+1</f>
        <v>39.799999999999997</v>
      </c>
      <c r="I143" s="51">
        <v>0</v>
      </c>
      <c r="J143" s="51">
        <v>0</v>
      </c>
      <c r="K143" s="86"/>
      <c r="L143" s="45">
        <f t="shared" si="20"/>
        <v>39.799999999999997</v>
      </c>
    </row>
    <row r="144" spans="1:12" ht="15" hidden="1" customHeight="1" outlineLevel="1">
      <c r="A144" s="115"/>
      <c r="B144" s="118"/>
      <c r="C144" s="5"/>
      <c r="D144" s="9" t="s">
        <v>31</v>
      </c>
      <c r="E144" s="9" t="s">
        <v>37</v>
      </c>
      <c r="F144" s="9" t="s">
        <v>87</v>
      </c>
      <c r="G144" s="8">
        <v>111</v>
      </c>
      <c r="H144" s="69">
        <v>13594.582</v>
      </c>
      <c r="I144" s="51">
        <v>14274.31</v>
      </c>
      <c r="J144" s="51">
        <v>14274.31</v>
      </c>
      <c r="K144" s="51">
        <v>14274.31</v>
      </c>
      <c r="L144" s="45">
        <f t="shared" si="20"/>
        <v>56417.511999999995</v>
      </c>
    </row>
    <row r="145" spans="1:12" ht="15" hidden="1" customHeight="1" outlineLevel="1">
      <c r="A145" s="115"/>
      <c r="B145" s="118"/>
      <c r="C145" s="5"/>
      <c r="D145" s="9" t="s">
        <v>31</v>
      </c>
      <c r="E145" s="9" t="s">
        <v>37</v>
      </c>
      <c r="F145" s="9" t="s">
        <v>87</v>
      </c>
      <c r="G145" s="8">
        <v>112</v>
      </c>
      <c r="H145" s="69">
        <v>17.600000000000001</v>
      </c>
      <c r="I145" s="51">
        <v>24.52</v>
      </c>
      <c r="J145" s="51">
        <v>24.52</v>
      </c>
      <c r="K145" s="51">
        <v>24.52</v>
      </c>
      <c r="L145" s="45">
        <f t="shared" si="20"/>
        <v>91.16</v>
      </c>
    </row>
    <row r="146" spans="1:12" ht="15" hidden="1" customHeight="1" outlineLevel="1">
      <c r="A146" s="115"/>
      <c r="B146" s="118"/>
      <c r="C146" s="5" t="s">
        <v>128</v>
      </c>
      <c r="D146" s="9" t="s">
        <v>31</v>
      </c>
      <c r="E146" s="9" t="s">
        <v>37</v>
      </c>
      <c r="F146" s="9" t="s">
        <v>87</v>
      </c>
      <c r="G146" s="8">
        <v>244</v>
      </c>
      <c r="H146" s="69">
        <f>827.075-36.92-1-1</f>
        <v>788.15500000000009</v>
      </c>
      <c r="I146" s="51">
        <v>1035.183</v>
      </c>
      <c r="J146" s="51">
        <v>1035.183</v>
      </c>
      <c r="K146" s="51">
        <v>1035.183</v>
      </c>
      <c r="L146" s="45">
        <f t="shared" si="20"/>
        <v>3893.7040000000002</v>
      </c>
    </row>
    <row r="147" spans="1:12" ht="15" hidden="1" customHeight="1" outlineLevel="1">
      <c r="A147" s="115"/>
      <c r="B147" s="118"/>
      <c r="C147" s="5"/>
      <c r="D147" s="9" t="s">
        <v>31</v>
      </c>
      <c r="E147" s="9" t="s">
        <v>37</v>
      </c>
      <c r="F147" s="9" t="s">
        <v>87</v>
      </c>
      <c r="G147" s="8">
        <v>611</v>
      </c>
      <c r="H147" s="69">
        <f>2891.3+69.52</f>
        <v>2960.82</v>
      </c>
      <c r="I147" s="51">
        <v>3093.4319999999998</v>
      </c>
      <c r="J147" s="51">
        <v>3093.4319999999998</v>
      </c>
      <c r="K147" s="51">
        <v>3093.4319999999998</v>
      </c>
      <c r="L147" s="45">
        <f t="shared" si="20"/>
        <v>12241.116000000002</v>
      </c>
    </row>
    <row r="148" spans="1:12" ht="15" hidden="1" customHeight="1" outlineLevel="1">
      <c r="A148" s="115"/>
      <c r="B148" s="118"/>
      <c r="C148" s="5"/>
      <c r="D148" s="9" t="s">
        <v>31</v>
      </c>
      <c r="E148" s="9" t="s">
        <v>37</v>
      </c>
      <c r="F148" s="9" t="s">
        <v>90</v>
      </c>
      <c r="G148" s="8">
        <v>852</v>
      </c>
      <c r="H148" s="69">
        <v>0.83628000000000002</v>
      </c>
      <c r="I148" s="51">
        <v>0.25</v>
      </c>
      <c r="J148" s="51">
        <v>0.25</v>
      </c>
      <c r="K148" s="51">
        <v>0.25</v>
      </c>
      <c r="L148" s="45">
        <f t="shared" si="20"/>
        <v>1.5862799999999999</v>
      </c>
    </row>
    <row r="149" spans="1:12" ht="15" hidden="1" customHeight="1" outlineLevel="1">
      <c r="A149" s="115"/>
      <c r="B149" s="118"/>
      <c r="C149" s="5"/>
      <c r="D149" s="9" t="s">
        <v>31</v>
      </c>
      <c r="E149" s="9" t="s">
        <v>37</v>
      </c>
      <c r="F149" s="9" t="s">
        <v>87</v>
      </c>
      <c r="G149" s="8">
        <v>852</v>
      </c>
      <c r="H149" s="69">
        <f>0.65+1</f>
        <v>1.65</v>
      </c>
      <c r="I149" s="51">
        <v>0.66</v>
      </c>
      <c r="J149" s="51">
        <v>0.66</v>
      </c>
      <c r="K149" s="51">
        <v>0.66</v>
      </c>
      <c r="L149" s="45">
        <f t="shared" si="20"/>
        <v>3.6300000000000003</v>
      </c>
    </row>
    <row r="150" spans="1:12" ht="15" hidden="1" customHeight="1" outlineLevel="1">
      <c r="A150" s="115"/>
      <c r="B150" s="118"/>
      <c r="C150" s="5"/>
      <c r="D150" s="9" t="s">
        <v>31</v>
      </c>
      <c r="E150" s="9" t="s">
        <v>37</v>
      </c>
      <c r="F150" s="9" t="s">
        <v>108</v>
      </c>
      <c r="G150" s="8">
        <v>611</v>
      </c>
      <c r="H150" s="69">
        <f>0.4+0.16+0.64592</f>
        <v>1.2059200000000001</v>
      </c>
      <c r="I150" s="57">
        <v>0</v>
      </c>
      <c r="J150" s="57">
        <v>0</v>
      </c>
      <c r="K150" s="89"/>
      <c r="L150" s="45">
        <f t="shared" si="20"/>
        <v>1.2059200000000001</v>
      </c>
    </row>
    <row r="151" spans="1:12" ht="15" hidden="1" customHeight="1" outlineLevel="1">
      <c r="A151" s="115"/>
      <c r="B151" s="118"/>
      <c r="C151" s="5"/>
      <c r="D151" s="9" t="s">
        <v>31</v>
      </c>
      <c r="E151" s="9" t="s">
        <v>37</v>
      </c>
      <c r="F151" s="9" t="s">
        <v>108</v>
      </c>
      <c r="G151" s="8">
        <v>111</v>
      </c>
      <c r="H151" s="69">
        <f>2.6+2.58378</f>
        <v>5.1837800000000005</v>
      </c>
      <c r="I151" s="57">
        <v>0</v>
      </c>
      <c r="J151" s="57">
        <v>0</v>
      </c>
      <c r="K151" s="89"/>
      <c r="L151" s="45">
        <f t="shared" si="20"/>
        <v>5.1837800000000005</v>
      </c>
    </row>
    <row r="152" spans="1:12" ht="15" hidden="1" customHeight="1" outlineLevel="1">
      <c r="A152" s="115"/>
      <c r="B152" s="118"/>
      <c r="C152" s="5"/>
      <c r="D152" s="9" t="s">
        <v>31</v>
      </c>
      <c r="E152" s="9" t="s">
        <v>37</v>
      </c>
      <c r="F152" s="9" t="s">
        <v>108</v>
      </c>
      <c r="G152" s="8">
        <v>121</v>
      </c>
      <c r="H152" s="69">
        <f>70.02605+13.68+25.44</f>
        <v>109.14605</v>
      </c>
      <c r="I152" s="57">
        <v>0</v>
      </c>
      <c r="J152" s="57">
        <v>0</v>
      </c>
      <c r="K152" s="89"/>
      <c r="L152" s="45">
        <f t="shared" si="20"/>
        <v>109.14605</v>
      </c>
    </row>
    <row r="153" spans="1:12" ht="64.5" customHeight="1" collapsed="1" thickBot="1">
      <c r="A153" s="116"/>
      <c r="B153" s="119"/>
      <c r="C153" s="36" t="s">
        <v>65</v>
      </c>
      <c r="D153" s="39" t="s">
        <v>31</v>
      </c>
      <c r="E153" s="38" t="s">
        <v>32</v>
      </c>
      <c r="F153" s="38" t="s">
        <v>32</v>
      </c>
      <c r="G153" s="38" t="s">
        <v>32</v>
      </c>
      <c r="H153" s="63">
        <f>H137</f>
        <v>21520.708879999998</v>
      </c>
      <c r="I153" s="63">
        <f t="shared" ref="I153:K153" si="21">I137</f>
        <v>22794.005000000001</v>
      </c>
      <c r="J153" s="63">
        <f t="shared" si="21"/>
        <v>22794.005000000001</v>
      </c>
      <c r="K153" s="63">
        <f t="shared" si="21"/>
        <v>22794.005000000001</v>
      </c>
      <c r="L153" s="52">
        <f t="shared" si="20"/>
        <v>89902.723880000005</v>
      </c>
    </row>
  </sheetData>
  <autoFilter ref="D20:G153"/>
  <mergeCells count="17">
    <mergeCell ref="H11:L11"/>
    <mergeCell ref="A12:L12"/>
    <mergeCell ref="D14:G14"/>
    <mergeCell ref="H14:L14"/>
    <mergeCell ref="A14:A15"/>
    <mergeCell ref="B14:B15"/>
    <mergeCell ref="C14:C15"/>
    <mergeCell ref="A137:A153"/>
    <mergeCell ref="B137:B153"/>
    <mergeCell ref="B129:B136"/>
    <mergeCell ref="A129:A136"/>
    <mergeCell ref="A17:A19"/>
    <mergeCell ref="A20:A100"/>
    <mergeCell ref="B20:B100"/>
    <mergeCell ref="B17:B19"/>
    <mergeCell ref="B101:B128"/>
    <mergeCell ref="A101:A128"/>
  </mergeCells>
  <pageMargins left="0.70866141732283472" right="0" top="0" bottom="0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L44"/>
  <sheetViews>
    <sheetView zoomScaleSheetLayoutView="100" workbookViewId="0">
      <pane xSplit="2" ySplit="14" topLeftCell="C15" activePane="bottomRight" state="frozen"/>
      <selection pane="topRight" activeCell="C1" sqref="C1"/>
      <selection pane="bottomLeft" activeCell="A7" sqref="A7"/>
      <selection pane="bottomRight" activeCell="D13" sqref="D13:H13"/>
    </sheetView>
  </sheetViews>
  <sheetFormatPr defaultRowHeight="15" outlineLevelRow="1"/>
  <cols>
    <col min="1" max="1" width="26.140625" style="1" customWidth="1"/>
    <col min="2" max="2" width="24.5703125" style="1" customWidth="1"/>
    <col min="3" max="3" width="25.28515625" style="1" customWidth="1"/>
    <col min="4" max="4" width="15.28515625" style="1" customWidth="1"/>
    <col min="5" max="5" width="16.140625" style="1" customWidth="1"/>
    <col min="6" max="7" width="14.42578125" style="1" customWidth="1"/>
    <col min="8" max="8" width="16.28515625" style="1" bestFit="1" customWidth="1"/>
    <col min="9" max="9" width="11.140625" customWidth="1"/>
  </cols>
  <sheetData>
    <row r="1" spans="1:11" hidden="1" outlineLevel="1">
      <c r="D1" s="1" t="s">
        <v>101</v>
      </c>
    </row>
    <row r="2" spans="1:11" hidden="1" outlineLevel="1">
      <c r="D2" s="1" t="s">
        <v>100</v>
      </c>
    </row>
    <row r="3" spans="1:11" ht="15.75" hidden="1" outlineLevel="1">
      <c r="D3" s="68" t="s">
        <v>141</v>
      </c>
    </row>
    <row r="4" spans="1:11" hidden="1" outlineLevel="1"/>
    <row r="5" spans="1:11" hidden="1" outlineLevel="1"/>
    <row r="6" spans="1:11" ht="18.75" collapsed="1">
      <c r="A6" s="10"/>
      <c r="E6" s="24"/>
      <c r="F6" s="24" t="s">
        <v>45</v>
      </c>
      <c r="I6" s="23"/>
      <c r="J6" s="23"/>
      <c r="K6" s="23"/>
    </row>
    <row r="7" spans="1:11" ht="18.75">
      <c r="A7" s="10"/>
      <c r="E7" s="24"/>
      <c r="F7" s="24" t="s">
        <v>36</v>
      </c>
      <c r="I7" s="23"/>
      <c r="J7" s="23"/>
      <c r="K7" s="23"/>
    </row>
    <row r="8" spans="1:11" ht="18.75">
      <c r="A8" s="10"/>
      <c r="B8" s="26"/>
      <c r="C8" s="10"/>
      <c r="E8" s="24"/>
      <c r="F8" s="24" t="s">
        <v>59</v>
      </c>
      <c r="I8" s="23"/>
      <c r="J8" s="23"/>
      <c r="K8" s="23"/>
    </row>
    <row r="9" spans="1:11" ht="18.75">
      <c r="E9" s="25"/>
      <c r="F9" s="72" t="s">
        <v>194</v>
      </c>
      <c r="H9" s="20"/>
      <c r="I9" s="20"/>
      <c r="J9" s="20"/>
      <c r="K9" s="20"/>
    </row>
    <row r="10" spans="1:11" ht="31.5" customHeight="1">
      <c r="E10" s="22"/>
      <c r="H10" s="21"/>
      <c r="I10" s="21"/>
      <c r="J10" s="21"/>
      <c r="K10" s="21"/>
    </row>
    <row r="11" spans="1:11" ht="36" customHeight="1">
      <c r="A11" s="136" t="s">
        <v>12</v>
      </c>
      <c r="B11" s="136"/>
      <c r="C11" s="136"/>
      <c r="D11" s="136"/>
      <c r="E11" s="136"/>
      <c r="F11" s="136"/>
      <c r="G11" s="136"/>
      <c r="H11" s="136"/>
    </row>
    <row r="13" spans="1:11" ht="47.25" customHeight="1">
      <c r="A13" s="126" t="s">
        <v>44</v>
      </c>
      <c r="B13" s="126" t="s">
        <v>13</v>
      </c>
      <c r="C13" s="126" t="s">
        <v>14</v>
      </c>
      <c r="D13" s="126" t="s">
        <v>15</v>
      </c>
      <c r="E13" s="126"/>
      <c r="F13" s="126"/>
      <c r="G13" s="126"/>
      <c r="H13" s="126"/>
    </row>
    <row r="14" spans="1:11" ht="15.75" thickBot="1">
      <c r="A14" s="126"/>
      <c r="B14" s="126"/>
      <c r="C14" s="126"/>
      <c r="D14" s="2">
        <v>2014</v>
      </c>
      <c r="E14" s="2">
        <v>2015</v>
      </c>
      <c r="F14" s="2">
        <v>2016</v>
      </c>
      <c r="G14" s="33">
        <v>2017</v>
      </c>
      <c r="H14" s="3" t="s">
        <v>8</v>
      </c>
    </row>
    <row r="15" spans="1:11">
      <c r="A15" s="114" t="s">
        <v>9</v>
      </c>
      <c r="B15" s="134" t="s">
        <v>193</v>
      </c>
      <c r="C15" s="6" t="s">
        <v>16</v>
      </c>
      <c r="D15" s="54">
        <f>SUM(D16:D19)</f>
        <v>755448.48894999991</v>
      </c>
      <c r="E15" s="54">
        <f t="shared" ref="E15" si="0">SUM(E16:E19)</f>
        <v>540874.91999999993</v>
      </c>
      <c r="F15" s="54">
        <f>SUM(F16:F19)</f>
        <v>539179.5199999999</v>
      </c>
      <c r="G15" s="54">
        <f>SUM(G16:G19)</f>
        <v>539179.52000000002</v>
      </c>
      <c r="H15" s="55">
        <f>SUM(D15:G15)</f>
        <v>2374682.4489499996</v>
      </c>
    </row>
    <row r="16" spans="1:11">
      <c r="A16" s="115"/>
      <c r="B16" s="124"/>
      <c r="C16" s="4" t="s">
        <v>17</v>
      </c>
      <c r="D16" s="48">
        <f>D21+D31+D36</f>
        <v>171217.80000000002</v>
      </c>
      <c r="E16" s="48">
        <f t="shared" ref="E16:F16" si="1">E21+E31+E36</f>
        <v>1987.3</v>
      </c>
      <c r="F16" s="48">
        <f t="shared" si="1"/>
        <v>2350.3000000000002</v>
      </c>
      <c r="G16" s="48">
        <f t="shared" ref="G16" si="2">G21+G31+G36</f>
        <v>2335.1999999999998</v>
      </c>
      <c r="H16" s="45">
        <f>SUM(D16:G16)</f>
        <v>177890.6</v>
      </c>
    </row>
    <row r="17" spans="1:8">
      <c r="A17" s="115"/>
      <c r="B17" s="124"/>
      <c r="C17" s="4" t="s">
        <v>18</v>
      </c>
      <c r="D17" s="48">
        <f>D22+D32+D37+D27</f>
        <v>354043.11897999991</v>
      </c>
      <c r="E17" s="48">
        <f t="shared" ref="E17:F17" si="3">E22+E32+E37+E27</f>
        <v>301415.89999999997</v>
      </c>
      <c r="F17" s="48">
        <f t="shared" si="3"/>
        <v>299357.49999999994</v>
      </c>
      <c r="G17" s="48">
        <f t="shared" ref="G17" si="4">G22+G32+G37+G27</f>
        <v>299372.59999999998</v>
      </c>
      <c r="H17" s="45">
        <f t="shared" ref="H17:H19" si="5">SUM(D17:G17)</f>
        <v>1254189.1189799998</v>
      </c>
    </row>
    <row r="18" spans="1:8">
      <c r="A18" s="115"/>
      <c r="B18" s="124"/>
      <c r="C18" s="5" t="s">
        <v>19</v>
      </c>
      <c r="D18" s="48">
        <f>D23+D33+D38+D28</f>
        <v>22162.86</v>
      </c>
      <c r="E18" s="48">
        <f t="shared" ref="E18:F18" si="6">E23+E33+E38+E28</f>
        <v>24310.22</v>
      </c>
      <c r="F18" s="48">
        <f t="shared" si="6"/>
        <v>24310.22</v>
      </c>
      <c r="G18" s="48">
        <f t="shared" ref="G18" si="7">G23+G33+G38+G28</f>
        <v>24310.22</v>
      </c>
      <c r="H18" s="45">
        <f t="shared" si="5"/>
        <v>95093.52</v>
      </c>
    </row>
    <row r="19" spans="1:8" ht="15.75" thickBot="1">
      <c r="A19" s="116"/>
      <c r="B19" s="135"/>
      <c r="C19" s="7" t="s">
        <v>20</v>
      </c>
      <c r="D19" s="49">
        <f>D24+D34+D39+D29</f>
        <v>208024.70996999994</v>
      </c>
      <c r="E19" s="49">
        <f>E24+E34+E39+E29</f>
        <v>213161.5</v>
      </c>
      <c r="F19" s="49">
        <f t="shared" ref="F19:G19" si="8">F24+F34+F39+F29</f>
        <v>213161.5</v>
      </c>
      <c r="G19" s="49">
        <f t="shared" si="8"/>
        <v>213161.5</v>
      </c>
      <c r="H19" s="45">
        <f t="shared" si="5"/>
        <v>847509.20996999997</v>
      </c>
    </row>
    <row r="20" spans="1:8" ht="15" customHeight="1">
      <c r="A20" s="114" t="s">
        <v>11</v>
      </c>
      <c r="B20" s="134" t="s">
        <v>74</v>
      </c>
      <c r="C20" s="6" t="s">
        <v>16</v>
      </c>
      <c r="D20" s="54">
        <f>'ПР.4 мун.пр.'!H20</f>
        <v>699581.98886999988</v>
      </c>
      <c r="E20" s="54">
        <f>'ПР.4 мун.пр.'!I20</f>
        <v>488534.34566999995</v>
      </c>
      <c r="F20" s="54">
        <f>'ПР.4 мун.пр.'!J20</f>
        <v>488534.34566999995</v>
      </c>
      <c r="G20" s="54">
        <f>'ПР.4 мун.пр.'!K20</f>
        <v>488534.34566999995</v>
      </c>
      <c r="H20" s="55">
        <f>SUM(D20:G20)</f>
        <v>2165185.0258799996</v>
      </c>
    </row>
    <row r="21" spans="1:8">
      <c r="A21" s="115"/>
      <c r="B21" s="124"/>
      <c r="C21" s="4" t="s">
        <v>17</v>
      </c>
      <c r="D21" s="48">
        <f>'ПР.4 мун.пр.'!H63+'ПР.4 мун.пр.'!H64</f>
        <v>171217.80000000002</v>
      </c>
      <c r="E21" s="48">
        <f>'ПР.4 мун.пр.'!I63+'ПР.4 мун.пр.'!I64</f>
        <v>0</v>
      </c>
      <c r="F21" s="48">
        <f>'ПР.4 мун.пр.'!J63+'ПР.4 мун.пр.'!J64</f>
        <v>0</v>
      </c>
      <c r="G21" s="48">
        <f>'ПР.4 мун.пр.'!K63+'ПР.4 мун.пр.'!K64</f>
        <v>0</v>
      </c>
      <c r="H21" s="45">
        <f>SUM(D21:G21)</f>
        <v>171217.80000000002</v>
      </c>
    </row>
    <row r="22" spans="1:8">
      <c r="A22" s="115"/>
      <c r="B22" s="124"/>
      <c r="C22" s="4" t="s">
        <v>18</v>
      </c>
      <c r="D22" s="48">
        <f>'ПР.4 мун.пр.'!H22+'ПР.4 мун.пр.'!H25+'ПР.4 мун.пр.'!H26+'ПР.4 мун.пр.'!H29+'ПР.4 мун.пр.'!H30+'ПР.4 мун.пр.'!H31+'ПР.4 мун.пр.'!H33+'ПР.4 мун.пр.'!H35+'ПР.4 мун.пр.'!H37+'ПР.4 мун.пр.'!H39+'ПР.4 мун.пр.'!H40+'ПР.4 мун.пр.'!H41+'ПР.4 мун.пр.'!H46+'ПР.4 мун.пр.'!H51+'ПР.4 мун.пр.'!H52+'ПР.4 мун.пр.'!H53+'ПР.4 мун.пр.'!H55+'ПР.4 мун.пр.'!H58+'ПР.4 мун.пр.'!H59+'ПР.4 мун.пр.'!H60+'ПР.4 мун.пр.'!H62+'ПР.4 мун.пр.'!H67+'ПР.4 мун.пр.'!H69+'ПР.4 мун.пр.'!H72+'ПР.4 мун.пр.'!H73+'ПР.4 мун.пр.'!H74+'ПР.4 мун.пр.'!H75+'ПР.4 мун.пр.'!H76+'ПР.4 мун.пр.'!H77+'ПР.4 мун.пр.'!H78+'ПР.4 мун.пр.'!H80+'ПР.4 мун.пр.'!H81+'ПР.4 мун.пр.'!H88+'ПР.4 мун.пр.'!H89+'ПР.4 мун.пр.'!H91+'ПР.4 мун.пр.'!H92+'ПР.4 мун.пр.'!H93+'ПР.4 мун.пр.'!H95+'ПР.4 мун.пр.'!H70+'ПР.4 мун.пр.'!H47+'ПР.4 мун.пр.'!H48+'ПР.4 мун.пр.'!H49+'ПР.4 мун.пр.'!H56-51.56</f>
        <v>334840.89685999992</v>
      </c>
      <c r="E22" s="48">
        <f>'ПР.4 мун.пр.'!I22+'ПР.4 мун.пр.'!I25+'ПР.4 мун.пр.'!I26+'ПР.4 мун.пр.'!I29+'ПР.4 мун.пр.'!I30+'ПР.4 мун.пр.'!I31+'ПР.4 мун.пр.'!I33+'ПР.4 мун.пр.'!I35+'ПР.4 мун.пр.'!I37+'ПР.4 мун.пр.'!I39+'ПР.4 мун.пр.'!I40+'ПР.4 мун.пр.'!I41+'ПР.4 мун.пр.'!I46+'ПР.4 мун.пр.'!I51+'ПР.4 мун.пр.'!I52+'ПР.4 мун.пр.'!I53+'ПР.4 мун.пр.'!I55+'ПР.4 мун.пр.'!I58+'ПР.4 мун.пр.'!I59+'ПР.4 мун.пр.'!I60+'ПР.4 мун.пр.'!I62+'ПР.4 мун.пр.'!I67+'ПР.4 мун.пр.'!I69+'ПР.4 мун.пр.'!I72+'ПР.4 мун.пр.'!I73+'ПР.4 мун.пр.'!I74+'ПР.4 мун.пр.'!I75+'ПР.4 мун.пр.'!I76+'ПР.4 мун.пр.'!I77+'ПР.4 мун.пр.'!I78+'ПР.4 мун.пр.'!I80+'ПР.4 мун.пр.'!I81+'ПР.4 мун.пр.'!I88+'ПР.4 мун.пр.'!I89+'ПР.4 мун.пр.'!I91+'ПР.4 мун.пр.'!I92+'ПР.4 мун.пр.'!I93+'ПР.4 мун.пр.'!I95+'ПР.4 мун.пр.'!I70+'ПР.4 мун.пр.'!I47+'ПР.4 мун.пр.'!I48+'ПР.4 мун.пр.'!I49+'ПР.4 мун.пр.'!I64</f>
        <v>289200.62999999995</v>
      </c>
      <c r="F22" s="48">
        <f>'ПР.4 мун.пр.'!J22+'ПР.4 мун.пр.'!J25+'ПР.4 мун.пр.'!J26+'ПР.4 мун.пр.'!J29+'ПР.4 мун.пр.'!J30+'ПР.4 мун.пр.'!J31+'ПР.4 мун.пр.'!J33+'ПР.4 мун.пр.'!J35+'ПР.4 мун.пр.'!J37+'ПР.4 мун.пр.'!J39+'ПР.4 мун.пр.'!J40+'ПР.4 мун.пр.'!J41+'ПР.4 мун.пр.'!J46+'ПР.4 мун.пр.'!J51+'ПР.4 мун.пр.'!J52+'ПР.4 мун.пр.'!J53+'ПР.4 мун.пр.'!J55+'ПР.4 мун.пр.'!J58+'ПР.4 мун.пр.'!J59+'ПР.4 мун.пр.'!J60+'ПР.4 мун.пр.'!J62+'ПР.4 мун.пр.'!J67+'ПР.4 мун.пр.'!J69+'ПР.4 мун.пр.'!J72+'ПР.4 мун.пр.'!J73+'ПР.4 мун.пр.'!J74+'ПР.4 мун.пр.'!J75+'ПР.4 мун.пр.'!J76+'ПР.4 мун.пр.'!J77+'ПР.4 мун.пр.'!J78+'ПР.4 мун.пр.'!J80+'ПР.4 мун.пр.'!J81+'ПР.4 мун.пр.'!J88+'ПР.4 мун.пр.'!J89+'ПР.4 мун.пр.'!J91+'ПР.4 мун.пр.'!J92+'ПР.4 мун.пр.'!J93+'ПР.4 мун.пр.'!J95+'ПР.4 мун.пр.'!J70+'ПР.4 мун.пр.'!J47+'ПР.4 мун.пр.'!J48+'ПР.4 мун.пр.'!J49+'ПР.4 мун.пр.'!J64</f>
        <v>289200.62999999995</v>
      </c>
      <c r="G22" s="48">
        <f>'ПР.4 мун.пр.'!K22+'ПР.4 мун.пр.'!K25+'ПР.4 мун.пр.'!K26+'ПР.4 мун.пр.'!K29+'ПР.4 мун.пр.'!K30+'ПР.4 мун.пр.'!K31+'ПР.4 мун.пр.'!K33+'ПР.4 мун.пр.'!K35+'ПР.4 мун.пр.'!K37+'ПР.4 мун.пр.'!K39+'ПР.4 мун.пр.'!K40+'ПР.4 мун.пр.'!K41+'ПР.4 мун.пр.'!K46+'ПР.4 мун.пр.'!K51+'ПР.4 мун.пр.'!K52+'ПР.4 мун.пр.'!K53+'ПР.4 мун.пр.'!K55+'ПР.4 мун.пр.'!K58+'ПР.4 мун.пр.'!K59+'ПР.4 мун.пр.'!K60+'ПР.4 мун.пр.'!K62+'ПР.4 мун.пр.'!K67+'ПР.4 мун.пр.'!K69+'ПР.4 мун.пр.'!K72+'ПР.4 мун.пр.'!K73+'ПР.4 мун.пр.'!K74+'ПР.4 мун.пр.'!K75+'ПР.4 мун.пр.'!K76+'ПР.4 мун.пр.'!K77+'ПР.4 мун.пр.'!K78+'ПР.4 мун.пр.'!K80+'ПР.4 мун.пр.'!K81+'ПР.4 мун.пр.'!K88+'ПР.4 мун.пр.'!K89+'ПР.4 мун.пр.'!K91+'ПР.4 мун.пр.'!K92+'ПР.4 мун.пр.'!K93+'ПР.4 мун.пр.'!K95+'ПР.4 мун.пр.'!K70+'ПР.4 мун.пр.'!K47+'ПР.4 мун.пр.'!K48+'ПР.4 мун.пр.'!K49+'ПР.4 мун.пр.'!K64</f>
        <v>289200.62999999995</v>
      </c>
      <c r="H22" s="45">
        <f t="shared" ref="H22:H24" si="9">SUM(D22:G22)</f>
        <v>1202442.7868599996</v>
      </c>
    </row>
    <row r="23" spans="1:8">
      <c r="A23" s="115"/>
      <c r="B23" s="124"/>
      <c r="C23" s="5" t="s">
        <v>19</v>
      </c>
      <c r="D23" s="48">
        <f>'ПР.4 мун.пр.'!H43+'ПР.4 мун.пр.'!H42+'ПР.4 мун.пр.'!H44+'ПР.4 мун.пр.'!H45</f>
        <v>22162.86</v>
      </c>
      <c r="E23" s="48">
        <f>'ПР.4 мун.пр.'!I43+'ПР.4 мун.пр.'!I42+'ПР.4 мун.пр.'!I44+'ПР.4 мун.пр.'!I45</f>
        <v>24310.22</v>
      </c>
      <c r="F23" s="48">
        <f>'ПР.4 мун.пр.'!J43+'ПР.4 мун.пр.'!J42+'ПР.4 мун.пр.'!J44+'ПР.4 мун.пр.'!J45</f>
        <v>24310.22</v>
      </c>
      <c r="G23" s="48">
        <f>'ПР.4 мун.пр.'!K43+'ПР.4 мун.пр.'!K42+'ПР.4 мун.пр.'!K44+'ПР.4 мун.пр.'!K45</f>
        <v>24310.22</v>
      </c>
      <c r="H23" s="45">
        <f t="shared" si="9"/>
        <v>95093.52</v>
      </c>
    </row>
    <row r="24" spans="1:8" ht="15.75" thickBot="1">
      <c r="A24" s="116"/>
      <c r="B24" s="135"/>
      <c r="C24" s="7" t="s">
        <v>20</v>
      </c>
      <c r="D24" s="49">
        <f>D20-D22-D23-D21</f>
        <v>171360.43200999996</v>
      </c>
      <c r="E24" s="49">
        <f t="shared" ref="E24:G24" si="10">E20-E22-E23</f>
        <v>175023.49567</v>
      </c>
      <c r="F24" s="49">
        <f t="shared" si="10"/>
        <v>175023.49567</v>
      </c>
      <c r="G24" s="49">
        <f t="shared" si="10"/>
        <v>175023.49567</v>
      </c>
      <c r="H24" s="45">
        <f t="shared" si="9"/>
        <v>696430.91901999991</v>
      </c>
    </row>
    <row r="25" spans="1:8" ht="15" customHeight="1">
      <c r="A25" s="114" t="s">
        <v>58</v>
      </c>
      <c r="B25" s="134" t="s">
        <v>69</v>
      </c>
      <c r="C25" s="6" t="s">
        <v>16</v>
      </c>
      <c r="D25" s="54">
        <f>'ПР.4 мун.пр.'!H101</f>
        <v>30287.591199999992</v>
      </c>
      <c r="E25" s="54">
        <f>'ПР.4 мун.пр.'!I101</f>
        <v>21041.569330000002</v>
      </c>
      <c r="F25" s="54">
        <f>'ПР.4 мун.пр.'!J101</f>
        <v>21041.569330000002</v>
      </c>
      <c r="G25" s="54">
        <f>'ПР.4 мун.пр.'!K101</f>
        <v>21041.569330000002</v>
      </c>
      <c r="H25" s="55">
        <f>SUM(D25:G25)</f>
        <v>93412.299189999991</v>
      </c>
    </row>
    <row r="26" spans="1:8">
      <c r="A26" s="115"/>
      <c r="B26" s="124"/>
      <c r="C26" s="4" t="s">
        <v>17</v>
      </c>
      <c r="D26" s="48"/>
      <c r="E26" s="48"/>
      <c r="F26" s="48"/>
      <c r="G26" s="84"/>
      <c r="H26" s="45">
        <f>SUM(D26:G26)</f>
        <v>0</v>
      </c>
    </row>
    <row r="27" spans="1:8">
      <c r="A27" s="115"/>
      <c r="B27" s="124"/>
      <c r="C27" s="4" t="s">
        <v>18</v>
      </c>
      <c r="D27" s="48">
        <f>'ПР.4 мун.пр.'!H105+'ПР.4 мун.пр.'!H107+'ПР.4 мун.пр.'!H110+'ПР.4 мун.пр.'!H112+'ПР.4 мун.пр.'!H113+'ПР.4 мун.пр.'!H114+'ПР.4 мун.пр.'!H117+'ПР.4 мун.пр.'!H118+'ПР.4 мун.пр.'!H119+'ПР.4 мун.пр.'!H120+'ПР.4 мун.пр.'!H127+'ПР.4 мун.пр.'!H128+'ПР.4 мун.пр.'!H109</f>
        <v>15053.926369999999</v>
      </c>
      <c r="E27" s="48">
        <f>'ПР.4 мун.пр.'!I105+'ПР.4 мун.пр.'!I107+'ПР.4 мун.пр.'!I110+'ПР.4 мун.пр.'!I112+'ПР.4 мун.пр.'!I113+'ПР.4 мун.пр.'!I114+'ПР.4 мун.пр.'!I117+'ПР.4 мун.пр.'!I118+'ПР.4 мун.пр.'!I119+'ПР.4 мун.пр.'!I120+'ПР.4 мун.пр.'!I127+'ПР.4 мун.пр.'!I128</f>
        <v>5697.57</v>
      </c>
      <c r="F27" s="48">
        <f>'ПР.4 мун.пр.'!J105+'ПР.4 мун.пр.'!J107+'ПР.4 мун.пр.'!J110+'ПР.4 мун.пр.'!J112+'ПР.4 мун.пр.'!J113+'ПР.4 мун.пр.'!J114+'ПР.4 мун.пр.'!J117+'ПР.4 мун.пр.'!J118+'ПР.4 мун.пр.'!J119+'ПР.4 мун.пр.'!J120+'ПР.4 мун.пр.'!J127+'ПР.4 мун.пр.'!J128</f>
        <v>5697.57</v>
      </c>
      <c r="G27" s="48">
        <f>'ПР.4 мун.пр.'!K105+'ПР.4 мун.пр.'!K107+'ПР.4 мун.пр.'!K110+'ПР.4 мун.пр.'!K112+'ПР.4 мун.пр.'!K113+'ПР.4 мун.пр.'!K114+'ПР.4 мун.пр.'!K117+'ПР.4 мун.пр.'!K118+'ПР.4 мун.пр.'!K119+'ПР.4 мун.пр.'!K120+'ПР.4 мун.пр.'!K127+'ПР.4 мун.пр.'!K128</f>
        <v>5697.57</v>
      </c>
      <c r="H27" s="45">
        <f t="shared" ref="H27:H29" si="11">SUM(D27:G27)</f>
        <v>32146.63637</v>
      </c>
    </row>
    <row r="28" spans="1:8">
      <c r="A28" s="115"/>
      <c r="B28" s="124"/>
      <c r="C28" s="5" t="s">
        <v>19</v>
      </c>
      <c r="D28" s="48"/>
      <c r="E28" s="48"/>
      <c r="F28" s="48"/>
      <c r="G28" s="84"/>
      <c r="H28" s="45">
        <f t="shared" si="11"/>
        <v>0</v>
      </c>
    </row>
    <row r="29" spans="1:8" ht="15.75" thickBot="1">
      <c r="A29" s="116"/>
      <c r="B29" s="135"/>
      <c r="C29" s="7" t="s">
        <v>20</v>
      </c>
      <c r="D29" s="49">
        <f>D25-D27-D28</f>
        <v>15233.664829999992</v>
      </c>
      <c r="E29" s="49">
        <f>E25-E27-E28</f>
        <v>15343.999330000002</v>
      </c>
      <c r="F29" s="49">
        <f t="shared" ref="F29:G29" si="12">F25-F27-F28</f>
        <v>15343.999330000002</v>
      </c>
      <c r="G29" s="49">
        <f t="shared" si="12"/>
        <v>15343.999330000002</v>
      </c>
      <c r="H29" s="45">
        <f t="shared" si="11"/>
        <v>61265.662819999998</v>
      </c>
    </row>
    <row r="30" spans="1:8" ht="15" customHeight="1">
      <c r="A30" s="114" t="s">
        <v>62</v>
      </c>
      <c r="B30" s="134" t="s">
        <v>33</v>
      </c>
      <c r="C30" s="6" t="s">
        <v>16</v>
      </c>
      <c r="D30" s="54">
        <f>'ПР.4 мун.пр.'!H129</f>
        <v>4058.2000000000003</v>
      </c>
      <c r="E30" s="54">
        <f>'ПР.4 мун.пр.'!I129</f>
        <v>8505</v>
      </c>
      <c r="F30" s="54">
        <f>'ПР.4 мун.пр.'!J129</f>
        <v>6809.6</v>
      </c>
      <c r="G30" s="54">
        <f>'ПР.4 мун.пр.'!K129</f>
        <v>6809.6</v>
      </c>
      <c r="H30" s="55">
        <f>SUM(D30:G30)</f>
        <v>26182.400000000001</v>
      </c>
    </row>
    <row r="31" spans="1:8">
      <c r="A31" s="115"/>
      <c r="B31" s="124"/>
      <c r="C31" s="4" t="s">
        <v>17</v>
      </c>
      <c r="D31" s="48">
        <v>0</v>
      </c>
      <c r="E31" s="48">
        <v>1987.3</v>
      </c>
      <c r="F31" s="48">
        <v>2350.3000000000002</v>
      </c>
      <c r="G31" s="84">
        <v>2335.1999999999998</v>
      </c>
      <c r="H31" s="45">
        <f>SUM(D31:G31)</f>
        <v>6672.8</v>
      </c>
    </row>
    <row r="32" spans="1:8">
      <c r="A32" s="115"/>
      <c r="B32" s="124"/>
      <c r="C32" s="4" t="s">
        <v>18</v>
      </c>
      <c r="D32" s="48">
        <f>D30-D31</f>
        <v>4058.2000000000003</v>
      </c>
      <c r="E32" s="48">
        <f t="shared" ref="E32:G32" si="13">E30-E31</f>
        <v>6517.7</v>
      </c>
      <c r="F32" s="48">
        <f t="shared" si="13"/>
        <v>4459.3</v>
      </c>
      <c r="G32" s="48">
        <f t="shared" si="13"/>
        <v>4474.4000000000005</v>
      </c>
      <c r="H32" s="45">
        <f t="shared" ref="H32:H34" si="14">SUM(D32:G32)</f>
        <v>19509.600000000002</v>
      </c>
    </row>
    <row r="33" spans="1:12" ht="17.25" customHeight="1">
      <c r="A33" s="115"/>
      <c r="B33" s="124"/>
      <c r="C33" s="5" t="s">
        <v>19</v>
      </c>
      <c r="D33" s="48"/>
      <c r="E33" s="48"/>
      <c r="F33" s="48"/>
      <c r="G33" s="84"/>
      <c r="H33" s="45">
        <f t="shared" si="14"/>
        <v>0</v>
      </c>
    </row>
    <row r="34" spans="1:12" ht="17.25" customHeight="1" thickBot="1">
      <c r="A34" s="116"/>
      <c r="B34" s="135"/>
      <c r="C34" s="7" t="s">
        <v>20</v>
      </c>
      <c r="D34" s="49"/>
      <c r="E34" s="49"/>
      <c r="F34" s="49"/>
      <c r="G34" s="85"/>
      <c r="H34" s="45">
        <f t="shared" si="14"/>
        <v>0</v>
      </c>
    </row>
    <row r="35" spans="1:12" ht="15" customHeight="1">
      <c r="A35" s="114" t="s">
        <v>68</v>
      </c>
      <c r="B35" s="134" t="s">
        <v>34</v>
      </c>
      <c r="C35" s="6" t="s">
        <v>16</v>
      </c>
      <c r="D35" s="54">
        <f>'ПР.4 мун.пр.'!H137</f>
        <v>21520.708879999998</v>
      </c>
      <c r="E35" s="54">
        <f>'ПР.4 мун.пр.'!I137</f>
        <v>22794.005000000001</v>
      </c>
      <c r="F35" s="54">
        <f>'ПР.4 мун.пр.'!J137</f>
        <v>22794.005000000001</v>
      </c>
      <c r="G35" s="54">
        <f>'ПР.4 мун.пр.'!K137</f>
        <v>22794.005000000001</v>
      </c>
      <c r="H35" s="55">
        <f>SUM(D35:G35)</f>
        <v>89902.723880000005</v>
      </c>
    </row>
    <row r="36" spans="1:12">
      <c r="A36" s="115"/>
      <c r="B36" s="124"/>
      <c r="C36" s="4" t="s">
        <v>17</v>
      </c>
      <c r="D36" s="48"/>
      <c r="E36" s="48"/>
      <c r="F36" s="48"/>
      <c r="G36" s="84"/>
      <c r="H36" s="45">
        <f>SUM(D36:G36)</f>
        <v>0</v>
      </c>
    </row>
    <row r="37" spans="1:12">
      <c r="A37" s="115"/>
      <c r="B37" s="124"/>
      <c r="C37" s="4" t="s">
        <v>18</v>
      </c>
      <c r="D37" s="48">
        <f>'ПР.4 мун.пр.'!H152+'ПР.4 мун.пр.'!H150+'ПР.4 мун.пр.'!H151-25.44</f>
        <v>90.09575000000001</v>
      </c>
      <c r="E37" s="48">
        <f>'ПР.4 мун.пр.'!I152+'ПР.4 мун.пр.'!I150+'ПР.4 мун.пр.'!I151</f>
        <v>0</v>
      </c>
      <c r="F37" s="48">
        <f>'ПР.4 мун.пр.'!J152+'ПР.4 мун.пр.'!J150+'ПР.4 мун.пр.'!J151</f>
        <v>0</v>
      </c>
      <c r="G37" s="48">
        <f>'ПР.4 мун.пр.'!K152+'ПР.4 мун.пр.'!K150+'ПР.4 мун.пр.'!K151</f>
        <v>0</v>
      </c>
      <c r="H37" s="45">
        <f t="shared" ref="H37:H39" si="15">SUM(D37:G37)</f>
        <v>90.09575000000001</v>
      </c>
    </row>
    <row r="38" spans="1:12">
      <c r="A38" s="115"/>
      <c r="B38" s="124"/>
      <c r="C38" s="5" t="s">
        <v>19</v>
      </c>
      <c r="D38" s="48"/>
      <c r="E38" s="48"/>
      <c r="F38" s="48"/>
      <c r="G38" s="84"/>
      <c r="H38" s="45">
        <f t="shared" si="15"/>
        <v>0</v>
      </c>
    </row>
    <row r="39" spans="1:12" ht="16.5" customHeight="1" thickBot="1">
      <c r="A39" s="116"/>
      <c r="B39" s="135"/>
      <c r="C39" s="7" t="s">
        <v>20</v>
      </c>
      <c r="D39" s="49">
        <f>D35-D37</f>
        <v>21430.613129999998</v>
      </c>
      <c r="E39" s="49">
        <f t="shared" ref="E39:G39" si="16">E35-E37</f>
        <v>22794.005000000001</v>
      </c>
      <c r="F39" s="49">
        <f t="shared" si="16"/>
        <v>22794.005000000001</v>
      </c>
      <c r="G39" s="49">
        <f t="shared" si="16"/>
        <v>22794.005000000001</v>
      </c>
      <c r="H39" s="50">
        <f t="shared" si="15"/>
        <v>89812.628130000012</v>
      </c>
    </row>
    <row r="44" spans="1:12">
      <c r="I44" s="1"/>
      <c r="J44" s="1"/>
      <c r="K44" s="1"/>
      <c r="L44" s="1"/>
    </row>
  </sheetData>
  <mergeCells count="15">
    <mergeCell ref="A11:H11"/>
    <mergeCell ref="A13:A14"/>
    <mergeCell ref="B13:B14"/>
    <mergeCell ref="C13:C14"/>
    <mergeCell ref="D13:H13"/>
    <mergeCell ref="A30:A34"/>
    <mergeCell ref="B30:B34"/>
    <mergeCell ref="A35:A39"/>
    <mergeCell ref="B35:B39"/>
    <mergeCell ref="A15:A19"/>
    <mergeCell ref="B15:B19"/>
    <mergeCell ref="A20:A24"/>
    <mergeCell ref="B20:B24"/>
    <mergeCell ref="A25:A29"/>
    <mergeCell ref="B25:B29"/>
  </mergeCells>
  <pageMargins left="0.51181102362204722" right="0.11811023622047245" top="0.35433070866141736" bottom="0" header="0.31496062992125984" footer="0.31496062992125984"/>
  <pageSetup paperSize="9" scale="9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N54"/>
  <sheetViews>
    <sheetView zoomScaleSheetLayoutView="100" workbookViewId="0">
      <pane xSplit="1" ySplit="13" topLeftCell="B40" activePane="bottomRight" state="frozen"/>
      <selection pane="topRight" activeCell="B1" sqref="B1"/>
      <selection pane="bottomLeft" activeCell="A6" sqref="A6"/>
      <selection pane="bottomRight" activeCell="A13" sqref="A13:M13"/>
    </sheetView>
  </sheetViews>
  <sheetFormatPr defaultRowHeight="15" outlineLevelRow="1"/>
  <cols>
    <col min="1" max="1" width="33.5703125" style="1" customWidth="1"/>
    <col min="2" max="2" width="6.28515625" style="1" customWidth="1"/>
    <col min="3" max="3" width="7.42578125" style="1" customWidth="1"/>
    <col min="4" max="4" width="6.28515625" style="1" customWidth="1"/>
    <col min="5" max="5" width="6.42578125" style="1" customWidth="1"/>
    <col min="6" max="6" width="7.140625" style="1" customWidth="1"/>
    <col min="7" max="7" width="6.28515625" style="1" customWidth="1"/>
    <col min="8" max="8" width="11.28515625" style="1" customWidth="1"/>
    <col min="9" max="9" width="11.5703125" style="1" customWidth="1"/>
    <col min="10" max="10" width="11.28515625" style="1" customWidth="1"/>
    <col min="11" max="11" width="12.5703125" style="1" customWidth="1"/>
    <col min="12" max="12" width="11.85546875" style="1" customWidth="1"/>
    <col min="13" max="13" width="12" style="1" customWidth="1"/>
    <col min="14" max="14" width="10" bestFit="1" customWidth="1"/>
  </cols>
  <sheetData>
    <row r="1" spans="1:13" ht="15.75" hidden="1" customHeight="1" outlineLevel="1">
      <c r="I1" s="1" t="s">
        <v>102</v>
      </c>
    </row>
    <row r="2" spans="1:13" hidden="1" outlineLevel="1">
      <c r="I2" s="1" t="s">
        <v>100</v>
      </c>
    </row>
    <row r="3" spans="1:13" ht="15.75" hidden="1" outlineLevel="1">
      <c r="I3" s="68" t="s">
        <v>141</v>
      </c>
    </row>
    <row r="4" spans="1:13" ht="18.75" collapsed="1">
      <c r="A4"/>
      <c r="J4" s="137" t="s">
        <v>49</v>
      </c>
      <c r="K4" s="137"/>
      <c r="L4" s="137"/>
      <c r="M4"/>
    </row>
    <row r="5" spans="1:13" ht="18.75">
      <c r="A5"/>
      <c r="J5" s="137" t="s">
        <v>36</v>
      </c>
      <c r="K5" s="137"/>
      <c r="L5" s="137"/>
      <c r="M5"/>
    </row>
    <row r="6" spans="1:13" ht="18.75">
      <c r="A6"/>
      <c r="C6" s="26"/>
      <c r="F6" s="23"/>
      <c r="G6" s="23"/>
      <c r="H6" s="23"/>
      <c r="I6" s="23"/>
      <c r="J6" s="22" t="s">
        <v>60</v>
      </c>
      <c r="K6" s="22"/>
      <c r="L6" s="22"/>
      <c r="M6" s="73"/>
    </row>
    <row r="7" spans="1:13" ht="18.75">
      <c r="E7" s="23"/>
      <c r="F7" s="23"/>
      <c r="G7" s="23"/>
      <c r="H7" s="23"/>
      <c r="I7" s="23"/>
      <c r="J7" s="73" t="s">
        <v>195</v>
      </c>
      <c r="K7" s="22"/>
      <c r="L7" s="22"/>
      <c r="M7" s="73"/>
    </row>
    <row r="8" spans="1:13" ht="18.75">
      <c r="J8" s="21"/>
      <c r="K8" s="21"/>
      <c r="L8" s="21"/>
      <c r="M8" s="21"/>
    </row>
    <row r="9" spans="1:13" ht="42" customHeight="1">
      <c r="A9" s="113" t="s">
        <v>21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</row>
    <row r="11" spans="1:13" ht="48" customHeight="1">
      <c r="A11" s="126" t="s">
        <v>22</v>
      </c>
      <c r="B11" s="126" t="s">
        <v>23</v>
      </c>
      <c r="C11" s="126"/>
      <c r="D11" s="126"/>
      <c r="E11" s="126"/>
      <c r="F11" s="126"/>
      <c r="G11" s="126"/>
      <c r="H11" s="126" t="s">
        <v>24</v>
      </c>
      <c r="I11" s="126"/>
      <c r="J11" s="126"/>
      <c r="K11" s="126"/>
      <c r="L11" s="126"/>
      <c r="M11" s="126"/>
    </row>
    <row r="12" spans="1:13">
      <c r="A12" s="126"/>
      <c r="B12" s="5">
        <v>2012</v>
      </c>
      <c r="C12" s="5">
        <v>2013</v>
      </c>
      <c r="D12" s="5">
        <v>2014</v>
      </c>
      <c r="E12" s="5">
        <v>2015</v>
      </c>
      <c r="F12" s="5">
        <v>2016</v>
      </c>
      <c r="G12" s="5">
        <v>2017</v>
      </c>
      <c r="H12" s="5">
        <v>2012</v>
      </c>
      <c r="I12" s="5">
        <v>2013</v>
      </c>
      <c r="J12" s="5">
        <v>2014</v>
      </c>
      <c r="K12" s="5">
        <v>2015</v>
      </c>
      <c r="L12" s="5">
        <v>2016</v>
      </c>
      <c r="M12" s="5">
        <v>2017</v>
      </c>
    </row>
    <row r="13" spans="1:13" ht="29.25" customHeight="1">
      <c r="A13" s="141" t="s">
        <v>25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</row>
    <row r="14" spans="1:13">
      <c r="A14" s="139" t="s">
        <v>46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</row>
    <row r="15" spans="1:13" ht="45">
      <c r="A15" s="11" t="s">
        <v>75</v>
      </c>
      <c r="B15" s="12">
        <v>1951</v>
      </c>
      <c r="C15" s="12">
        <v>2008</v>
      </c>
      <c r="D15" s="12">
        <f>D16</f>
        <v>2019</v>
      </c>
      <c r="E15" s="12">
        <f t="shared" ref="E15:G15" si="0">E16</f>
        <v>2055</v>
      </c>
      <c r="F15" s="12">
        <f t="shared" si="0"/>
        <v>2056</v>
      </c>
      <c r="G15" s="12">
        <f t="shared" si="0"/>
        <v>2057</v>
      </c>
      <c r="H15" s="13">
        <v>68464.2</v>
      </c>
      <c r="I15" s="13">
        <v>75810.149999999994</v>
      </c>
      <c r="J15" s="13">
        <v>91063.03</v>
      </c>
      <c r="K15" s="13">
        <v>94656.4</v>
      </c>
      <c r="L15" s="13">
        <v>94656.4</v>
      </c>
      <c r="M15" s="13">
        <v>94656.4</v>
      </c>
    </row>
    <row r="16" spans="1:13" ht="30">
      <c r="A16" s="11" t="s">
        <v>51</v>
      </c>
      <c r="B16" s="16">
        <v>1951</v>
      </c>
      <c r="C16" s="16">
        <v>2008</v>
      </c>
      <c r="D16" s="16">
        <v>2019</v>
      </c>
      <c r="E16" s="16">
        <v>2055</v>
      </c>
      <c r="F16" s="16">
        <v>2056</v>
      </c>
      <c r="G16" s="16">
        <v>2057</v>
      </c>
      <c r="H16" s="17">
        <v>68464.2</v>
      </c>
      <c r="I16" s="17">
        <v>75810.149999999994</v>
      </c>
      <c r="J16" s="17">
        <f>94063.03-760.3-610.8+13.6-300+8.98-4000-532.20929</f>
        <v>87882.300709999996</v>
      </c>
      <c r="K16" s="17">
        <f>94656.4-500+1561.9-4197.01</f>
        <v>91521.29</v>
      </c>
      <c r="L16" s="17">
        <f t="shared" ref="L16:M16" si="1">94656.4-500+1561.9-4197.01</f>
        <v>91521.29</v>
      </c>
      <c r="M16" s="17">
        <f t="shared" si="1"/>
        <v>91521.29</v>
      </c>
    </row>
    <row r="17" spans="1:14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4" ht="30" customHeight="1">
      <c r="A18" s="141" t="s">
        <v>26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</row>
    <row r="19" spans="1:14">
      <c r="A19" s="139" t="s">
        <v>46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</row>
    <row r="20" spans="1:14" ht="45">
      <c r="A20" s="11" t="s">
        <v>76</v>
      </c>
      <c r="B20" s="12">
        <v>2187</v>
      </c>
      <c r="C20" s="12">
        <v>2151</v>
      </c>
      <c r="D20" s="12">
        <v>2158</v>
      </c>
      <c r="E20" s="12">
        <f>E21</f>
        <v>2207</v>
      </c>
      <c r="F20" s="12">
        <f t="shared" ref="F20:G20" si="2">F21</f>
        <v>2215</v>
      </c>
      <c r="G20" s="12">
        <f t="shared" si="2"/>
        <v>2235</v>
      </c>
      <c r="H20" s="14">
        <v>81666.7</v>
      </c>
      <c r="I20" s="14">
        <v>82660.7</v>
      </c>
      <c r="J20" s="14">
        <v>101013</v>
      </c>
      <c r="K20" s="14">
        <v>103999.9</v>
      </c>
      <c r="L20" s="14">
        <v>103999.9</v>
      </c>
      <c r="M20" s="14">
        <v>103999.9</v>
      </c>
    </row>
    <row r="21" spans="1:14" ht="30">
      <c r="A21" s="11" t="s">
        <v>51</v>
      </c>
      <c r="B21" s="16">
        <v>2187</v>
      </c>
      <c r="C21" s="16">
        <v>2151</v>
      </c>
      <c r="D21" s="16">
        <v>2158</v>
      </c>
      <c r="E21" s="16">
        <v>2207</v>
      </c>
      <c r="F21" s="16">
        <v>2215</v>
      </c>
      <c r="G21" s="16">
        <v>2235</v>
      </c>
      <c r="H21" s="18">
        <v>81666.7</v>
      </c>
      <c r="I21" s="18">
        <v>82660.7</v>
      </c>
      <c r="J21" s="18">
        <f>103021.4-2008.4+1498.78-410.46-600-3000-242.10834</f>
        <v>98259.211659999986</v>
      </c>
      <c r="K21" s="18">
        <f>103999.9-1000-200+2000</f>
        <v>104799.9</v>
      </c>
      <c r="L21" s="18">
        <f>103999.9-1000-200+2000</f>
        <v>104799.9</v>
      </c>
      <c r="M21" s="18">
        <f>103999.9-1000-200+2000</f>
        <v>104799.9</v>
      </c>
    </row>
    <row r="22" spans="1:14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4" ht="30" customHeight="1">
      <c r="A23" s="141" t="s">
        <v>27</v>
      </c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</row>
    <row r="24" spans="1:14">
      <c r="A24" s="139" t="s">
        <v>46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</row>
    <row r="25" spans="1:14" ht="45">
      <c r="A25" s="11" t="s">
        <v>76</v>
      </c>
      <c r="B25" s="12">
        <v>611</v>
      </c>
      <c r="C25" s="12">
        <v>581</v>
      </c>
      <c r="D25" s="12">
        <v>499</v>
      </c>
      <c r="E25" s="12">
        <f>E26</f>
        <v>462</v>
      </c>
      <c r="F25" s="12">
        <f t="shared" ref="F25:G25" si="3">F26</f>
        <v>485</v>
      </c>
      <c r="G25" s="12">
        <f t="shared" si="3"/>
        <v>500</v>
      </c>
      <c r="H25" s="14">
        <v>8597.5</v>
      </c>
      <c r="I25" s="14">
        <v>22714.799999999999</v>
      </c>
      <c r="J25" s="14">
        <f>J26</f>
        <v>24684.39</v>
      </c>
      <c r="K25" s="14">
        <f t="shared" ref="K25:M25" si="4">K26</f>
        <v>27967.100000000002</v>
      </c>
      <c r="L25" s="14">
        <f t="shared" si="4"/>
        <v>27967.100000000002</v>
      </c>
      <c r="M25" s="14">
        <f t="shared" si="4"/>
        <v>27967.100000000002</v>
      </c>
      <c r="N25" s="15"/>
    </row>
    <row r="26" spans="1:14" ht="30">
      <c r="A26" s="11" t="s">
        <v>51</v>
      </c>
      <c r="B26" s="16">
        <v>611</v>
      </c>
      <c r="C26" s="16">
        <v>581</v>
      </c>
      <c r="D26" s="16">
        <v>499</v>
      </c>
      <c r="E26" s="16">
        <v>462</v>
      </c>
      <c r="F26" s="16">
        <v>485</v>
      </c>
      <c r="G26" s="16">
        <v>500</v>
      </c>
      <c r="H26" s="18">
        <v>8597.5</v>
      </c>
      <c r="I26" s="18">
        <v>22714.799999999999</v>
      </c>
      <c r="J26" s="18">
        <f>26875.17-1563.77-627.01</f>
        <v>24684.39</v>
      </c>
      <c r="K26" s="18">
        <f>27430.4+1295.9-1800+1000+40.8</f>
        <v>27967.100000000002</v>
      </c>
      <c r="L26" s="18">
        <f>K26</f>
        <v>27967.100000000002</v>
      </c>
      <c r="M26" s="18">
        <f>L26</f>
        <v>27967.100000000002</v>
      </c>
    </row>
    <row r="27" spans="1:14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4" ht="14.25" customHeight="1">
      <c r="A28" s="140" t="s">
        <v>29</v>
      </c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</row>
    <row r="29" spans="1:14" ht="15" customHeight="1">
      <c r="A29" s="139" t="s">
        <v>46</v>
      </c>
      <c r="B29" s="139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</row>
    <row r="30" spans="1:14" ht="45">
      <c r="A30" s="11" t="s">
        <v>77</v>
      </c>
      <c r="B30" s="12">
        <v>1656</v>
      </c>
      <c r="C30" s="12">
        <v>1656</v>
      </c>
      <c r="D30" s="12">
        <v>1659</v>
      </c>
      <c r="E30" s="12">
        <v>1659</v>
      </c>
      <c r="F30" s="12">
        <v>1659</v>
      </c>
      <c r="G30" s="12">
        <v>1659</v>
      </c>
      <c r="H30" s="14">
        <v>10052.959999999999</v>
      </c>
      <c r="I30" s="14">
        <v>11037.9</v>
      </c>
      <c r="J30" s="14">
        <v>14518.1</v>
      </c>
      <c r="K30" s="14">
        <v>14764.6</v>
      </c>
      <c r="L30" s="14">
        <v>14764.6</v>
      </c>
      <c r="M30" s="14">
        <v>14764.6</v>
      </c>
    </row>
    <row r="31" spans="1:14" ht="30">
      <c r="A31" s="11" t="s">
        <v>52</v>
      </c>
      <c r="B31" s="16">
        <v>1656</v>
      </c>
      <c r="C31" s="16">
        <v>1656</v>
      </c>
      <c r="D31" s="16">
        <v>1659</v>
      </c>
      <c r="E31" s="16">
        <v>1659</v>
      </c>
      <c r="F31" s="16">
        <v>1659</v>
      </c>
      <c r="G31" s="16">
        <v>1659</v>
      </c>
      <c r="H31" s="18">
        <v>10052.959999999999</v>
      </c>
      <c r="I31" s="18">
        <v>11037.9</v>
      </c>
      <c r="J31" s="18">
        <f>J52</f>
        <v>13392.316870000001</v>
      </c>
      <c r="K31" s="18">
        <f t="shared" ref="K31:L31" si="5">K52</f>
        <v>13393.27</v>
      </c>
      <c r="L31" s="18">
        <f t="shared" si="5"/>
        <v>13393.27</v>
      </c>
      <c r="M31" s="18">
        <f t="shared" ref="M31" si="6">M52</f>
        <v>13393.27</v>
      </c>
    </row>
    <row r="32" spans="1:14" ht="14.25" customHeight="1">
      <c r="A32" s="138" t="s">
        <v>28</v>
      </c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</row>
    <row r="33" spans="1:13" ht="14.25" customHeight="1">
      <c r="A33" s="139" t="s">
        <v>48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</row>
    <row r="34" spans="1:13" ht="45">
      <c r="A34" s="11" t="s">
        <v>75</v>
      </c>
      <c r="B34" s="12">
        <v>2146</v>
      </c>
      <c r="C34" s="12">
        <v>2166</v>
      </c>
      <c r="D34" s="12">
        <f>D35</f>
        <v>2421</v>
      </c>
      <c r="E34" s="12">
        <f t="shared" ref="E34:G34" si="7">E35</f>
        <v>2691</v>
      </c>
      <c r="F34" s="12">
        <f t="shared" si="7"/>
        <v>2691</v>
      </c>
      <c r="G34" s="12">
        <f t="shared" si="7"/>
        <v>2690</v>
      </c>
      <c r="H34" s="14">
        <v>122836.5</v>
      </c>
      <c r="I34" s="14">
        <v>140382.1</v>
      </c>
      <c r="J34" s="14">
        <v>89260</v>
      </c>
      <c r="K34" s="14">
        <v>95332.3</v>
      </c>
      <c r="L34" s="14">
        <v>95332.3</v>
      </c>
      <c r="M34" s="14">
        <v>95332.3</v>
      </c>
    </row>
    <row r="35" spans="1:13" ht="30">
      <c r="A35" s="11" t="s">
        <v>53</v>
      </c>
      <c r="B35" s="16">
        <v>2146</v>
      </c>
      <c r="C35" s="16">
        <v>2166</v>
      </c>
      <c r="D35" s="16">
        <v>2421</v>
      </c>
      <c r="E35" s="16">
        <f>2881-190</f>
        <v>2691</v>
      </c>
      <c r="F35" s="16">
        <v>2691</v>
      </c>
      <c r="G35" s="16">
        <v>2690</v>
      </c>
      <c r="H35" s="18">
        <v>122836.5</v>
      </c>
      <c r="I35" s="18">
        <v>140382.1</v>
      </c>
      <c r="J35" s="18">
        <f>J51</f>
        <v>175447.83000000002</v>
      </c>
      <c r="K35" s="18">
        <f>K51</f>
        <v>189520.99099999998</v>
      </c>
      <c r="L35" s="18">
        <f>L51</f>
        <v>189520.99099999998</v>
      </c>
      <c r="M35" s="18">
        <f>M51</f>
        <v>189520.99099999998</v>
      </c>
    </row>
    <row r="36" spans="1:1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ht="14.25" customHeight="1">
      <c r="A37" s="138" t="s">
        <v>30</v>
      </c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</row>
    <row r="38" spans="1:13" ht="18" customHeight="1">
      <c r="A38" s="139" t="s">
        <v>47</v>
      </c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</row>
    <row r="39" spans="1:13" ht="60" customHeight="1">
      <c r="A39" s="11" t="s">
        <v>78</v>
      </c>
      <c r="B39" s="12">
        <v>715</v>
      </c>
      <c r="C39" s="12">
        <v>715</v>
      </c>
      <c r="D39" s="12">
        <f>D40</f>
        <v>608</v>
      </c>
      <c r="E39" s="12">
        <f t="shared" ref="E39:F39" si="8">E40</f>
        <v>608</v>
      </c>
      <c r="F39" s="12">
        <f t="shared" si="8"/>
        <v>608</v>
      </c>
      <c r="G39" s="12">
        <v>608</v>
      </c>
      <c r="H39" s="14">
        <v>2671.7</v>
      </c>
      <c r="I39" s="14">
        <v>2796.8</v>
      </c>
      <c r="J39" s="14">
        <v>2951.3</v>
      </c>
      <c r="K39" s="14">
        <v>3093.4319999999998</v>
      </c>
      <c r="L39" s="14">
        <v>3093.4319999999998</v>
      </c>
      <c r="M39" s="14">
        <v>3093.4319999999998</v>
      </c>
    </row>
    <row r="40" spans="1:13" ht="45">
      <c r="A40" s="11" t="s">
        <v>63</v>
      </c>
      <c r="B40" s="16">
        <v>715</v>
      </c>
      <c r="C40" s="16">
        <v>715</v>
      </c>
      <c r="D40" s="16">
        <v>608</v>
      </c>
      <c r="E40" s="16">
        <v>608</v>
      </c>
      <c r="F40" s="16">
        <v>608</v>
      </c>
      <c r="G40" s="16"/>
      <c r="H40" s="18">
        <v>2671.7</v>
      </c>
      <c r="I40" s="18">
        <v>2796.8</v>
      </c>
      <c r="J40" s="18">
        <f>J53</f>
        <v>2962.02592</v>
      </c>
      <c r="K40" s="18">
        <f t="shared" ref="K40:L40" si="9">K53</f>
        <v>3093.4319999999998</v>
      </c>
      <c r="L40" s="18">
        <f t="shared" si="9"/>
        <v>3093.4319999999998</v>
      </c>
      <c r="M40" s="18">
        <f t="shared" ref="M40" si="10">M53</f>
        <v>3093.4319999999998</v>
      </c>
    </row>
    <row r="47" spans="1:13">
      <c r="J47" s="19"/>
    </row>
    <row r="48" spans="1:13">
      <c r="J48" s="66">
        <f>J50-J49</f>
        <v>0</v>
      </c>
      <c r="K48" s="66">
        <f t="shared" ref="K48:L48" si="11">K50-K49</f>
        <v>0</v>
      </c>
      <c r="L48" s="66">
        <f t="shared" si="11"/>
        <v>0</v>
      </c>
      <c r="M48" s="66">
        <f t="shared" ref="M48" si="12">M50-M49</f>
        <v>0</v>
      </c>
    </row>
    <row r="49" spans="1:13" ht="15" hidden="1" customHeight="1" outlineLevel="1">
      <c r="J49" s="66">
        <f>J16+J21+J26</f>
        <v>210825.90236999997</v>
      </c>
      <c r="K49" s="66">
        <f t="shared" ref="K49:L49" si="13">K16+K21+K26</f>
        <v>224288.29</v>
      </c>
      <c r="L49" s="66">
        <f t="shared" si="13"/>
        <v>224288.29</v>
      </c>
      <c r="M49" s="66">
        <f t="shared" ref="M49" si="14">M16+M21+M26</f>
        <v>224288.29</v>
      </c>
    </row>
    <row r="50" spans="1:13" ht="15" hidden="1" customHeight="1" outlineLevel="1">
      <c r="A50" s="1" t="s">
        <v>54</v>
      </c>
      <c r="J50" s="67">
        <v>210825.90237</v>
      </c>
      <c r="K50" s="66">
        <f>58054.787+11690.519+125562.93+28980.054</f>
        <v>224288.28999999998</v>
      </c>
      <c r="L50" s="66">
        <f t="shared" ref="L50:M50" si="15">58054.787+11690.519+125562.93+28980.054</f>
        <v>224288.28999999998</v>
      </c>
      <c r="M50" s="66">
        <f t="shared" si="15"/>
        <v>224288.28999999998</v>
      </c>
    </row>
    <row r="51" spans="1:13" ht="15" hidden="1" customHeight="1" outlineLevel="1">
      <c r="A51" s="1" t="s">
        <v>55</v>
      </c>
      <c r="J51" s="66">
        <f>191802.17279-J52-J53</f>
        <v>175447.83000000002</v>
      </c>
      <c r="K51" s="66">
        <f>72944.189+20063.385+74761.281+21752.136</f>
        <v>189520.99099999998</v>
      </c>
      <c r="L51" s="66">
        <f t="shared" ref="L51:M51" si="16">72944.189+20063.385+74761.281+21752.136</f>
        <v>189520.99099999998</v>
      </c>
      <c r="M51" s="66">
        <f t="shared" si="16"/>
        <v>189520.99099999998</v>
      </c>
    </row>
    <row r="52" spans="1:13" ht="15" hidden="1" customHeight="1" outlineLevel="1">
      <c r="A52" s="1" t="s">
        <v>56</v>
      </c>
      <c r="J52" s="66">
        <f>8535.55687+4856.76</f>
        <v>13392.316870000001</v>
      </c>
      <c r="K52" s="66">
        <v>13393.27</v>
      </c>
      <c r="L52" s="66">
        <v>13393.27</v>
      </c>
      <c r="M52" s="66">
        <v>13393.27</v>
      </c>
    </row>
    <row r="53" spans="1:13" ht="15" hidden="1" customHeight="1" outlineLevel="1">
      <c r="A53" s="1" t="s">
        <v>57</v>
      </c>
      <c r="J53" s="66">
        <v>2962.02592</v>
      </c>
      <c r="K53" s="66">
        <v>3093.4319999999998</v>
      </c>
      <c r="L53" s="66">
        <v>3093.4319999999998</v>
      </c>
      <c r="M53" s="66">
        <v>3093.4319999999998</v>
      </c>
    </row>
    <row r="54" spans="1:13" collapsed="1"/>
  </sheetData>
  <mergeCells count="18">
    <mergeCell ref="J4:L4"/>
    <mergeCell ref="A11:A12"/>
    <mergeCell ref="A24:M24"/>
    <mergeCell ref="A38:M38"/>
    <mergeCell ref="A33:M33"/>
    <mergeCell ref="A32:M32"/>
    <mergeCell ref="A29:M29"/>
    <mergeCell ref="A28:M28"/>
    <mergeCell ref="A9:M9"/>
    <mergeCell ref="J5:L5"/>
    <mergeCell ref="B11:G11"/>
    <mergeCell ref="H11:M11"/>
    <mergeCell ref="A37:M37"/>
    <mergeCell ref="A13:M13"/>
    <mergeCell ref="A14:M14"/>
    <mergeCell ref="A18:M18"/>
    <mergeCell ref="A19:M19"/>
    <mergeCell ref="A23:M23"/>
  </mergeCells>
  <pageMargins left="0.31496062992125984" right="0" top="0.35433070866141736" bottom="0" header="0.31496062992125984" footer="0.31496062992125984"/>
  <pageSetup paperSize="9" scale="9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пр.3</vt:lpstr>
      <vt:lpstr>ПР.4 мун.пр.</vt:lpstr>
      <vt:lpstr>пр.5 мун.пр.</vt:lpstr>
      <vt:lpstr>пр.6. мун.пр.</vt:lpstr>
      <vt:lpstr>'ПР.4 мун.пр.'!Заголовки_для_печати</vt:lpstr>
      <vt:lpstr>'пр.6. мун.пр.'!Заголовки_для_печати</vt:lpstr>
      <vt:lpstr>'пр.6. мун.пр.'!Область_печати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2014-10-28T01:33:30Z</dcterms:modified>
</cp:coreProperties>
</file>