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3"/>
  </bookViews>
  <sheets>
    <sheet name="з.пл." sheetId="1" r:id="rId1"/>
    <sheet name="материалы" sheetId="4" r:id="rId2"/>
    <sheet name="материалы (2)" sheetId="6" r:id="rId3"/>
    <sheet name="иные" sheetId="5" r:id="rId4"/>
  </sheets>
  <definedNames>
    <definedName name="_xlnm.Print_Titles" localSheetId="3">иные!$5:$6</definedName>
    <definedName name="_xlnm.Print_Titles" localSheetId="1">материалы!$4:$5</definedName>
  </definedNames>
  <calcPr calcId="124519"/>
</workbook>
</file>

<file path=xl/calcChain.xml><?xml version="1.0" encoding="utf-8"?>
<calcChain xmlns="http://schemas.openxmlformats.org/spreadsheetml/2006/main">
  <c r="G57" i="5"/>
  <c r="J98" i="4"/>
  <c r="J97"/>
  <c r="G53" i="5"/>
  <c r="L19" i="1"/>
  <c r="G48" i="5"/>
  <c r="J83" i="4"/>
  <c r="J82"/>
  <c r="I83"/>
  <c r="I82"/>
  <c r="G44" i="5"/>
  <c r="G39"/>
  <c r="J68" i="4"/>
  <c r="J67"/>
  <c r="I68"/>
  <c r="I67"/>
  <c r="G35" i="5" l="1"/>
  <c r="J61" i="4"/>
  <c r="J60"/>
  <c r="I61"/>
  <c r="I60"/>
  <c r="G31" i="5" l="1"/>
  <c r="L12" i="1"/>
  <c r="J54" i="4"/>
  <c r="I54"/>
  <c r="H30" i="5"/>
  <c r="I47" i="4"/>
  <c r="I46"/>
  <c r="L11" i="1"/>
  <c r="G27" i="5"/>
  <c r="J47" i="4"/>
  <c r="J46"/>
  <c r="G23" i="5"/>
  <c r="L10" i="1" l="1"/>
  <c r="J40" i="4"/>
  <c r="I40"/>
  <c r="J39"/>
  <c r="I39"/>
  <c r="G19" i="5"/>
  <c r="F30" i="4"/>
  <c r="L8" i="1"/>
  <c r="G15" i="5"/>
  <c r="J25" i="4"/>
  <c r="H17"/>
  <c r="L7" i="1" l="1"/>
  <c r="G11" i="5"/>
  <c r="J20" i="4"/>
  <c r="I12"/>
  <c r="I20"/>
  <c r="J15"/>
  <c r="I15"/>
  <c r="F15"/>
  <c r="F20" i="6"/>
  <c r="I20" s="1"/>
  <c r="F19"/>
  <c r="I19" s="1"/>
  <c r="F17"/>
  <c r="I17" s="1"/>
  <c r="F16"/>
  <c r="I16" s="1"/>
  <c r="I7"/>
  <c r="I8"/>
  <c r="I9"/>
  <c r="I10"/>
  <c r="I11"/>
  <c r="I12"/>
  <c r="I13"/>
  <c r="I14"/>
  <c r="F7"/>
  <c r="F8"/>
  <c r="F9"/>
  <c r="F10"/>
  <c r="F12"/>
  <c r="F14"/>
  <c r="H6" l="1"/>
  <c r="F6"/>
  <c r="F7" i="4"/>
  <c r="F8"/>
  <c r="F9"/>
  <c r="H9"/>
  <c r="I6" i="6" l="1"/>
  <c r="I8" i="4"/>
  <c r="J8" s="1"/>
  <c r="G9" i="5"/>
  <c r="I7"/>
  <c r="G7"/>
  <c r="J12" i="4" l="1"/>
  <c r="F16" l="1"/>
  <c r="I16" s="1"/>
  <c r="J16" s="1"/>
  <c r="F23"/>
  <c r="I23" s="1"/>
  <c r="I30"/>
  <c r="F43"/>
  <c r="I43" s="1"/>
  <c r="J43" s="1"/>
  <c r="F50"/>
  <c r="I50" s="1"/>
  <c r="J50" s="1"/>
  <c r="F57"/>
  <c r="I57" s="1"/>
  <c r="J57" s="1"/>
  <c r="F79"/>
  <c r="I79" s="1"/>
  <c r="J79" s="1"/>
  <c r="F64"/>
  <c r="I64" s="1"/>
  <c r="J64" s="1"/>
  <c r="F87"/>
  <c r="I87" s="1"/>
  <c r="F94"/>
  <c r="I94" s="1"/>
  <c r="F72"/>
  <c r="I72" s="1"/>
  <c r="H24"/>
  <c r="H31"/>
  <c r="H44"/>
  <c r="H58"/>
  <c r="H80"/>
  <c r="H71"/>
  <c r="F73"/>
  <c r="J94" l="1"/>
  <c r="I98"/>
  <c r="J87"/>
  <c r="I91"/>
  <c r="J91" s="1"/>
  <c r="J72"/>
  <c r="I76"/>
  <c r="J76" s="1"/>
  <c r="J30"/>
  <c r="I34"/>
  <c r="J34" s="1"/>
  <c r="J23"/>
  <c r="I27"/>
  <c r="J27" s="1"/>
  <c r="I25"/>
  <c r="I26" s="1"/>
  <c r="J26" s="1"/>
  <c r="F59" i="5"/>
  <c r="H59" s="1"/>
  <c r="I59" s="1"/>
  <c r="F58"/>
  <c r="H58" s="1"/>
  <c r="I58" s="1"/>
  <c r="F57"/>
  <c r="H57" s="1"/>
  <c r="H55"/>
  <c r="I55" s="1"/>
  <c r="F55"/>
  <c r="F54"/>
  <c r="H54" s="1"/>
  <c r="I54" s="1"/>
  <c r="F53"/>
  <c r="H53" s="1"/>
  <c r="F50"/>
  <c r="H50" s="1"/>
  <c r="I50" s="1"/>
  <c r="F49"/>
  <c r="H49" s="1"/>
  <c r="I49" s="1"/>
  <c r="F48"/>
  <c r="H48" s="1"/>
  <c r="F46"/>
  <c r="H46" s="1"/>
  <c r="I46" s="1"/>
  <c r="F45"/>
  <c r="H45" s="1"/>
  <c r="I45" s="1"/>
  <c r="F44"/>
  <c r="H44" s="1"/>
  <c r="I44" s="1"/>
  <c r="F95" i="4"/>
  <c r="I95" s="1"/>
  <c r="J95" s="1"/>
  <c r="F93"/>
  <c r="I93" s="1"/>
  <c r="J93" s="1"/>
  <c r="F92"/>
  <c r="I92" s="1"/>
  <c r="F88"/>
  <c r="I88" s="1"/>
  <c r="J88" s="1"/>
  <c r="F86"/>
  <c r="I86" s="1"/>
  <c r="J86" s="1"/>
  <c r="F85"/>
  <c r="I85" s="1"/>
  <c r="J85" s="1"/>
  <c r="F80"/>
  <c r="I80" s="1"/>
  <c r="J80" s="1"/>
  <c r="F78"/>
  <c r="I78" s="1"/>
  <c r="J78" s="1"/>
  <c r="F77"/>
  <c r="I77" s="1"/>
  <c r="I73"/>
  <c r="J73" s="1"/>
  <c r="F71"/>
  <c r="I71" s="1"/>
  <c r="J71" s="1"/>
  <c r="F70"/>
  <c r="I70" s="1"/>
  <c r="F41" i="5"/>
  <c r="H41" s="1"/>
  <c r="I41" s="1"/>
  <c r="F40"/>
  <c r="H40" s="1"/>
  <c r="I40" s="1"/>
  <c r="F39"/>
  <c r="H39" s="1"/>
  <c r="F37"/>
  <c r="H37" s="1"/>
  <c r="I37" s="1"/>
  <c r="F36"/>
  <c r="H36" s="1"/>
  <c r="I36" s="1"/>
  <c r="F35"/>
  <c r="H35" s="1"/>
  <c r="F33"/>
  <c r="H33" s="1"/>
  <c r="I33" s="1"/>
  <c r="F32"/>
  <c r="H32" s="1"/>
  <c r="I32" s="1"/>
  <c r="F31"/>
  <c r="H31" s="1"/>
  <c r="F65" i="4"/>
  <c r="I65" s="1"/>
  <c r="J65" s="1"/>
  <c r="F63"/>
  <c r="I63" s="1"/>
  <c r="J63" s="1"/>
  <c r="F62"/>
  <c r="I62" s="1"/>
  <c r="F58"/>
  <c r="I58" s="1"/>
  <c r="J58" s="1"/>
  <c r="F56"/>
  <c r="I56" s="1"/>
  <c r="J56" s="1"/>
  <c r="F55"/>
  <c r="I55" s="1"/>
  <c r="F51"/>
  <c r="I51" s="1"/>
  <c r="J51" s="1"/>
  <c r="F49"/>
  <c r="I49" s="1"/>
  <c r="J49" s="1"/>
  <c r="F48"/>
  <c r="I48" s="1"/>
  <c r="F29" i="5"/>
  <c r="H29" s="1"/>
  <c r="I29" s="1"/>
  <c r="F28"/>
  <c r="H28" s="1"/>
  <c r="I28" s="1"/>
  <c r="F27"/>
  <c r="H27" s="1"/>
  <c r="F25"/>
  <c r="H25" s="1"/>
  <c r="I25" s="1"/>
  <c r="F24"/>
  <c r="H24" s="1"/>
  <c r="I24" s="1"/>
  <c r="F23"/>
  <c r="H23" s="1"/>
  <c r="F21"/>
  <c r="H21" s="1"/>
  <c r="I21" s="1"/>
  <c r="F20"/>
  <c r="H20" s="1"/>
  <c r="I20" s="1"/>
  <c r="F19"/>
  <c r="H19" s="1"/>
  <c r="F44" i="4"/>
  <c r="I44" s="1"/>
  <c r="J44" s="1"/>
  <c r="F42"/>
  <c r="I42" s="1"/>
  <c r="J42" s="1"/>
  <c r="F41"/>
  <c r="I41" s="1"/>
  <c r="F37"/>
  <c r="I37" s="1"/>
  <c r="J37" s="1"/>
  <c r="F36"/>
  <c r="I36" s="1"/>
  <c r="J36" s="1"/>
  <c r="F35"/>
  <c r="I35" s="1"/>
  <c r="F31"/>
  <c r="I31" s="1"/>
  <c r="J31" s="1"/>
  <c r="F29"/>
  <c r="I29" s="1"/>
  <c r="J29" s="1"/>
  <c r="F28"/>
  <c r="I28" s="1"/>
  <c r="F24"/>
  <c r="I24" s="1"/>
  <c r="J24" s="1"/>
  <c r="F22"/>
  <c r="I22" s="1"/>
  <c r="J22" s="1"/>
  <c r="F21"/>
  <c r="I21" s="1"/>
  <c r="F17"/>
  <c r="I17" s="1"/>
  <c r="J17" s="1"/>
  <c r="F14"/>
  <c r="I14" s="1"/>
  <c r="J14" s="1"/>
  <c r="F13"/>
  <c r="I13" s="1"/>
  <c r="F17" i="5"/>
  <c r="H17" s="1"/>
  <c r="I17" s="1"/>
  <c r="F16"/>
  <c r="H16" s="1"/>
  <c r="I16" s="1"/>
  <c r="F15"/>
  <c r="H15" s="1"/>
  <c r="F13"/>
  <c r="H13" s="1"/>
  <c r="I13" s="1"/>
  <c r="F12"/>
  <c r="H12" s="1"/>
  <c r="I12" s="1"/>
  <c r="F11"/>
  <c r="H11" s="1"/>
  <c r="I74" i="4" l="1"/>
  <c r="I75" s="1"/>
  <c r="J75" s="1"/>
  <c r="I53" i="5"/>
  <c r="H56"/>
  <c r="I56" s="1"/>
  <c r="H60"/>
  <c r="I60" s="1"/>
  <c r="I57"/>
  <c r="H51"/>
  <c r="I51" s="1"/>
  <c r="I48"/>
  <c r="H47"/>
  <c r="I47" s="1"/>
  <c r="I96" i="4"/>
  <c r="J92"/>
  <c r="I89"/>
  <c r="J70"/>
  <c r="J74"/>
  <c r="I81"/>
  <c r="J81" s="1"/>
  <c r="J77"/>
  <c r="H42" i="5"/>
  <c r="I42" s="1"/>
  <c r="I39"/>
  <c r="H38"/>
  <c r="I38" s="1"/>
  <c r="I35"/>
  <c r="H34"/>
  <c r="I34" s="1"/>
  <c r="I31"/>
  <c r="I66" i="4"/>
  <c r="J66" s="1"/>
  <c r="J62"/>
  <c r="I59"/>
  <c r="J59" s="1"/>
  <c r="J55"/>
  <c r="I52"/>
  <c r="J48"/>
  <c r="I30" i="5"/>
  <c r="I27"/>
  <c r="H26"/>
  <c r="I26" s="1"/>
  <c r="I23"/>
  <c r="H22"/>
  <c r="I22" s="1"/>
  <c r="I19"/>
  <c r="I45" i="4"/>
  <c r="J45" s="1"/>
  <c r="J41"/>
  <c r="I38"/>
  <c r="J38" s="1"/>
  <c r="J35"/>
  <c r="I32"/>
  <c r="J28"/>
  <c r="J21"/>
  <c r="I18"/>
  <c r="J13"/>
  <c r="H18" i="5"/>
  <c r="I18" s="1"/>
  <c r="I15"/>
  <c r="H14"/>
  <c r="I14" s="1"/>
  <c r="I11"/>
  <c r="I9" i="4"/>
  <c r="J9" s="1"/>
  <c r="I7"/>
  <c r="N15" i="1"/>
  <c r="N18"/>
  <c r="N6"/>
  <c r="L6"/>
  <c r="N7"/>
  <c r="N8"/>
  <c r="L9"/>
  <c r="N9" s="1"/>
  <c r="N10"/>
  <c r="N11"/>
  <c r="N12"/>
  <c r="L13"/>
  <c r="N13" s="1"/>
  <c r="L17"/>
  <c r="N17" s="1"/>
  <c r="L14"/>
  <c r="N14" s="1"/>
  <c r="N19"/>
  <c r="L20"/>
  <c r="N20" s="1"/>
  <c r="L16"/>
  <c r="N16" s="1"/>
  <c r="I20"/>
  <c r="G20"/>
  <c r="H20" s="1"/>
  <c r="I19"/>
  <c r="G19"/>
  <c r="H19" s="1"/>
  <c r="G17"/>
  <c r="H17" s="1"/>
  <c r="I17"/>
  <c r="K15"/>
  <c r="M15" s="1"/>
  <c r="K18"/>
  <c r="M18" s="1"/>
  <c r="G10"/>
  <c r="H10" s="1"/>
  <c r="I10"/>
  <c r="G11"/>
  <c r="H11" s="1"/>
  <c r="I11"/>
  <c r="G12"/>
  <c r="H12" s="1"/>
  <c r="I12"/>
  <c r="G13"/>
  <c r="H13" s="1"/>
  <c r="I13"/>
  <c r="G14"/>
  <c r="H14" s="1"/>
  <c r="I14"/>
  <c r="I16"/>
  <c r="G16"/>
  <c r="H16" s="1"/>
  <c r="C7"/>
  <c r="I6"/>
  <c r="G6"/>
  <c r="J96" i="4" l="1"/>
  <c r="I97"/>
  <c r="J89"/>
  <c r="I90"/>
  <c r="J90" s="1"/>
  <c r="J52"/>
  <c r="I53"/>
  <c r="J53" s="1"/>
  <c r="J32"/>
  <c r="I33"/>
  <c r="J33" s="1"/>
  <c r="J18"/>
  <c r="I19"/>
  <c r="J19" s="1"/>
  <c r="J7"/>
  <c r="J19" i="1"/>
  <c r="K19" s="1"/>
  <c r="M19" s="1"/>
  <c r="J20"/>
  <c r="K20" s="1"/>
  <c r="M20" s="1"/>
  <c r="J17"/>
  <c r="K17" s="1"/>
  <c r="M17" s="1"/>
  <c r="J14"/>
  <c r="K14" s="1"/>
  <c r="M14" s="1"/>
  <c r="J13"/>
  <c r="K13" s="1"/>
  <c r="M13" s="1"/>
  <c r="J12"/>
  <c r="K12" s="1"/>
  <c r="M12" s="1"/>
  <c r="J11"/>
  <c r="K11" s="1"/>
  <c r="M11" s="1"/>
  <c r="J10"/>
  <c r="K10" s="1"/>
  <c r="M10" s="1"/>
  <c r="J16"/>
  <c r="K16" s="1"/>
  <c r="M16" s="1"/>
  <c r="G9" l="1"/>
  <c r="H9" s="1"/>
  <c r="I9"/>
  <c r="I8"/>
  <c r="G8"/>
  <c r="H8" s="1"/>
  <c r="I7"/>
  <c r="G7"/>
  <c r="H7" s="1"/>
  <c r="J9" l="1"/>
  <c r="K9" s="1"/>
  <c r="M9" s="1"/>
  <c r="J7"/>
  <c r="K7" s="1"/>
  <c r="M7" s="1"/>
  <c r="J8"/>
  <c r="K8" s="1"/>
  <c r="M8" s="1"/>
  <c r="F8" i="5" l="1"/>
  <c r="F9"/>
  <c r="H9" s="1"/>
  <c r="I9" s="1"/>
  <c r="H8" l="1"/>
  <c r="I8" s="1"/>
  <c r="F7"/>
  <c r="H7" s="1"/>
  <c r="F6" i="4"/>
  <c r="I6" s="1"/>
  <c r="I10" l="1"/>
  <c r="I11" s="1"/>
  <c r="J11" s="1"/>
  <c r="H10" i="5"/>
  <c r="I10" s="1"/>
  <c r="J6" i="4"/>
  <c r="J10" l="1"/>
  <c r="H6" i="1"/>
  <c r="J6" l="1"/>
  <c r="K6" s="1"/>
  <c r="M6" s="1"/>
</calcChain>
</file>

<file path=xl/sharedStrings.xml><?xml version="1.0" encoding="utf-8"?>
<sst xmlns="http://schemas.openxmlformats.org/spreadsheetml/2006/main" count="343" uniqueCount="57">
  <si>
    <t>Затраты на оплату труда (с начислениями) работников непосредственно связанных с оказанием услуги</t>
  </si>
  <si>
    <t>кол-во ставок по штатному расписанию</t>
  </si>
  <si>
    <t>количество рабочих часов в год (произв.календ.)</t>
  </si>
  <si>
    <t>Наименование учреждения</t>
  </si>
  <si>
    <t xml:space="preserve">Количество затраченных человеко-часов </t>
  </si>
  <si>
    <t>7=3*6</t>
  </si>
  <si>
    <t>Норма трудозатрат на оказание 1 ед. услуги (человеко-часов)</t>
  </si>
  <si>
    <t>8=7/5</t>
  </si>
  <si>
    <t>Стоимость 1 человека-часа</t>
  </si>
  <si>
    <t>9=4/6</t>
  </si>
  <si>
    <t>Нормативные затраты</t>
  </si>
  <si>
    <t>10=8*9</t>
  </si>
  <si>
    <t>Заработная плата на 1 ставку</t>
  </si>
  <si>
    <t>Затраты на приобретение материальных запасов и особо ценного движимого имущества, потребляемых в процессе оказания услуги</t>
  </si>
  <si>
    <t>Наименование запасов и особо ценного движимого имущества по группам</t>
  </si>
  <si>
    <t>Нормативное количество материальных запасов, ОЦДИ</t>
  </si>
  <si>
    <t>Срок полезного использования, лет</t>
  </si>
  <si>
    <t>Цена 1 ед., ресурса, рублей</t>
  </si>
  <si>
    <t>6=4/5</t>
  </si>
  <si>
    <t>Единица измерения нормы</t>
  </si>
  <si>
    <t>9=6*8</t>
  </si>
  <si>
    <t>Писчая бумага</t>
  </si>
  <si>
    <t>пач.</t>
  </si>
  <si>
    <t>Наименование затрат</t>
  </si>
  <si>
    <t>Нормативный объем</t>
  </si>
  <si>
    <t>медицинский осмотр</t>
  </si>
  <si>
    <t>договор</t>
  </si>
  <si>
    <t>Цена , рублей</t>
  </si>
  <si>
    <t xml:space="preserve">командировочные </t>
  </si>
  <si>
    <t>УСЛУГА "Реализация основных общеобразовательных программ дошкольного образования"</t>
  </si>
  <si>
    <t>д/сад Аленка</t>
  </si>
  <si>
    <t>педагогические работники</t>
  </si>
  <si>
    <t>Категория работников по штатному расписанию</t>
  </si>
  <si>
    <t>д/сад Вишенка</t>
  </si>
  <si>
    <t>д/сад Капитошка</t>
  </si>
  <si>
    <t>д/сад Катюша</t>
  </si>
  <si>
    <t>д/сад Колосок</t>
  </si>
  <si>
    <t>д/сад Теремок</t>
  </si>
  <si>
    <t>д/сад Калинка</t>
  </si>
  <si>
    <t>д/сад № 6</t>
  </si>
  <si>
    <t>д/сад Одуванчик</t>
  </si>
  <si>
    <t>д/сад Росинка</t>
  </si>
  <si>
    <t>д/сад Сибирячок</t>
  </si>
  <si>
    <t>д/сад Солнышко</t>
  </si>
  <si>
    <t>д/сад Тополек</t>
  </si>
  <si>
    <t>Норма на 1 воспитанника, шт.</t>
  </si>
  <si>
    <t>Показатель объема, воспитанники</t>
  </si>
  <si>
    <t>Канцелярия</t>
  </si>
  <si>
    <t>Игрушки</t>
  </si>
  <si>
    <t>услуги ИНТЕРНЕТ</t>
  </si>
  <si>
    <t>Показатель объема, воспитанник</t>
  </si>
  <si>
    <t>Продукты питания</t>
  </si>
  <si>
    <t>краевой бюджет</t>
  </si>
  <si>
    <t>муниципальный бюджет</t>
  </si>
  <si>
    <t xml:space="preserve">Иные затраты, непосредственно связанные с оказанием услуги </t>
  </si>
  <si>
    <t>УСЛУГА "Присмотр и уход"</t>
  </si>
  <si>
    <t>призы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</si>
</sst>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0.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2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2" fontId="0" fillId="0" borderId="1" xfId="0" applyNumberFormat="1" applyBorder="1"/>
    <xf numFmtId="2" fontId="1" fillId="0" borderId="1" xfId="0" applyNumberFormat="1" applyFont="1" applyBorder="1"/>
    <xf numFmtId="0" fontId="4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" fillId="0" borderId="3" xfId="0" applyFont="1" applyBorder="1"/>
    <xf numFmtId="0" fontId="0" fillId="0" borderId="4" xfId="0" applyBorder="1"/>
    <xf numFmtId="0" fontId="1" fillId="0" borderId="5" xfId="0" applyFont="1" applyBorder="1"/>
    <xf numFmtId="2" fontId="0" fillId="0" borderId="5" xfId="0" applyNumberFormat="1" applyBorder="1"/>
    <xf numFmtId="2" fontId="1" fillId="0" borderId="6" xfId="0" applyNumberFormat="1" applyFont="1" applyBorder="1"/>
    <xf numFmtId="0" fontId="0" fillId="0" borderId="7" xfId="0" applyBorder="1"/>
    <xf numFmtId="2" fontId="1" fillId="0" borderId="8" xfId="0" applyNumberFormat="1" applyFont="1" applyBorder="1"/>
    <xf numFmtId="0" fontId="0" fillId="0" borderId="9" xfId="0" applyBorder="1"/>
    <xf numFmtId="0" fontId="1" fillId="0" borderId="10" xfId="0" applyFont="1" applyBorder="1"/>
    <xf numFmtId="2" fontId="0" fillId="0" borderId="10" xfId="0" applyNumberFormat="1" applyBorder="1"/>
    <xf numFmtId="1" fontId="0" fillId="0" borderId="1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2" fontId="3" fillId="0" borderId="10" xfId="0" applyNumberFormat="1" applyFont="1" applyBorder="1"/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164" fontId="1" fillId="0" borderId="5" xfId="0" applyNumberFormat="1" applyFont="1" applyBorder="1"/>
    <xf numFmtId="164" fontId="1" fillId="0" borderId="1" xfId="0" applyNumberFormat="1" applyFont="1" applyBorder="1"/>
    <xf numFmtId="164" fontId="1" fillId="0" borderId="12" xfId="0" applyNumberFormat="1" applyFont="1" applyBorder="1"/>
    <xf numFmtId="0" fontId="7" fillId="0" borderId="0" xfId="0" applyFont="1"/>
    <xf numFmtId="0" fontId="1" fillId="0" borderId="14" xfId="0" applyFont="1" applyBorder="1"/>
    <xf numFmtId="2" fontId="0" fillId="0" borderId="14" xfId="0" applyNumberFormat="1" applyBorder="1"/>
    <xf numFmtId="2" fontId="1" fillId="0" borderId="14" xfId="0" applyNumberFormat="1" applyFont="1" applyBorder="1"/>
    <xf numFmtId="164" fontId="1" fillId="0" borderId="0" xfId="0" applyNumberFormat="1" applyFont="1"/>
    <xf numFmtId="0" fontId="4" fillId="0" borderId="13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164" fontId="1" fillId="0" borderId="10" xfId="0" applyNumberFormat="1" applyFont="1" applyBorder="1"/>
    <xf numFmtId="1" fontId="0" fillId="0" borderId="10" xfId="0" applyNumberFormat="1" applyBorder="1" applyAlignment="1">
      <alignment horizontal="center"/>
    </xf>
    <xf numFmtId="0" fontId="0" fillId="0" borderId="0" xfId="0" applyBorder="1"/>
    <xf numFmtId="0" fontId="1" fillId="0" borderId="0" xfId="0" applyFont="1" applyBorder="1"/>
    <xf numFmtId="164" fontId="1" fillId="0" borderId="0" xfId="0" applyNumberFormat="1" applyFont="1" applyBorder="1"/>
    <xf numFmtId="1" fontId="0" fillId="0" borderId="0" xfId="0" applyNumberFormat="1" applyBorder="1" applyAlignment="1">
      <alignment horizontal="center"/>
    </xf>
    <xf numFmtId="2" fontId="0" fillId="0" borderId="0" xfId="0" applyNumberFormat="1" applyBorder="1"/>
    <xf numFmtId="2" fontId="2" fillId="0" borderId="0" xfId="0" applyNumberFormat="1" applyFont="1" applyBorder="1"/>
    <xf numFmtId="2" fontId="2" fillId="2" borderId="11" xfId="0" applyNumberFormat="1" applyFont="1" applyFill="1" applyBorder="1"/>
    <xf numFmtId="2" fontId="1" fillId="0" borderId="5" xfId="0" applyNumberFormat="1" applyFont="1" applyBorder="1"/>
    <xf numFmtId="2" fontId="2" fillId="0" borderId="6" xfId="0" applyNumberFormat="1" applyFont="1" applyBorder="1"/>
    <xf numFmtId="2" fontId="2" fillId="0" borderId="8" xfId="0" applyNumberFormat="1" applyFont="1" applyBorder="1"/>
    <xf numFmtId="2" fontId="1" fillId="0" borderId="10" xfId="0" applyNumberFormat="1" applyFont="1" applyBorder="1"/>
    <xf numFmtId="2" fontId="2" fillId="0" borderId="11" xfId="0" applyNumberFormat="1" applyFont="1" applyBorder="1"/>
    <xf numFmtId="0" fontId="0" fillId="0" borderId="17" xfId="0" applyBorder="1"/>
    <xf numFmtId="2" fontId="1" fillId="0" borderId="15" xfId="0" applyNumberFormat="1" applyFont="1" applyBorder="1"/>
    <xf numFmtId="165" fontId="1" fillId="0" borderId="0" xfId="0" applyNumberFormat="1" applyFont="1"/>
    <xf numFmtId="164" fontId="1" fillId="0" borderId="14" xfId="0" applyNumberFormat="1" applyFont="1" applyBorder="1"/>
    <xf numFmtId="1" fontId="0" fillId="0" borderId="14" xfId="0" applyNumberFormat="1" applyBorder="1" applyAlignment="1">
      <alignment horizontal="center"/>
    </xf>
    <xf numFmtId="2" fontId="2" fillId="2" borderId="15" xfId="0" applyNumberFormat="1" applyFont="1" applyFill="1" applyBorder="1"/>
    <xf numFmtId="0" fontId="8" fillId="0" borderId="0" xfId="0" applyFont="1"/>
    <xf numFmtId="0" fontId="0" fillId="0" borderId="18" xfId="0" applyBorder="1"/>
    <xf numFmtId="0" fontId="1" fillId="0" borderId="19" xfId="0" applyFont="1" applyBorder="1"/>
    <xf numFmtId="164" fontId="1" fillId="0" borderId="19" xfId="0" applyNumberFormat="1" applyFont="1" applyBorder="1"/>
    <xf numFmtId="1" fontId="0" fillId="0" borderId="19" xfId="0" applyNumberFormat="1" applyBorder="1" applyAlignment="1">
      <alignment horizontal="center"/>
    </xf>
    <xf numFmtId="2" fontId="0" fillId="0" borderId="19" xfId="0" applyNumberFormat="1" applyBorder="1"/>
    <xf numFmtId="2" fontId="2" fillId="2" borderId="20" xfId="0" applyNumberFormat="1" applyFont="1" applyFill="1" applyBorder="1"/>
    <xf numFmtId="0" fontId="1" fillId="0" borderId="2" xfId="0" applyFont="1" applyBorder="1"/>
    <xf numFmtId="2" fontId="0" fillId="0" borderId="2" xfId="0" applyNumberFormat="1" applyBorder="1"/>
    <xf numFmtId="0" fontId="1" fillId="0" borderId="12" xfId="0" applyFont="1" applyBorder="1"/>
    <xf numFmtId="2" fontId="0" fillId="0" borderId="12" xfId="0" applyNumberFormat="1" applyBorder="1"/>
    <xf numFmtId="0" fontId="0" fillId="0" borderId="21" xfId="0" applyBorder="1"/>
    <xf numFmtId="0" fontId="1" fillId="0" borderId="22" xfId="0" applyFont="1" applyBorder="1"/>
    <xf numFmtId="164" fontId="1" fillId="0" borderId="22" xfId="0" applyNumberFormat="1" applyFont="1" applyBorder="1"/>
    <xf numFmtId="1" fontId="0" fillId="0" borderId="22" xfId="0" applyNumberFormat="1" applyBorder="1" applyAlignment="1">
      <alignment horizontal="center"/>
    </xf>
    <xf numFmtId="2" fontId="0" fillId="0" borderId="22" xfId="0" applyNumberFormat="1" applyBorder="1"/>
    <xf numFmtId="2" fontId="2" fillId="2" borderId="23" xfId="0" applyNumberFormat="1" applyFont="1" applyFill="1" applyBorder="1"/>
    <xf numFmtId="165" fontId="1" fillId="0" borderId="24" xfId="0" applyNumberFormat="1" applyFont="1" applyBorder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0"/>
  <sheetViews>
    <sheetView topLeftCell="A3" workbookViewId="0">
      <selection activeCell="C6" sqref="C6:C20"/>
    </sheetView>
  </sheetViews>
  <sheetFormatPr defaultRowHeight="15"/>
  <cols>
    <col min="1" max="1" width="17.42578125" customWidth="1"/>
    <col min="2" max="2" width="25.28515625" style="1" customWidth="1"/>
    <col min="3" max="3" width="7.85546875" style="1" customWidth="1"/>
    <col min="4" max="4" width="10.28515625" style="1" customWidth="1"/>
    <col min="5" max="5" width="5.85546875" style="1" customWidth="1"/>
    <col min="6" max="6" width="8.85546875" style="1" customWidth="1"/>
    <col min="7" max="7" width="12.5703125" customWidth="1"/>
    <col min="8" max="8" width="10.42578125" customWidth="1"/>
    <col min="9" max="9" width="7.85546875" style="1" customWidth="1"/>
    <col min="10" max="10" width="10.85546875" style="1" customWidth="1"/>
    <col min="11" max="11" width="11.7109375" style="1" customWidth="1"/>
    <col min="12" max="12" width="11.85546875" style="1" customWidth="1"/>
    <col min="13" max="13" width="6" style="1" customWidth="1"/>
    <col min="14" max="14" width="11.42578125" style="1" bestFit="1" customWidth="1"/>
    <col min="15" max="20" width="9.140625" style="1"/>
  </cols>
  <sheetData>
    <row r="1" spans="1:14" ht="18.75">
      <c r="A1" s="33" t="s">
        <v>29</v>
      </c>
    </row>
    <row r="2" spans="1:14" ht="18.75">
      <c r="A2" s="78" t="s">
        <v>0</v>
      </c>
      <c r="B2" s="78"/>
      <c r="C2" s="78"/>
      <c r="D2" s="78"/>
      <c r="E2" s="78"/>
      <c r="F2" s="78"/>
      <c r="G2" s="78"/>
      <c r="H2" s="78"/>
      <c r="I2" s="78"/>
      <c r="J2" s="78"/>
    </row>
    <row r="3" spans="1:14">
      <c r="I3" s="60" t="s">
        <v>52</v>
      </c>
    </row>
    <row r="4" spans="1:14" ht="127.5" customHeight="1">
      <c r="A4" s="4" t="s">
        <v>3</v>
      </c>
      <c r="B4" s="4" t="s">
        <v>32</v>
      </c>
      <c r="C4" s="4" t="s">
        <v>1</v>
      </c>
      <c r="D4" s="4" t="s">
        <v>12</v>
      </c>
      <c r="E4" s="4" t="s">
        <v>46</v>
      </c>
      <c r="F4" s="4" t="s">
        <v>2</v>
      </c>
      <c r="G4" s="4" t="s">
        <v>4</v>
      </c>
      <c r="H4" s="4" t="s">
        <v>6</v>
      </c>
      <c r="I4" s="4" t="s">
        <v>8</v>
      </c>
      <c r="J4" s="4" t="s">
        <v>10</v>
      </c>
      <c r="K4" s="2"/>
      <c r="L4" s="2"/>
      <c r="M4" s="2"/>
    </row>
    <row r="5" spans="1:14" ht="15.75" thickBot="1">
      <c r="A5" s="8">
        <v>1</v>
      </c>
      <c r="B5" s="9">
        <v>2</v>
      </c>
      <c r="C5" s="9">
        <v>3</v>
      </c>
      <c r="D5" s="9">
        <v>4</v>
      </c>
      <c r="E5" s="9">
        <v>5</v>
      </c>
      <c r="F5" s="9">
        <v>6</v>
      </c>
      <c r="G5" s="9" t="s">
        <v>5</v>
      </c>
      <c r="H5" s="8" t="s">
        <v>7</v>
      </c>
      <c r="I5" s="9" t="s">
        <v>9</v>
      </c>
      <c r="J5" s="9" t="s">
        <v>11</v>
      </c>
    </row>
    <row r="6" spans="1:14" ht="17.25" customHeight="1">
      <c r="A6" s="11" t="s">
        <v>33</v>
      </c>
      <c r="B6" s="12" t="s">
        <v>31</v>
      </c>
      <c r="C6" s="49">
        <v>13.75</v>
      </c>
      <c r="D6" s="49">
        <v>18891.509099999999</v>
      </c>
      <c r="E6" s="12">
        <v>122</v>
      </c>
      <c r="F6" s="12">
        <v>1974</v>
      </c>
      <c r="G6" s="13">
        <f>C6*F6</f>
        <v>27142.5</v>
      </c>
      <c r="H6" s="13">
        <f>G6/E6</f>
        <v>222.4795081967213</v>
      </c>
      <c r="I6" s="49">
        <f>D6*12*1.302/1974</f>
        <v>149.52428479148938</v>
      </c>
      <c r="J6" s="50">
        <f>I6*H6</f>
        <v>33266.089343877051</v>
      </c>
      <c r="K6" s="3">
        <f>J6*E6</f>
        <v>4058462.8999530002</v>
      </c>
      <c r="L6" s="3">
        <f>3117099+941363.9</f>
        <v>4058462.9</v>
      </c>
      <c r="M6" s="3">
        <f>L6-K6</f>
        <v>4.6999659389257431E-5</v>
      </c>
      <c r="N6" s="37">
        <f>L6/12/1.302/C6</f>
        <v>18891.509100218776</v>
      </c>
    </row>
    <row r="7" spans="1:14">
      <c r="A7" s="15" t="s">
        <v>34</v>
      </c>
      <c r="B7" s="5" t="s">
        <v>31</v>
      </c>
      <c r="C7" s="7">
        <f>22+7.25</f>
        <v>29.25</v>
      </c>
      <c r="D7" s="7">
        <v>18280.53269</v>
      </c>
      <c r="E7" s="5">
        <v>240</v>
      </c>
      <c r="F7" s="5">
        <v>1974</v>
      </c>
      <c r="G7" s="6">
        <f>C7*F7</f>
        <v>57739.5</v>
      </c>
      <c r="H7" s="6">
        <f>G7/E7</f>
        <v>240.58125000000001</v>
      </c>
      <c r="I7" s="7">
        <f>D7*12*1.302/1974</f>
        <v>144.68847150382979</v>
      </c>
      <c r="J7" s="51">
        <f>I7*H7</f>
        <v>34809.333334980751</v>
      </c>
      <c r="K7" s="3">
        <f t="shared" ref="K7:K20" si="0">J7*E7</f>
        <v>8354240.00039538</v>
      </c>
      <c r="L7" s="3">
        <f>6416006+1937634+600</f>
        <v>8354240</v>
      </c>
      <c r="M7" s="3">
        <f t="shared" ref="M7:M20" si="1">L7-K7</f>
        <v>-3.9537996053695679E-4</v>
      </c>
      <c r="N7" s="37">
        <f t="shared" ref="N7:N20" si="2">L7/12/1.302/C7</f>
        <v>18280.532689134838</v>
      </c>
    </row>
    <row r="8" spans="1:14">
      <c r="A8" s="15" t="s">
        <v>35</v>
      </c>
      <c r="B8" s="5" t="s">
        <v>31</v>
      </c>
      <c r="C8" s="7">
        <v>13.25</v>
      </c>
      <c r="D8" s="7">
        <v>18459.341700000001</v>
      </c>
      <c r="E8" s="5">
        <v>123</v>
      </c>
      <c r="F8" s="5">
        <v>1974</v>
      </c>
      <c r="G8" s="6">
        <f t="shared" ref="G8:G9" si="3">C8*F8</f>
        <v>26155.5</v>
      </c>
      <c r="H8" s="6">
        <f t="shared" ref="H8:H9" si="4">G8/E8</f>
        <v>212.64634146341464</v>
      </c>
      <c r="I8" s="7">
        <f t="shared" ref="I8:I9" si="5">D8*12*1.302/1974</f>
        <v>146.10372579574471</v>
      </c>
      <c r="J8" s="51">
        <f t="shared" ref="J8:J9" si="6">I8*H8</f>
        <v>31068.422764639032</v>
      </c>
      <c r="K8" s="3">
        <f t="shared" si="0"/>
        <v>3821416.0000506011</v>
      </c>
      <c r="L8" s="3">
        <f>2933806+886010+1600</f>
        <v>3821416</v>
      </c>
      <c r="M8" s="3">
        <f t="shared" si="1"/>
        <v>-5.0601083785295486E-5</v>
      </c>
      <c r="N8" s="37">
        <f t="shared" si="2"/>
        <v>18459.341699755576</v>
      </c>
    </row>
    <row r="9" spans="1:14">
      <c r="A9" s="15" t="s">
        <v>36</v>
      </c>
      <c r="B9" s="5" t="s">
        <v>31</v>
      </c>
      <c r="C9" s="7">
        <v>18.75</v>
      </c>
      <c r="D9" s="7">
        <v>17767.298859999999</v>
      </c>
      <c r="E9" s="5">
        <v>140</v>
      </c>
      <c r="F9" s="5">
        <v>1974</v>
      </c>
      <c r="G9" s="6">
        <f t="shared" si="3"/>
        <v>37012.5</v>
      </c>
      <c r="H9" s="6">
        <f t="shared" si="4"/>
        <v>264.375</v>
      </c>
      <c r="I9" s="7">
        <f t="shared" si="5"/>
        <v>140.62628033872343</v>
      </c>
      <c r="J9" s="51">
        <f t="shared" si="6"/>
        <v>37178.072864550006</v>
      </c>
      <c r="K9" s="3">
        <f t="shared" si="0"/>
        <v>5204930.2010370009</v>
      </c>
      <c r="L9" s="3">
        <f>3997642+1207288.2</f>
        <v>5204930.2</v>
      </c>
      <c r="M9" s="3">
        <f t="shared" si="1"/>
        <v>-1.0370006784796715E-3</v>
      </c>
      <c r="N9" s="37">
        <f t="shared" si="2"/>
        <v>17767.298856460147</v>
      </c>
    </row>
    <row r="10" spans="1:14">
      <c r="A10" s="15" t="s">
        <v>40</v>
      </c>
      <c r="B10" s="5" t="s">
        <v>31</v>
      </c>
      <c r="C10" s="7">
        <v>14.75</v>
      </c>
      <c r="D10" s="7">
        <v>17812.716639999999</v>
      </c>
      <c r="E10" s="5">
        <v>123</v>
      </c>
      <c r="F10" s="5">
        <v>1974</v>
      </c>
      <c r="G10" s="6">
        <f t="shared" ref="G10:G14" si="7">C10*F10</f>
        <v>29116.5</v>
      </c>
      <c r="H10" s="6">
        <f t="shared" ref="H10:H14" si="8">G10/E10</f>
        <v>236.71951219512195</v>
      </c>
      <c r="I10" s="7">
        <f t="shared" ref="I10:I14" si="9">D10*12*1.302/1974</f>
        <v>140.98575723574467</v>
      </c>
      <c r="J10" s="51">
        <f t="shared" ref="J10:J14" si="10">I10*H10</f>
        <v>33374.079679305367</v>
      </c>
      <c r="K10" s="3">
        <f t="shared" si="0"/>
        <v>4105011.80055456</v>
      </c>
      <c r="L10" s="3">
        <f>3152758+952133.8+120</f>
        <v>4105011.8</v>
      </c>
      <c r="M10" s="3">
        <f t="shared" si="1"/>
        <v>-5.5456021800637245E-4</v>
      </c>
      <c r="N10" s="37">
        <f t="shared" si="2"/>
        <v>17812.716637593618</v>
      </c>
    </row>
    <row r="11" spans="1:14">
      <c r="A11" s="15" t="s">
        <v>41</v>
      </c>
      <c r="B11" s="5" t="s">
        <v>31</v>
      </c>
      <c r="C11" s="7">
        <v>26.5</v>
      </c>
      <c r="D11" s="7">
        <v>18801.95925</v>
      </c>
      <c r="E11" s="5">
        <v>220</v>
      </c>
      <c r="F11" s="5">
        <v>1974</v>
      </c>
      <c r="G11" s="6">
        <f t="shared" si="7"/>
        <v>52311</v>
      </c>
      <c r="H11" s="6">
        <f t="shared" si="8"/>
        <v>237.77727272727273</v>
      </c>
      <c r="I11" s="7">
        <f t="shared" si="9"/>
        <v>148.81550725531915</v>
      </c>
      <c r="J11" s="51">
        <f t="shared" si="10"/>
        <v>35384.945454695451</v>
      </c>
      <c r="K11" s="3">
        <f t="shared" si="0"/>
        <v>7784688.0000329996</v>
      </c>
      <c r="L11" s="3">
        <f>5971342+1803346+10000</f>
        <v>7784688</v>
      </c>
      <c r="M11" s="3">
        <f t="shared" si="1"/>
        <v>-3.299955278635025E-5</v>
      </c>
      <c r="N11" s="37">
        <f t="shared" si="2"/>
        <v>18801.959249920295</v>
      </c>
    </row>
    <row r="12" spans="1:14">
      <c r="A12" s="15" t="s">
        <v>42</v>
      </c>
      <c r="B12" s="5" t="s">
        <v>31</v>
      </c>
      <c r="C12" s="7">
        <v>25.75</v>
      </c>
      <c r="D12" s="7">
        <v>20611.711380000001</v>
      </c>
      <c r="E12" s="5">
        <v>250</v>
      </c>
      <c r="F12" s="5">
        <v>1974</v>
      </c>
      <c r="G12" s="6">
        <f t="shared" si="7"/>
        <v>50830.5</v>
      </c>
      <c r="H12" s="6">
        <f t="shared" si="8"/>
        <v>203.322</v>
      </c>
      <c r="I12" s="7">
        <f t="shared" si="9"/>
        <v>163.13950283744683</v>
      </c>
      <c r="J12" s="51">
        <f t="shared" si="10"/>
        <v>33169.849995915363</v>
      </c>
      <c r="K12" s="3">
        <f t="shared" si="0"/>
        <v>8292462.4989788411</v>
      </c>
      <c r="L12" s="3">
        <f>6368734.6+1923357.9+370</f>
        <v>8292462.5</v>
      </c>
      <c r="M12" s="3">
        <f t="shared" si="1"/>
        <v>1.0211588814854622E-3</v>
      </c>
      <c r="N12" s="37">
        <f t="shared" si="2"/>
        <v>20611.711382538189</v>
      </c>
    </row>
    <row r="13" spans="1:14">
      <c r="A13" s="15" t="s">
        <v>43</v>
      </c>
      <c r="B13" s="5" t="s">
        <v>31</v>
      </c>
      <c r="C13" s="7">
        <v>14.5</v>
      </c>
      <c r="D13" s="7">
        <v>19729.32447</v>
      </c>
      <c r="E13" s="5">
        <v>131</v>
      </c>
      <c r="F13" s="5">
        <v>1974</v>
      </c>
      <c r="G13" s="6">
        <f t="shared" si="7"/>
        <v>28623</v>
      </c>
      <c r="H13" s="6">
        <f t="shared" si="8"/>
        <v>218.49618320610688</v>
      </c>
      <c r="I13" s="7">
        <f t="shared" si="9"/>
        <v>156.15550431574468</v>
      </c>
      <c r="J13" s="51">
        <f t="shared" si="10"/>
        <v>34119.381679614962</v>
      </c>
      <c r="K13" s="3">
        <f t="shared" si="0"/>
        <v>4469639.0000295602</v>
      </c>
      <c r="L13" s="3">
        <f>3432902+1036737</f>
        <v>4469639</v>
      </c>
      <c r="M13" s="3">
        <f t="shared" si="1"/>
        <v>-2.9560178518295288E-5</v>
      </c>
      <c r="N13" s="37">
        <f t="shared" si="2"/>
        <v>19729.32446986952</v>
      </c>
    </row>
    <row r="14" spans="1:14" ht="15.75" thickBot="1">
      <c r="A14" s="17" t="s">
        <v>44</v>
      </c>
      <c r="B14" s="18" t="s">
        <v>31</v>
      </c>
      <c r="C14" s="52">
        <v>13.25</v>
      </c>
      <c r="D14" s="52">
        <v>19835.48416</v>
      </c>
      <c r="E14" s="18">
        <v>126</v>
      </c>
      <c r="F14" s="18">
        <v>1974</v>
      </c>
      <c r="G14" s="19">
        <f t="shared" si="7"/>
        <v>26155.5</v>
      </c>
      <c r="H14" s="19">
        <f t="shared" si="8"/>
        <v>207.58333333333334</v>
      </c>
      <c r="I14" s="52">
        <f t="shared" si="9"/>
        <v>156.99574696851064</v>
      </c>
      <c r="J14" s="53">
        <f t="shared" si="10"/>
        <v>32589.700474880003</v>
      </c>
      <c r="K14" s="3">
        <f t="shared" si="0"/>
        <v>4106302.2598348805</v>
      </c>
      <c r="L14" s="3">
        <f>3153841.1+952461.16</f>
        <v>4106302.2600000002</v>
      </c>
      <c r="M14" s="3">
        <f t="shared" si="1"/>
        <v>1.6511976718902588E-4</v>
      </c>
      <c r="N14" s="37">
        <f t="shared" si="2"/>
        <v>19835.484160797612</v>
      </c>
    </row>
    <row r="15" spans="1:14" ht="15.75" thickBot="1">
      <c r="A15" s="54"/>
      <c r="B15" s="34"/>
      <c r="C15" s="36"/>
      <c r="D15" s="36"/>
      <c r="E15" s="34"/>
      <c r="F15" s="34"/>
      <c r="G15" s="35"/>
      <c r="H15" s="35"/>
      <c r="I15" s="36"/>
      <c r="J15" s="55"/>
      <c r="K15" s="3">
        <f t="shared" si="0"/>
        <v>0</v>
      </c>
      <c r="L15" s="3"/>
      <c r="M15" s="3">
        <f t="shared" si="1"/>
        <v>0</v>
      </c>
      <c r="N15" s="37" t="e">
        <f t="shared" si="2"/>
        <v>#DIV/0!</v>
      </c>
    </row>
    <row r="16" spans="1:14" ht="17.25" customHeight="1">
      <c r="A16" s="11" t="s">
        <v>30</v>
      </c>
      <c r="B16" s="12" t="s">
        <v>31</v>
      </c>
      <c r="C16" s="49">
        <v>35.5</v>
      </c>
      <c r="D16" s="49">
        <v>22371.599849999999</v>
      </c>
      <c r="E16" s="12">
        <v>206</v>
      </c>
      <c r="F16" s="12">
        <v>1974</v>
      </c>
      <c r="G16" s="13">
        <f>C16*F16</f>
        <v>70077</v>
      </c>
      <c r="H16" s="13">
        <f>G16/E16</f>
        <v>340.17961165048541</v>
      </c>
      <c r="I16" s="49">
        <f>D16*12*1.302/1974</f>
        <v>177.06883285531916</v>
      </c>
      <c r="J16" s="50">
        <f>I16*H16</f>
        <v>60235.206796127182</v>
      </c>
      <c r="K16" s="3">
        <f>J16*E16</f>
        <v>12408452.600002199</v>
      </c>
      <c r="L16" s="3">
        <f>9530301+2878151.6</f>
        <v>12408452.6</v>
      </c>
      <c r="M16" s="3">
        <f t="shared" si="1"/>
        <v>-2.1997839212417603E-6</v>
      </c>
      <c r="N16" s="37">
        <f t="shared" si="2"/>
        <v>22371.599849996033</v>
      </c>
    </row>
    <row r="17" spans="1:14" ht="15.75" thickBot="1">
      <c r="A17" s="17" t="s">
        <v>37</v>
      </c>
      <c r="B17" s="18" t="s">
        <v>31</v>
      </c>
      <c r="C17" s="52">
        <v>35</v>
      </c>
      <c r="D17" s="52">
        <v>19838.464629999999</v>
      </c>
      <c r="E17" s="18">
        <v>275</v>
      </c>
      <c r="F17" s="18">
        <v>1974</v>
      </c>
      <c r="G17" s="19">
        <f>C17*F17</f>
        <v>69090</v>
      </c>
      <c r="H17" s="19">
        <f>G17/E17</f>
        <v>251.23636363636365</v>
      </c>
      <c r="I17" s="52">
        <f>D17*12*1.302/1974</f>
        <v>157.01933707148936</v>
      </c>
      <c r="J17" s="53">
        <f>I17*H17</f>
        <v>39448.967266433458</v>
      </c>
      <c r="K17" s="3">
        <f t="shared" si="0"/>
        <v>10848465.9982692</v>
      </c>
      <c r="L17" s="3">
        <f>8332154+2516312</f>
        <v>10848466</v>
      </c>
      <c r="M17" s="3">
        <f t="shared" si="1"/>
        <v>1.730799674987793E-3</v>
      </c>
      <c r="N17" s="37">
        <f t="shared" si="2"/>
        <v>19838.464633165095</v>
      </c>
    </row>
    <row r="18" spans="1:14" ht="15.75" thickBot="1">
      <c r="A18" s="54"/>
      <c r="B18" s="34"/>
      <c r="C18" s="36"/>
      <c r="D18" s="36"/>
      <c r="E18" s="34"/>
      <c r="F18" s="34"/>
      <c r="G18" s="35"/>
      <c r="H18" s="35"/>
      <c r="I18" s="36"/>
      <c r="J18" s="55"/>
      <c r="K18" s="3">
        <f t="shared" si="0"/>
        <v>0</v>
      </c>
      <c r="L18" s="3"/>
      <c r="M18" s="3">
        <f t="shared" si="1"/>
        <v>0</v>
      </c>
      <c r="N18" s="37" t="e">
        <f t="shared" si="2"/>
        <v>#DIV/0!</v>
      </c>
    </row>
    <row r="19" spans="1:14">
      <c r="A19" s="11" t="s">
        <v>38</v>
      </c>
      <c r="B19" s="12" t="s">
        <v>31</v>
      </c>
      <c r="C19" s="49">
        <v>42</v>
      </c>
      <c r="D19" s="49">
        <v>17556.09532</v>
      </c>
      <c r="E19" s="12">
        <v>347</v>
      </c>
      <c r="F19" s="12">
        <v>1974</v>
      </c>
      <c r="G19" s="13">
        <f>C19*F19</f>
        <v>82908</v>
      </c>
      <c r="H19" s="13">
        <f>G19/E19</f>
        <v>238.9279538904899</v>
      </c>
      <c r="I19" s="49">
        <f>D19*12*1.302/1974</f>
        <v>138.95462678808511</v>
      </c>
      <c r="J19" s="50">
        <f>I19*H19</f>
        <v>33200.14466209383</v>
      </c>
      <c r="K19" s="3">
        <f t="shared" si="0"/>
        <v>11520450.197746558</v>
      </c>
      <c r="L19" s="3">
        <f>8847608+2671978.2+864</f>
        <v>11520450.199999999</v>
      </c>
      <c r="M19" s="3">
        <f t="shared" si="1"/>
        <v>2.2534411400556564E-3</v>
      </c>
      <c r="N19" s="37">
        <f t="shared" si="2"/>
        <v>17556.09532343403</v>
      </c>
    </row>
    <row r="20" spans="1:14" ht="15.75" thickBot="1">
      <c r="A20" s="17" t="s">
        <v>39</v>
      </c>
      <c r="B20" s="18" t="s">
        <v>31</v>
      </c>
      <c r="C20" s="52">
        <v>50</v>
      </c>
      <c r="D20" s="52">
        <v>20784.08858</v>
      </c>
      <c r="E20" s="18">
        <v>434</v>
      </c>
      <c r="F20" s="18">
        <v>1974</v>
      </c>
      <c r="G20" s="19">
        <f>C20*F20</f>
        <v>98700</v>
      </c>
      <c r="H20" s="19">
        <f>G20/E20</f>
        <v>227.41935483870967</v>
      </c>
      <c r="I20" s="52">
        <f>D20*12*1.302/1974</f>
        <v>164.50385003744682</v>
      </c>
      <c r="J20" s="53">
        <f>I20*H20</f>
        <v>37411.359444000002</v>
      </c>
      <c r="K20" s="3">
        <f t="shared" si="0"/>
        <v>16236529.998696001</v>
      </c>
      <c r="L20" s="3">
        <f>12470452+3766078</f>
        <v>16236530</v>
      </c>
      <c r="M20" s="3">
        <f t="shared" si="1"/>
        <v>1.3039987534284592E-3</v>
      </c>
      <c r="N20" s="37">
        <f t="shared" si="2"/>
        <v>20784.088581669228</v>
      </c>
    </row>
  </sheetData>
  <mergeCells count="1">
    <mergeCell ref="A2:J2"/>
  </mergeCells>
  <pageMargins left="0.31496062992125984" right="0" top="0.35433070866141736" bottom="0" header="0.31496062992125984" footer="0.31496062992125984"/>
  <pageSetup paperSize="9" scale="9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99"/>
  <sheetViews>
    <sheetView workbookViewId="0">
      <pane xSplit="1" ySplit="5" topLeftCell="B57" activePane="bottomRight" state="frozen"/>
      <selection pane="topRight" activeCell="B1" sqref="B1"/>
      <selection pane="bottomLeft" activeCell="A6" sqref="A6"/>
      <selection pane="bottomRight" activeCell="E96" sqref="E96"/>
    </sheetView>
  </sheetViews>
  <sheetFormatPr defaultRowHeight="15"/>
  <cols>
    <col min="1" max="1" width="15.85546875" customWidth="1"/>
    <col min="2" max="2" width="19.42578125" style="1" customWidth="1"/>
    <col min="3" max="3" width="13.42578125" style="1" customWidth="1"/>
    <col min="4" max="4" width="15" style="1" customWidth="1"/>
    <col min="5" max="5" width="11.42578125" style="1" customWidth="1"/>
    <col min="6" max="6" width="18.28515625" style="1" customWidth="1"/>
    <col min="7" max="7" width="12.5703125" customWidth="1"/>
    <col min="8" max="8" width="14.5703125" customWidth="1"/>
    <col min="9" max="9" width="10.85546875" style="1" customWidth="1"/>
    <col min="10" max="10" width="12.7109375" style="1" customWidth="1"/>
    <col min="11" max="19" width="9.140625" style="1"/>
  </cols>
  <sheetData>
    <row r="1" spans="1:12" ht="18.75">
      <c r="A1" s="33" t="s">
        <v>29</v>
      </c>
    </row>
    <row r="2" spans="1:12" ht="38.25" customHeight="1">
      <c r="A2" s="79" t="s">
        <v>13</v>
      </c>
      <c r="B2" s="79"/>
      <c r="C2" s="79"/>
      <c r="D2" s="79"/>
      <c r="E2" s="79"/>
      <c r="F2" s="79"/>
      <c r="G2" s="79"/>
      <c r="H2" s="79"/>
      <c r="I2" s="79"/>
    </row>
    <row r="3" spans="1:12" ht="15.75" thickBot="1"/>
    <row r="4" spans="1:12" ht="75">
      <c r="A4" s="23" t="s">
        <v>3</v>
      </c>
      <c r="B4" s="24" t="s">
        <v>14</v>
      </c>
      <c r="C4" s="24" t="s">
        <v>19</v>
      </c>
      <c r="D4" s="24" t="s">
        <v>15</v>
      </c>
      <c r="E4" s="24" t="s">
        <v>46</v>
      </c>
      <c r="F4" s="24" t="s">
        <v>45</v>
      </c>
      <c r="G4" s="24" t="s">
        <v>16</v>
      </c>
      <c r="H4" s="24" t="s">
        <v>17</v>
      </c>
      <c r="I4" s="25" t="s">
        <v>10</v>
      </c>
      <c r="J4" s="2"/>
      <c r="K4" s="2"/>
      <c r="L4" s="2"/>
    </row>
    <row r="5" spans="1:12" ht="15.75" thickBot="1">
      <c r="A5" s="38">
        <v>1</v>
      </c>
      <c r="B5" s="9">
        <v>2</v>
      </c>
      <c r="C5" s="9">
        <v>3</v>
      </c>
      <c r="D5" s="9">
        <v>4</v>
      </c>
      <c r="E5" s="9">
        <v>5</v>
      </c>
      <c r="F5" s="9" t="s">
        <v>18</v>
      </c>
      <c r="G5" s="9">
        <v>7</v>
      </c>
      <c r="H5" s="8">
        <v>8</v>
      </c>
      <c r="I5" s="39" t="s">
        <v>20</v>
      </c>
    </row>
    <row r="6" spans="1:12">
      <c r="A6" s="11" t="s">
        <v>33</v>
      </c>
      <c r="B6" s="12" t="s">
        <v>21</v>
      </c>
      <c r="C6" s="12" t="s">
        <v>22</v>
      </c>
      <c r="D6" s="12">
        <v>20</v>
      </c>
      <c r="E6" s="12">
        <v>122</v>
      </c>
      <c r="F6" s="30">
        <f>D6/E6</f>
        <v>0.16393442622950818</v>
      </c>
      <c r="G6" s="21">
        <v>1</v>
      </c>
      <c r="H6" s="13">
        <v>250</v>
      </c>
      <c r="I6" s="14">
        <f>F6*H6</f>
        <v>40.983606557377044</v>
      </c>
      <c r="J6" s="1">
        <f>I6*E6</f>
        <v>4999.9999999999991</v>
      </c>
    </row>
    <row r="7" spans="1:12">
      <c r="A7" s="15"/>
      <c r="B7" s="5" t="s">
        <v>47</v>
      </c>
      <c r="C7" s="5" t="s">
        <v>26</v>
      </c>
      <c r="D7" s="5">
        <v>1</v>
      </c>
      <c r="E7" s="5">
        <v>122</v>
      </c>
      <c r="F7" s="31">
        <f>D7/E7</f>
        <v>8.1967213114754103E-3</v>
      </c>
      <c r="G7" s="20">
        <v>1</v>
      </c>
      <c r="H7" s="6">
        <v>8000</v>
      </c>
      <c r="I7" s="16">
        <f t="shared" ref="I7:I9" si="0">F7*H7</f>
        <v>65.573770491803288</v>
      </c>
      <c r="J7" s="1">
        <f t="shared" ref="J7" si="1">I7*E6</f>
        <v>8000.0000000000009</v>
      </c>
    </row>
    <row r="8" spans="1:12">
      <c r="A8" s="15"/>
      <c r="B8" s="5" t="s">
        <v>51</v>
      </c>
      <c r="C8" s="5" t="s">
        <v>26</v>
      </c>
      <c r="D8" s="5">
        <v>1</v>
      </c>
      <c r="E8" s="5">
        <v>122</v>
      </c>
      <c r="F8" s="31">
        <f>D8/E8</f>
        <v>8.1967213114754103E-3</v>
      </c>
      <c r="G8" s="20">
        <v>1</v>
      </c>
      <c r="H8" s="6">
        <v>953370</v>
      </c>
      <c r="I8" s="16">
        <f t="shared" ref="I8" si="2">F8*H8</f>
        <v>7814.5081967213118</v>
      </c>
      <c r="J8" s="1">
        <f>I8*122</f>
        <v>953370</v>
      </c>
    </row>
    <row r="9" spans="1:12">
      <c r="A9" s="15"/>
      <c r="B9" s="5" t="s">
        <v>48</v>
      </c>
      <c r="C9" s="5" t="s">
        <v>26</v>
      </c>
      <c r="D9" s="5">
        <v>1</v>
      </c>
      <c r="E9" s="5">
        <v>122</v>
      </c>
      <c r="F9" s="31">
        <f>D9/E9</f>
        <v>8.1967213114754103E-3</v>
      </c>
      <c r="G9" s="20">
        <v>1</v>
      </c>
      <c r="H9" s="6">
        <f>20940-13000</f>
        <v>7940</v>
      </c>
      <c r="I9" s="16">
        <f t="shared" si="0"/>
        <v>65.081967213114751</v>
      </c>
      <c r="J9" s="1">
        <f>I9*E7</f>
        <v>7940</v>
      </c>
    </row>
    <row r="10" spans="1:12" ht="15.75" thickBot="1">
      <c r="A10" s="17"/>
      <c r="B10" s="18"/>
      <c r="C10" s="18"/>
      <c r="D10" s="18"/>
      <c r="E10" s="18"/>
      <c r="F10" s="40"/>
      <c r="G10" s="41"/>
      <c r="H10" s="19"/>
      <c r="I10" s="48">
        <f>SUM(I6:I9)</f>
        <v>7986.1475409836066</v>
      </c>
      <c r="J10" s="1">
        <f>I10*E9</f>
        <v>974310</v>
      </c>
    </row>
    <row r="11" spans="1:12" ht="15.75" thickBot="1">
      <c r="A11" s="61"/>
      <c r="B11" s="62"/>
      <c r="C11" s="62"/>
      <c r="D11" s="62"/>
      <c r="E11" s="62"/>
      <c r="F11" s="63"/>
      <c r="G11" s="64" t="s">
        <v>52</v>
      </c>
      <c r="H11" s="65"/>
      <c r="I11" s="66">
        <f>I10-I8</f>
        <v>171.6393442622948</v>
      </c>
      <c r="J11" s="56">
        <f>I11*122</f>
        <v>20939.999999999964</v>
      </c>
      <c r="K11" s="3"/>
    </row>
    <row r="12" spans="1:12" ht="15.75" thickBot="1">
      <c r="A12" s="54"/>
      <c r="B12" s="34"/>
      <c r="C12" s="34"/>
      <c r="D12" s="34"/>
      <c r="E12" s="34"/>
      <c r="F12" s="57"/>
      <c r="G12" s="58" t="s">
        <v>53</v>
      </c>
      <c r="H12" s="35"/>
      <c r="I12" s="59">
        <f>I8</f>
        <v>7814.5081967213118</v>
      </c>
      <c r="J12" s="56">
        <f>I12*122</f>
        <v>953370</v>
      </c>
    </row>
    <row r="13" spans="1:12">
      <c r="A13" s="11" t="s">
        <v>34</v>
      </c>
      <c r="B13" s="12" t="s">
        <v>21</v>
      </c>
      <c r="C13" s="12" t="s">
        <v>22</v>
      </c>
      <c r="D13" s="12">
        <v>30</v>
      </c>
      <c r="E13" s="12">
        <v>240</v>
      </c>
      <c r="F13" s="30">
        <f>D13/E13</f>
        <v>0.125</v>
      </c>
      <c r="G13" s="21">
        <v>1</v>
      </c>
      <c r="H13" s="13">
        <v>250</v>
      </c>
      <c r="I13" s="14">
        <f>F13*H13</f>
        <v>31.25</v>
      </c>
      <c r="J13" s="1">
        <f>I13*E13</f>
        <v>7500</v>
      </c>
    </row>
    <row r="14" spans="1:12">
      <c r="A14" s="15"/>
      <c r="B14" s="5" t="s">
        <v>47</v>
      </c>
      <c r="C14" s="5" t="s">
        <v>26</v>
      </c>
      <c r="D14" s="5">
        <v>1</v>
      </c>
      <c r="E14" s="5">
        <v>240</v>
      </c>
      <c r="F14" s="31">
        <f>D14/E14</f>
        <v>4.1666666666666666E-3</v>
      </c>
      <c r="G14" s="20">
        <v>1</v>
      </c>
      <c r="H14" s="6">
        <v>10940</v>
      </c>
      <c r="I14" s="16">
        <f t="shared" ref="I14:I17" si="3">F14*H14</f>
        <v>45.583333333333336</v>
      </c>
      <c r="J14" s="1">
        <f t="shared" ref="J14:J15" si="4">I14*E13</f>
        <v>10940</v>
      </c>
    </row>
    <row r="15" spans="1:12">
      <c r="A15" s="15"/>
      <c r="B15" s="5" t="s">
        <v>51</v>
      </c>
      <c r="C15" s="5" t="s">
        <v>26</v>
      </c>
      <c r="D15" s="5">
        <v>1</v>
      </c>
      <c r="E15" s="5">
        <v>240</v>
      </c>
      <c r="F15" s="31">
        <f>D15/E15</f>
        <v>4.1666666666666666E-3</v>
      </c>
      <c r="G15" s="20">
        <v>1</v>
      </c>
      <c r="H15" s="6">
        <v>1997580</v>
      </c>
      <c r="I15" s="16">
        <f t="shared" si="3"/>
        <v>8323.25</v>
      </c>
      <c r="J15" s="1">
        <f t="shared" si="4"/>
        <v>1997580</v>
      </c>
    </row>
    <row r="16" spans="1:12">
      <c r="A16" s="15"/>
      <c r="B16" s="5" t="s">
        <v>56</v>
      </c>
      <c r="C16" s="5" t="s">
        <v>26</v>
      </c>
      <c r="D16" s="5">
        <v>1</v>
      </c>
      <c r="E16" s="5">
        <v>240</v>
      </c>
      <c r="F16" s="31">
        <f>D16/E16</f>
        <v>4.1666666666666666E-3</v>
      </c>
      <c r="G16" s="20">
        <v>1</v>
      </c>
      <c r="H16" s="6">
        <v>900</v>
      </c>
      <c r="I16" s="16">
        <f t="shared" ref="I16" si="5">F16*H16</f>
        <v>3.75</v>
      </c>
      <c r="J16" s="1">
        <f>I16*E13</f>
        <v>900</v>
      </c>
    </row>
    <row r="17" spans="1:11">
      <c r="A17" s="15"/>
      <c r="B17" s="5" t="s">
        <v>48</v>
      </c>
      <c r="C17" s="5" t="s">
        <v>26</v>
      </c>
      <c r="D17" s="5">
        <v>1</v>
      </c>
      <c r="E17" s="5">
        <v>240</v>
      </c>
      <c r="F17" s="31">
        <f>D17/E17</f>
        <v>4.1666666666666666E-3</v>
      </c>
      <c r="G17" s="20">
        <v>1</v>
      </c>
      <c r="H17" s="6">
        <f>23177-18440</f>
        <v>4737</v>
      </c>
      <c r="I17" s="16">
        <f t="shared" si="3"/>
        <v>19.737500000000001</v>
      </c>
      <c r="J17" s="1">
        <f>I17*E14</f>
        <v>4737</v>
      </c>
    </row>
    <row r="18" spans="1:11" ht="15.75" thickBot="1">
      <c r="A18" s="17"/>
      <c r="B18" s="18"/>
      <c r="C18" s="18"/>
      <c r="D18" s="18"/>
      <c r="E18" s="18"/>
      <c r="F18" s="40"/>
      <c r="G18" s="41"/>
      <c r="H18" s="19"/>
      <c r="I18" s="48">
        <f>SUM(I13:I17)</f>
        <v>8423.5708333333332</v>
      </c>
      <c r="J18" s="1">
        <f>I18*E17</f>
        <v>2021657</v>
      </c>
    </row>
    <row r="19" spans="1:11" ht="15.75" thickBot="1">
      <c r="A19" s="61"/>
      <c r="B19" s="62"/>
      <c r="C19" s="62"/>
      <c r="D19" s="62"/>
      <c r="E19" s="62"/>
      <c r="F19" s="63"/>
      <c r="G19" s="64" t="s">
        <v>52</v>
      </c>
      <c r="H19" s="65"/>
      <c r="I19" s="66">
        <f>I18-I20</f>
        <v>100.32083333333321</v>
      </c>
      <c r="J19" s="56">
        <f>I19*240</f>
        <v>24076.999999999971</v>
      </c>
      <c r="K19" s="3"/>
    </row>
    <row r="20" spans="1:11" ht="15.75" thickBot="1">
      <c r="A20" s="54"/>
      <c r="B20" s="34"/>
      <c r="C20" s="34"/>
      <c r="D20" s="34"/>
      <c r="E20" s="34"/>
      <c r="F20" s="57"/>
      <c r="G20" s="58" t="s">
        <v>53</v>
      </c>
      <c r="H20" s="35"/>
      <c r="I20" s="59">
        <f>I15</f>
        <v>8323.25</v>
      </c>
      <c r="J20" s="56">
        <f>I20*240</f>
        <v>1997580</v>
      </c>
    </row>
    <row r="21" spans="1:11">
      <c r="A21" s="11" t="s">
        <v>35</v>
      </c>
      <c r="B21" s="12" t="s">
        <v>21</v>
      </c>
      <c r="C21" s="12" t="s">
        <v>22</v>
      </c>
      <c r="D21" s="12">
        <v>15</v>
      </c>
      <c r="E21" s="12">
        <v>123</v>
      </c>
      <c r="F21" s="30">
        <f>D21/E21</f>
        <v>0.12195121951219512</v>
      </c>
      <c r="G21" s="21">
        <v>1</v>
      </c>
      <c r="H21" s="13">
        <v>250</v>
      </c>
      <c r="I21" s="14">
        <f>F21*H21</f>
        <v>30.487804878048781</v>
      </c>
      <c r="J21" s="1">
        <f>I21*E21</f>
        <v>3750</v>
      </c>
    </row>
    <row r="22" spans="1:11">
      <c r="A22" s="15"/>
      <c r="B22" s="5" t="s">
        <v>47</v>
      </c>
      <c r="C22" s="5" t="s">
        <v>26</v>
      </c>
      <c r="D22" s="5">
        <v>1</v>
      </c>
      <c r="E22" s="5">
        <v>123</v>
      </c>
      <c r="F22" s="31">
        <f>D22/E22</f>
        <v>8.130081300813009E-3</v>
      </c>
      <c r="G22" s="20">
        <v>1</v>
      </c>
      <c r="H22" s="6">
        <v>5000</v>
      </c>
      <c r="I22" s="16">
        <f t="shared" ref="I22:I24" si="6">F22*H22</f>
        <v>40.650406504065046</v>
      </c>
      <c r="J22" s="1">
        <f t="shared" ref="J22" si="7">I22*E21</f>
        <v>5000.0000000000009</v>
      </c>
    </row>
    <row r="23" spans="1:11">
      <c r="A23" s="15"/>
      <c r="B23" s="5" t="s">
        <v>51</v>
      </c>
      <c r="C23" s="5" t="s">
        <v>26</v>
      </c>
      <c r="D23" s="5">
        <v>1</v>
      </c>
      <c r="E23" s="5">
        <v>123</v>
      </c>
      <c r="F23" s="31">
        <f>D23/E23</f>
        <v>8.130081300813009E-3</v>
      </c>
      <c r="G23" s="20">
        <v>1</v>
      </c>
      <c r="H23" s="6">
        <v>1006510</v>
      </c>
      <c r="I23" s="16">
        <f t="shared" ref="I23" si="8">F23*H23</f>
        <v>8183.0081300813017</v>
      </c>
      <c r="J23" s="1">
        <f>I23*E21</f>
        <v>1006510.0000000001</v>
      </c>
    </row>
    <row r="24" spans="1:11">
      <c r="A24" s="15"/>
      <c r="B24" s="5" t="s">
        <v>48</v>
      </c>
      <c r="C24" s="5" t="s">
        <v>26</v>
      </c>
      <c r="D24" s="5">
        <v>1</v>
      </c>
      <c r="E24" s="5">
        <v>123</v>
      </c>
      <c r="F24" s="31">
        <f>D24/E24</f>
        <v>8.130081300813009E-3</v>
      </c>
      <c r="G24" s="20">
        <v>1</v>
      </c>
      <c r="H24" s="6">
        <f>15000-8750</f>
        <v>6250</v>
      </c>
      <c r="I24" s="16">
        <f t="shared" si="6"/>
        <v>50.813008130081307</v>
      </c>
      <c r="J24" s="1">
        <f>I24*E22</f>
        <v>6250.0000000000009</v>
      </c>
    </row>
    <row r="25" spans="1:11" ht="15.75" thickBot="1">
      <c r="A25" s="17"/>
      <c r="B25" s="18"/>
      <c r="C25" s="18"/>
      <c r="D25" s="18"/>
      <c r="E25" s="18"/>
      <c r="F25" s="40"/>
      <c r="G25" s="41"/>
      <c r="H25" s="19"/>
      <c r="I25" s="48">
        <f>SUM(I21:I24)</f>
        <v>8304.9593495934969</v>
      </c>
      <c r="J25" s="1">
        <f>I25*E24</f>
        <v>1021510.0000000001</v>
      </c>
    </row>
    <row r="26" spans="1:11" ht="15.75" thickBot="1">
      <c r="A26" s="61"/>
      <c r="B26" s="62"/>
      <c r="C26" s="62"/>
      <c r="D26" s="62"/>
      <c r="E26" s="62"/>
      <c r="F26" s="63"/>
      <c r="G26" s="64" t="s">
        <v>52</v>
      </c>
      <c r="H26" s="65"/>
      <c r="I26" s="66">
        <f>I25-I27</f>
        <v>121.95121951219517</v>
      </c>
      <c r="J26" s="56">
        <f>I26*123</f>
        <v>15000.000000000005</v>
      </c>
      <c r="K26" s="3"/>
    </row>
    <row r="27" spans="1:11" ht="15.75" thickBot="1">
      <c r="A27" s="54"/>
      <c r="B27" s="34"/>
      <c r="C27" s="34"/>
      <c r="D27" s="34"/>
      <c r="E27" s="34"/>
      <c r="F27" s="57"/>
      <c r="G27" s="58" t="s">
        <v>53</v>
      </c>
      <c r="H27" s="35"/>
      <c r="I27" s="59">
        <f>I23</f>
        <v>8183.0081300813017</v>
      </c>
      <c r="J27" s="56">
        <f>I27*123</f>
        <v>1006510.0000000001</v>
      </c>
    </row>
    <row r="28" spans="1:11">
      <c r="A28" s="11" t="s">
        <v>36</v>
      </c>
      <c r="B28" s="12" t="s">
        <v>21</v>
      </c>
      <c r="C28" s="12" t="s">
        <v>22</v>
      </c>
      <c r="D28" s="12">
        <v>40</v>
      </c>
      <c r="E28" s="12">
        <v>140</v>
      </c>
      <c r="F28" s="30">
        <f>D28/E28</f>
        <v>0.2857142857142857</v>
      </c>
      <c r="G28" s="21">
        <v>1</v>
      </c>
      <c r="H28" s="13">
        <v>250</v>
      </c>
      <c r="I28" s="14">
        <f>F28*H28</f>
        <v>71.428571428571431</v>
      </c>
      <c r="J28" s="1">
        <f>I28*E28</f>
        <v>10000</v>
      </c>
    </row>
    <row r="29" spans="1:11">
      <c r="A29" s="15"/>
      <c r="B29" s="5" t="s">
        <v>47</v>
      </c>
      <c r="C29" s="5" t="s">
        <v>26</v>
      </c>
      <c r="D29" s="5">
        <v>1</v>
      </c>
      <c r="E29" s="5">
        <v>140</v>
      </c>
      <c r="F29" s="31">
        <f>D29/E29</f>
        <v>7.1428571428571426E-3</v>
      </c>
      <c r="G29" s="20">
        <v>1</v>
      </c>
      <c r="H29" s="6">
        <v>10940</v>
      </c>
      <c r="I29" s="16">
        <f t="shared" ref="I29:I31" si="9">F29*H29</f>
        <v>78.142857142857139</v>
      </c>
      <c r="J29" s="1">
        <f t="shared" ref="J29" si="10">I29*E28</f>
        <v>10940</v>
      </c>
    </row>
    <row r="30" spans="1:11">
      <c r="A30" s="15"/>
      <c r="B30" s="5" t="s">
        <v>51</v>
      </c>
      <c r="C30" s="5" t="s">
        <v>26</v>
      </c>
      <c r="D30" s="5">
        <v>1</v>
      </c>
      <c r="E30" s="5">
        <v>140</v>
      </c>
      <c r="F30" s="31">
        <f>D30/E30</f>
        <v>7.1428571428571426E-3</v>
      </c>
      <c r="G30" s="20">
        <v>1</v>
      </c>
      <c r="H30" s="6">
        <v>1010640</v>
      </c>
      <c r="I30" s="16">
        <f t="shared" ref="I30" si="11">F30*H30</f>
        <v>7218.8571428571422</v>
      </c>
      <c r="J30" s="1">
        <f>I30*E28</f>
        <v>1010639.9999999999</v>
      </c>
    </row>
    <row r="31" spans="1:11">
      <c r="A31" s="15"/>
      <c r="B31" s="5" t="s">
        <v>48</v>
      </c>
      <c r="C31" s="5" t="s">
        <v>26</v>
      </c>
      <c r="D31" s="5">
        <v>1</v>
      </c>
      <c r="E31" s="5">
        <v>140</v>
      </c>
      <c r="F31" s="31">
        <f>D31/E31</f>
        <v>7.1428571428571426E-3</v>
      </c>
      <c r="G31" s="20">
        <v>1</v>
      </c>
      <c r="H31" s="6">
        <f>30474-20940</f>
        <v>9534</v>
      </c>
      <c r="I31" s="16">
        <f t="shared" si="9"/>
        <v>68.099999999999994</v>
      </c>
      <c r="J31" s="1">
        <f>I31*E29</f>
        <v>9534</v>
      </c>
    </row>
    <row r="32" spans="1:11" ht="15.75" thickBot="1">
      <c r="A32" s="17"/>
      <c r="B32" s="18"/>
      <c r="C32" s="18"/>
      <c r="D32" s="18"/>
      <c r="E32" s="18"/>
      <c r="F32" s="40"/>
      <c r="G32" s="41"/>
      <c r="H32" s="19"/>
      <c r="I32" s="48">
        <f>SUM(I28:I31)</f>
        <v>7436.528571428571</v>
      </c>
      <c r="J32" s="1">
        <f>I32*E31</f>
        <v>1041114</v>
      </c>
    </row>
    <row r="33" spans="1:11" ht="15.75" thickBot="1">
      <c r="A33" s="61"/>
      <c r="B33" s="62"/>
      <c r="C33" s="62"/>
      <c r="D33" s="62"/>
      <c r="E33" s="62"/>
      <c r="F33" s="63"/>
      <c r="G33" s="64" t="s">
        <v>52</v>
      </c>
      <c r="H33" s="65"/>
      <c r="I33" s="66">
        <f>I32-I34</f>
        <v>217.67142857142881</v>
      </c>
      <c r="J33" s="56">
        <f>I33*140</f>
        <v>30474.000000000033</v>
      </c>
      <c r="K33" s="3"/>
    </row>
    <row r="34" spans="1:11" ht="15.75" thickBot="1">
      <c r="A34" s="54"/>
      <c r="B34" s="34"/>
      <c r="C34" s="34"/>
      <c r="D34" s="34"/>
      <c r="E34" s="34"/>
      <c r="F34" s="57"/>
      <c r="G34" s="58" t="s">
        <v>53</v>
      </c>
      <c r="H34" s="35"/>
      <c r="I34" s="59">
        <f>I30</f>
        <v>7218.8571428571422</v>
      </c>
      <c r="J34" s="56">
        <f>I34*140</f>
        <v>1010639.9999999999</v>
      </c>
    </row>
    <row r="35" spans="1:11">
      <c r="A35" s="11" t="s">
        <v>40</v>
      </c>
      <c r="B35" s="12" t="s">
        <v>21</v>
      </c>
      <c r="C35" s="12" t="s">
        <v>22</v>
      </c>
      <c r="D35" s="12">
        <v>40</v>
      </c>
      <c r="E35" s="12">
        <v>123</v>
      </c>
      <c r="F35" s="30">
        <f>D35/E35</f>
        <v>0.32520325203252032</v>
      </c>
      <c r="G35" s="21">
        <v>1</v>
      </c>
      <c r="H35" s="13"/>
      <c r="I35" s="14">
        <f>F35*H35</f>
        <v>0</v>
      </c>
      <c r="J35" s="1">
        <f>I35*E35</f>
        <v>0</v>
      </c>
    </row>
    <row r="36" spans="1:11">
      <c r="A36" s="15"/>
      <c r="B36" s="5" t="s">
        <v>51</v>
      </c>
      <c r="C36" s="5" t="s">
        <v>26</v>
      </c>
      <c r="D36" s="5">
        <v>1</v>
      </c>
      <c r="E36" s="5">
        <v>123</v>
      </c>
      <c r="F36" s="31">
        <f>D36/E36</f>
        <v>8.130081300813009E-3</v>
      </c>
      <c r="G36" s="20">
        <v>1</v>
      </c>
      <c r="H36" s="6">
        <v>1017500</v>
      </c>
      <c r="I36" s="16">
        <f t="shared" ref="I36:I37" si="12">F36*H36</f>
        <v>8272.3577235772373</v>
      </c>
      <c r="J36" s="1">
        <f t="shared" ref="J36:J37" si="13">I36*E35</f>
        <v>1017500.0000000002</v>
      </c>
    </row>
    <row r="37" spans="1:11">
      <c r="A37" s="15"/>
      <c r="B37" s="5" t="s">
        <v>48</v>
      </c>
      <c r="C37" s="5" t="s">
        <v>26</v>
      </c>
      <c r="D37" s="5">
        <v>1</v>
      </c>
      <c r="E37" s="5">
        <v>123</v>
      </c>
      <c r="F37" s="31">
        <f>D37/E37</f>
        <v>8.130081300813009E-3</v>
      </c>
      <c r="G37" s="20">
        <v>1</v>
      </c>
      <c r="H37" s="6"/>
      <c r="I37" s="16">
        <f t="shared" si="12"/>
        <v>0</v>
      </c>
      <c r="J37" s="1">
        <f t="shared" si="13"/>
        <v>0</v>
      </c>
    </row>
    <row r="38" spans="1:11" ht="15.75" thickBot="1">
      <c r="A38" s="17"/>
      <c r="B38" s="18"/>
      <c r="C38" s="18"/>
      <c r="D38" s="18"/>
      <c r="E38" s="18"/>
      <c r="F38" s="40"/>
      <c r="G38" s="41"/>
      <c r="H38" s="19"/>
      <c r="I38" s="48">
        <f>SUM(I35:I37)</f>
        <v>8272.3577235772373</v>
      </c>
      <c r="J38" s="1">
        <f>I38*E37</f>
        <v>1017500.0000000002</v>
      </c>
    </row>
    <row r="39" spans="1:11" ht="15.75" thickBot="1">
      <c r="A39" s="61"/>
      <c r="B39" s="62"/>
      <c r="C39" s="62"/>
      <c r="D39" s="62"/>
      <c r="E39" s="62"/>
      <c r="F39" s="63"/>
      <c r="G39" s="64" t="s">
        <v>52</v>
      </c>
      <c r="H39" s="65"/>
      <c r="I39" s="66">
        <f>I38-I40</f>
        <v>0</v>
      </c>
      <c r="J39" s="56">
        <f>I39*140</f>
        <v>0</v>
      </c>
      <c r="K39" s="3"/>
    </row>
    <row r="40" spans="1:11" ht="15.75" thickBot="1">
      <c r="A40" s="54"/>
      <c r="B40" s="34"/>
      <c r="C40" s="34"/>
      <c r="D40" s="34"/>
      <c r="E40" s="34"/>
      <c r="F40" s="57"/>
      <c r="G40" s="58" t="s">
        <v>53</v>
      </c>
      <c r="H40" s="35"/>
      <c r="I40" s="59">
        <f>I36</f>
        <v>8272.3577235772373</v>
      </c>
      <c r="J40" s="56">
        <f>I40*123</f>
        <v>1017500.0000000002</v>
      </c>
    </row>
    <row r="41" spans="1:11">
      <c r="A41" s="11" t="s">
        <v>41</v>
      </c>
      <c r="B41" s="12" t="s">
        <v>21</v>
      </c>
      <c r="C41" s="12" t="s">
        <v>22</v>
      </c>
      <c r="D41" s="12">
        <v>20</v>
      </c>
      <c r="E41" s="12">
        <v>220</v>
      </c>
      <c r="F41" s="30">
        <f>D41/E41</f>
        <v>9.0909090909090912E-2</v>
      </c>
      <c r="G41" s="21">
        <v>1</v>
      </c>
      <c r="H41" s="13">
        <v>250</v>
      </c>
      <c r="I41" s="14">
        <f>F41*H41</f>
        <v>22.727272727272727</v>
      </c>
      <c r="J41" s="1">
        <f>I41*E41</f>
        <v>5000</v>
      </c>
    </row>
    <row r="42" spans="1:11">
      <c r="A42" s="15"/>
      <c r="B42" s="5" t="s">
        <v>47</v>
      </c>
      <c r="C42" s="5" t="s">
        <v>26</v>
      </c>
      <c r="D42" s="5">
        <v>1</v>
      </c>
      <c r="E42" s="5">
        <v>220</v>
      </c>
      <c r="F42" s="31">
        <f>D42/E42</f>
        <v>4.5454545454545452E-3</v>
      </c>
      <c r="G42" s="20">
        <v>1</v>
      </c>
      <c r="H42" s="6">
        <v>7000</v>
      </c>
      <c r="I42" s="16">
        <f t="shared" ref="I42:I44" si="14">F42*H42</f>
        <v>31.818181818181817</v>
      </c>
      <c r="J42" s="1">
        <f t="shared" ref="J42" si="15">I42*E41</f>
        <v>7000</v>
      </c>
    </row>
    <row r="43" spans="1:11">
      <c r="A43" s="15"/>
      <c r="B43" s="5" t="s">
        <v>51</v>
      </c>
      <c r="C43" s="5" t="s">
        <v>26</v>
      </c>
      <c r="D43" s="5">
        <v>1</v>
      </c>
      <c r="E43" s="5">
        <v>220</v>
      </c>
      <c r="F43" s="31">
        <f>D43/E43</f>
        <v>4.5454545454545452E-3</v>
      </c>
      <c r="G43" s="20">
        <v>1</v>
      </c>
      <c r="H43" s="6">
        <v>1686710</v>
      </c>
      <c r="I43" s="16">
        <f t="shared" ref="I43" si="16">F43*H43</f>
        <v>7666.863636363636</v>
      </c>
      <c r="J43" s="1">
        <f>I43*E41</f>
        <v>1686710</v>
      </c>
    </row>
    <row r="44" spans="1:11">
      <c r="A44" s="15"/>
      <c r="B44" s="5" t="s">
        <v>48</v>
      </c>
      <c r="C44" s="5" t="s">
        <v>26</v>
      </c>
      <c r="D44" s="5">
        <v>1</v>
      </c>
      <c r="E44" s="5">
        <v>220</v>
      </c>
      <c r="F44" s="31">
        <f>D44/E44</f>
        <v>4.5454545454545452E-3</v>
      </c>
      <c r="G44" s="20">
        <v>1</v>
      </c>
      <c r="H44" s="6">
        <f>17200-12000</f>
        <v>5200</v>
      </c>
      <c r="I44" s="16">
        <f t="shared" si="14"/>
        <v>23.636363636363637</v>
      </c>
      <c r="J44" s="1">
        <f>I44*E42</f>
        <v>5200</v>
      </c>
    </row>
    <row r="45" spans="1:11" ht="15.75" thickBot="1">
      <c r="A45" s="17"/>
      <c r="B45" s="18"/>
      <c r="C45" s="18"/>
      <c r="D45" s="18"/>
      <c r="E45" s="18"/>
      <c r="F45" s="40"/>
      <c r="G45" s="41"/>
      <c r="H45" s="19"/>
      <c r="I45" s="48">
        <f>SUM(I41:I44)</f>
        <v>7745.045454545455</v>
      </c>
      <c r="J45" s="1">
        <f>I45*E44</f>
        <v>1703910</v>
      </c>
    </row>
    <row r="46" spans="1:11" ht="15.75" thickBot="1">
      <c r="A46" s="61"/>
      <c r="B46" s="62"/>
      <c r="C46" s="62"/>
      <c r="D46" s="62"/>
      <c r="E46" s="62"/>
      <c r="F46" s="63"/>
      <c r="G46" s="64" t="s">
        <v>52</v>
      </c>
      <c r="H46" s="65"/>
      <c r="I46" s="66">
        <f>I45-I47</f>
        <v>78.181818181818926</v>
      </c>
      <c r="J46" s="56">
        <f>I46*220</f>
        <v>17200.000000000164</v>
      </c>
      <c r="K46" s="3"/>
    </row>
    <row r="47" spans="1:11" ht="15.75" thickBot="1">
      <c r="A47" s="54"/>
      <c r="B47" s="34"/>
      <c r="C47" s="34"/>
      <c r="D47" s="34"/>
      <c r="E47" s="34"/>
      <c r="F47" s="57"/>
      <c r="G47" s="58" t="s">
        <v>53</v>
      </c>
      <c r="H47" s="35"/>
      <c r="I47" s="59">
        <f>I43</f>
        <v>7666.863636363636</v>
      </c>
      <c r="J47" s="56">
        <f>I47*220</f>
        <v>1686710</v>
      </c>
    </row>
    <row r="48" spans="1:11">
      <c r="A48" s="11" t="s">
        <v>42</v>
      </c>
      <c r="B48" s="12" t="s">
        <v>21</v>
      </c>
      <c r="C48" s="12" t="s">
        <v>22</v>
      </c>
      <c r="D48" s="12">
        <v>60</v>
      </c>
      <c r="E48" s="12">
        <v>250</v>
      </c>
      <c r="F48" s="30">
        <f>D48/E48</f>
        <v>0.24</v>
      </c>
      <c r="G48" s="21">
        <v>1</v>
      </c>
      <c r="H48" s="13">
        <v>250</v>
      </c>
      <c r="I48" s="14">
        <f>F48*H48</f>
        <v>60</v>
      </c>
      <c r="J48" s="1">
        <f>I48*E48</f>
        <v>15000</v>
      </c>
    </row>
    <row r="49" spans="1:11">
      <c r="A49" s="15"/>
      <c r="B49" s="5" t="s">
        <v>47</v>
      </c>
      <c r="C49" s="5" t="s">
        <v>26</v>
      </c>
      <c r="D49" s="5">
        <v>1</v>
      </c>
      <c r="E49" s="5">
        <v>250</v>
      </c>
      <c r="F49" s="31">
        <f>D49/E49</f>
        <v>4.0000000000000001E-3</v>
      </c>
      <c r="G49" s="20">
        <v>1</v>
      </c>
      <c r="H49" s="6">
        <v>10672</v>
      </c>
      <c r="I49" s="16">
        <f t="shared" ref="I49:I51" si="17">F49*H49</f>
        <v>42.688000000000002</v>
      </c>
      <c r="J49" s="1">
        <f t="shared" ref="J49" si="18">I49*E48</f>
        <v>10672</v>
      </c>
    </row>
    <row r="50" spans="1:11">
      <c r="A50" s="15"/>
      <c r="B50" s="5" t="s">
        <v>51</v>
      </c>
      <c r="C50" s="5" t="s">
        <v>26</v>
      </c>
      <c r="D50" s="5">
        <v>1</v>
      </c>
      <c r="E50" s="5">
        <v>250</v>
      </c>
      <c r="F50" s="31">
        <f>D50/E50</f>
        <v>4.0000000000000001E-3</v>
      </c>
      <c r="G50" s="20">
        <v>1</v>
      </c>
      <c r="H50" s="6">
        <v>2055170</v>
      </c>
      <c r="I50" s="16">
        <f t="shared" ref="I50" si="19">F50*H50</f>
        <v>8220.68</v>
      </c>
      <c r="J50" s="1">
        <f>I50*E48</f>
        <v>2055170</v>
      </c>
    </row>
    <row r="51" spans="1:11">
      <c r="A51" s="15"/>
      <c r="B51" s="5" t="s">
        <v>48</v>
      </c>
      <c r="C51" s="5" t="s">
        <v>26</v>
      </c>
      <c r="D51" s="5">
        <v>1</v>
      </c>
      <c r="E51" s="5">
        <v>250</v>
      </c>
      <c r="F51" s="31">
        <f>D51/E51</f>
        <v>4.0000000000000001E-3</v>
      </c>
      <c r="G51" s="20">
        <v>1</v>
      </c>
      <c r="H51" s="6">
        <v>19328</v>
      </c>
      <c r="I51" s="16">
        <f t="shared" si="17"/>
        <v>77.311999999999998</v>
      </c>
      <c r="J51" s="1">
        <f>I51*E49</f>
        <v>19328</v>
      </c>
    </row>
    <row r="52" spans="1:11" ht="15.75" thickBot="1">
      <c r="A52" s="17"/>
      <c r="B52" s="18"/>
      <c r="C52" s="18"/>
      <c r="D52" s="18"/>
      <c r="E52" s="18"/>
      <c r="F52" s="40"/>
      <c r="G52" s="41"/>
      <c r="H52" s="19"/>
      <c r="I52" s="48">
        <f>SUM(I48:I51)</f>
        <v>8400.68</v>
      </c>
      <c r="J52" s="1">
        <f>I52*E51</f>
        <v>2100170</v>
      </c>
    </row>
    <row r="53" spans="1:11" ht="15.75" thickBot="1">
      <c r="A53" s="61"/>
      <c r="B53" s="62"/>
      <c r="C53" s="62"/>
      <c r="D53" s="62"/>
      <c r="E53" s="62"/>
      <c r="F53" s="63"/>
      <c r="G53" s="64" t="s">
        <v>52</v>
      </c>
      <c r="H53" s="65"/>
      <c r="I53" s="66">
        <f>I52-I54</f>
        <v>180</v>
      </c>
      <c r="J53" s="56">
        <f>I53*250</f>
        <v>45000</v>
      </c>
      <c r="K53" s="3"/>
    </row>
    <row r="54" spans="1:11" ht="15.75" thickBot="1">
      <c r="A54" s="54"/>
      <c r="B54" s="34"/>
      <c r="C54" s="34"/>
      <c r="D54" s="34"/>
      <c r="E54" s="34"/>
      <c r="F54" s="57"/>
      <c r="G54" s="58" t="s">
        <v>53</v>
      </c>
      <c r="H54" s="35"/>
      <c r="I54" s="59">
        <f>I50</f>
        <v>8220.68</v>
      </c>
      <c r="J54" s="56">
        <f>I54*250</f>
        <v>2055170</v>
      </c>
    </row>
    <row r="55" spans="1:11">
      <c r="A55" s="11" t="s">
        <v>43</v>
      </c>
      <c r="B55" s="12" t="s">
        <v>21</v>
      </c>
      <c r="C55" s="12" t="s">
        <v>22</v>
      </c>
      <c r="D55" s="12">
        <v>20</v>
      </c>
      <c r="E55" s="12">
        <v>131</v>
      </c>
      <c r="F55" s="30">
        <f>D55/E55</f>
        <v>0.15267175572519084</v>
      </c>
      <c r="G55" s="21">
        <v>1</v>
      </c>
      <c r="H55" s="13">
        <v>250</v>
      </c>
      <c r="I55" s="14">
        <f>F55*H55</f>
        <v>38.167938931297712</v>
      </c>
      <c r="J55" s="1">
        <f>I55*E55</f>
        <v>5000</v>
      </c>
    </row>
    <row r="56" spans="1:11">
      <c r="A56" s="15"/>
      <c r="B56" s="5" t="s">
        <v>47</v>
      </c>
      <c r="C56" s="5" t="s">
        <v>26</v>
      </c>
      <c r="D56" s="5">
        <v>1</v>
      </c>
      <c r="E56" s="5">
        <v>131</v>
      </c>
      <c r="F56" s="31">
        <f>D56/E56</f>
        <v>7.6335877862595417E-3</v>
      </c>
      <c r="G56" s="20">
        <v>1</v>
      </c>
      <c r="H56" s="6">
        <v>5500</v>
      </c>
      <c r="I56" s="16">
        <f t="shared" ref="I56:I58" si="20">F56*H56</f>
        <v>41.984732824427482</v>
      </c>
      <c r="J56" s="1">
        <f t="shared" ref="J56" si="21">I56*E55</f>
        <v>5500</v>
      </c>
    </row>
    <row r="57" spans="1:11">
      <c r="A57" s="15"/>
      <c r="B57" s="5" t="s">
        <v>51</v>
      </c>
      <c r="C57" s="5" t="s">
        <v>26</v>
      </c>
      <c r="D57" s="5">
        <v>1</v>
      </c>
      <c r="E57" s="5">
        <v>131</v>
      </c>
      <c r="F57" s="31">
        <f>D57/E57</f>
        <v>7.6335877862595417E-3</v>
      </c>
      <c r="G57" s="20">
        <v>1</v>
      </c>
      <c r="H57" s="6">
        <v>1018240</v>
      </c>
      <c r="I57" s="16">
        <f t="shared" ref="I57" si="22">F57*H57</f>
        <v>7772.8244274809158</v>
      </c>
      <c r="J57" s="1">
        <f>I57*E55</f>
        <v>1018240</v>
      </c>
    </row>
    <row r="58" spans="1:11">
      <c r="A58" s="15"/>
      <c r="B58" s="5" t="s">
        <v>48</v>
      </c>
      <c r="C58" s="5" t="s">
        <v>26</v>
      </c>
      <c r="D58" s="5">
        <v>1</v>
      </c>
      <c r="E58" s="5">
        <v>131</v>
      </c>
      <c r="F58" s="31">
        <f>D58/E58</f>
        <v>7.6335877862595417E-3</v>
      </c>
      <c r="G58" s="20">
        <v>1</v>
      </c>
      <c r="H58" s="6">
        <f>24000-10500</f>
        <v>13500</v>
      </c>
      <c r="I58" s="16">
        <f t="shared" si="20"/>
        <v>103.05343511450381</v>
      </c>
      <c r="J58" s="1">
        <f>I58*E56</f>
        <v>13500</v>
      </c>
    </row>
    <row r="59" spans="1:11" ht="15.75" thickBot="1">
      <c r="A59" s="17"/>
      <c r="B59" s="18"/>
      <c r="C59" s="18"/>
      <c r="D59" s="18"/>
      <c r="E59" s="18"/>
      <c r="F59" s="40"/>
      <c r="G59" s="41"/>
      <c r="H59" s="19"/>
      <c r="I59" s="48">
        <f>SUM(I55:I58)</f>
        <v>7956.0305343511445</v>
      </c>
      <c r="J59" s="1">
        <f>I59*E58</f>
        <v>1042239.9999999999</v>
      </c>
    </row>
    <row r="60" spans="1:11" ht="15.75" thickBot="1">
      <c r="A60" s="61"/>
      <c r="B60" s="62"/>
      <c r="C60" s="62"/>
      <c r="D60" s="62"/>
      <c r="E60" s="62"/>
      <c r="F60" s="63"/>
      <c r="G60" s="64" t="s">
        <v>52</v>
      </c>
      <c r="H60" s="65"/>
      <c r="I60" s="66">
        <f>I59-I61</f>
        <v>183.20610687022872</v>
      </c>
      <c r="J60" s="56">
        <f>I60*131</f>
        <v>23999.999999999964</v>
      </c>
      <c r="K60" s="3"/>
    </row>
    <row r="61" spans="1:11" ht="15.75" thickBot="1">
      <c r="A61" s="54"/>
      <c r="B61" s="34"/>
      <c r="C61" s="34"/>
      <c r="D61" s="34"/>
      <c r="E61" s="34"/>
      <c r="F61" s="57"/>
      <c r="G61" s="58" t="s">
        <v>53</v>
      </c>
      <c r="H61" s="35"/>
      <c r="I61" s="59">
        <f>I57</f>
        <v>7772.8244274809158</v>
      </c>
      <c r="J61" s="56">
        <f>I61*131</f>
        <v>1018240</v>
      </c>
    </row>
    <row r="62" spans="1:11">
      <c r="A62" s="11" t="s">
        <v>44</v>
      </c>
      <c r="B62" s="12" t="s">
        <v>21</v>
      </c>
      <c r="C62" s="12" t="s">
        <v>22</v>
      </c>
      <c r="D62" s="12">
        <v>20</v>
      </c>
      <c r="E62" s="12">
        <v>126</v>
      </c>
      <c r="F62" s="30">
        <f>D62/E62</f>
        <v>0.15873015873015872</v>
      </c>
      <c r="G62" s="21">
        <v>1</v>
      </c>
      <c r="H62" s="13">
        <v>250</v>
      </c>
      <c r="I62" s="14">
        <f>F62*H62</f>
        <v>39.682539682539684</v>
      </c>
      <c r="J62" s="1">
        <f>I62*E62</f>
        <v>5000</v>
      </c>
    </row>
    <row r="63" spans="1:11">
      <c r="A63" s="15"/>
      <c r="B63" s="5" t="s">
        <v>47</v>
      </c>
      <c r="C63" s="5" t="s">
        <v>26</v>
      </c>
      <c r="D63" s="5">
        <v>1</v>
      </c>
      <c r="E63" s="5">
        <v>126</v>
      </c>
      <c r="F63" s="31">
        <f>D63/E63</f>
        <v>7.9365079365079361E-3</v>
      </c>
      <c r="G63" s="20">
        <v>1</v>
      </c>
      <c r="H63" s="6">
        <v>5500</v>
      </c>
      <c r="I63" s="16">
        <f t="shared" ref="I63:I65" si="23">F63*H63</f>
        <v>43.650793650793645</v>
      </c>
      <c r="J63" s="1">
        <f t="shared" ref="J63" si="24">I63*E62</f>
        <v>5499.9999999999991</v>
      </c>
    </row>
    <row r="64" spans="1:11">
      <c r="A64" s="15"/>
      <c r="B64" s="5" t="s">
        <v>51</v>
      </c>
      <c r="C64" s="5" t="s">
        <v>26</v>
      </c>
      <c r="D64" s="5">
        <v>1</v>
      </c>
      <c r="E64" s="5">
        <v>126</v>
      </c>
      <c r="F64" s="31">
        <f>D64/E64</f>
        <v>7.9365079365079361E-3</v>
      </c>
      <c r="G64" s="20">
        <v>1</v>
      </c>
      <c r="H64" s="6">
        <v>1067930</v>
      </c>
      <c r="I64" s="16">
        <f t="shared" ref="I64" si="25">F64*H64</f>
        <v>8475.6349206349205</v>
      </c>
      <c r="J64" s="1">
        <f>I64*E62</f>
        <v>1067930</v>
      </c>
    </row>
    <row r="65" spans="1:11">
      <c r="A65" s="15"/>
      <c r="B65" s="5" t="s">
        <v>48</v>
      </c>
      <c r="C65" s="5" t="s">
        <v>26</v>
      </c>
      <c r="D65" s="5">
        <v>1</v>
      </c>
      <c r="E65" s="5">
        <v>126</v>
      </c>
      <c r="F65" s="31">
        <f>D65/E65</f>
        <v>7.9365079365079361E-3</v>
      </c>
      <c r="G65" s="20">
        <v>1</v>
      </c>
      <c r="H65" s="6">
        <v>2000</v>
      </c>
      <c r="I65" s="16">
        <f t="shared" si="23"/>
        <v>15.873015873015872</v>
      </c>
      <c r="J65" s="1">
        <f>I65*E63</f>
        <v>1999.9999999999998</v>
      </c>
    </row>
    <row r="66" spans="1:11" ht="15.75" thickBot="1">
      <c r="A66" s="17"/>
      <c r="B66" s="18"/>
      <c r="C66" s="18"/>
      <c r="D66" s="18"/>
      <c r="E66" s="18"/>
      <c r="F66" s="40"/>
      <c r="G66" s="41"/>
      <c r="H66" s="19"/>
      <c r="I66" s="48">
        <f>SUM(I62:I65)</f>
        <v>8574.8412698412703</v>
      </c>
      <c r="J66" s="1">
        <f>I66*E65</f>
        <v>1080430</v>
      </c>
    </row>
    <row r="67" spans="1:11" ht="15.75" thickBot="1">
      <c r="A67" s="61"/>
      <c r="B67" s="62"/>
      <c r="C67" s="62"/>
      <c r="D67" s="62"/>
      <c r="E67" s="62"/>
      <c r="F67" s="63"/>
      <c r="G67" s="64" t="s">
        <v>52</v>
      </c>
      <c r="H67" s="65"/>
      <c r="I67" s="66">
        <f>I66-I68</f>
        <v>99.206349206349842</v>
      </c>
      <c r="J67" s="56">
        <f>I67*126</f>
        <v>12500.00000000008</v>
      </c>
      <c r="K67" s="3"/>
    </row>
    <row r="68" spans="1:11">
      <c r="A68" s="54"/>
      <c r="B68" s="34"/>
      <c r="C68" s="34"/>
      <c r="D68" s="34"/>
      <c r="E68" s="34"/>
      <c r="F68" s="57"/>
      <c r="G68" s="58" t="s">
        <v>53</v>
      </c>
      <c r="H68" s="35"/>
      <c r="I68" s="59">
        <f>I64</f>
        <v>8475.6349206349205</v>
      </c>
      <c r="J68" s="56">
        <f>I68*126</f>
        <v>1067930</v>
      </c>
    </row>
    <row r="69" spans="1:11" ht="15.75" thickBot="1"/>
    <row r="70" spans="1:11">
      <c r="A70" s="11" t="s">
        <v>30</v>
      </c>
      <c r="B70" s="12" t="s">
        <v>21</v>
      </c>
      <c r="C70" s="12" t="s">
        <v>22</v>
      </c>
      <c r="D70" s="12">
        <v>30</v>
      </c>
      <c r="E70" s="12">
        <v>206</v>
      </c>
      <c r="F70" s="30">
        <f>D70/E70</f>
        <v>0.14563106796116504</v>
      </c>
      <c r="G70" s="21">
        <v>1</v>
      </c>
      <c r="H70" s="13">
        <v>250</v>
      </c>
      <c r="I70" s="14">
        <f>F70*H70</f>
        <v>36.407766990291258</v>
      </c>
      <c r="J70" s="1">
        <f>I70*E70</f>
        <v>7499.9999999999991</v>
      </c>
    </row>
    <row r="71" spans="1:11">
      <c r="A71" s="15"/>
      <c r="B71" s="5" t="s">
        <v>47</v>
      </c>
      <c r="C71" s="5" t="s">
        <v>26</v>
      </c>
      <c r="D71" s="5">
        <v>1</v>
      </c>
      <c r="E71" s="5">
        <v>206</v>
      </c>
      <c r="F71" s="31">
        <f>D71/E71</f>
        <v>4.8543689320388345E-3</v>
      </c>
      <c r="G71" s="20">
        <v>1</v>
      </c>
      <c r="H71" s="6">
        <f>22758.4-17500</f>
        <v>5258.4000000000015</v>
      </c>
      <c r="I71" s="16">
        <f t="shared" ref="I71:I73" si="26">F71*H71</f>
        <v>25.526213592233013</v>
      </c>
      <c r="J71" s="1">
        <f t="shared" ref="J71" si="27">I71*E70</f>
        <v>5258.4000000000005</v>
      </c>
    </row>
    <row r="72" spans="1:11">
      <c r="A72" s="15"/>
      <c r="B72" s="5" t="s">
        <v>51</v>
      </c>
      <c r="C72" s="5" t="s">
        <v>26</v>
      </c>
      <c r="D72" s="5">
        <v>1</v>
      </c>
      <c r="E72" s="5">
        <v>206</v>
      </c>
      <c r="F72" s="31">
        <f>D72/E72</f>
        <v>4.8543689320388345E-3</v>
      </c>
      <c r="G72" s="20">
        <v>2</v>
      </c>
      <c r="H72" s="6">
        <v>1644900</v>
      </c>
      <c r="I72" s="16">
        <f t="shared" ref="I72" si="28">F72*H72</f>
        <v>7984.9514563106786</v>
      </c>
      <c r="J72" s="1">
        <f>I72*E70</f>
        <v>1644899.9999999998</v>
      </c>
    </row>
    <row r="73" spans="1:11">
      <c r="A73" s="15"/>
      <c r="B73" s="5" t="s">
        <v>48</v>
      </c>
      <c r="C73" s="5" t="s">
        <v>26</v>
      </c>
      <c r="D73" s="5">
        <v>1</v>
      </c>
      <c r="E73" s="5">
        <v>206</v>
      </c>
      <c r="F73" s="31">
        <f>D73/E73</f>
        <v>4.8543689320388345E-3</v>
      </c>
      <c r="G73" s="20">
        <v>2</v>
      </c>
      <c r="H73" s="6">
        <v>10000</v>
      </c>
      <c r="I73" s="16">
        <f t="shared" si="26"/>
        <v>48.543689320388346</v>
      </c>
      <c r="J73" s="1">
        <f>I73*E71</f>
        <v>10000</v>
      </c>
    </row>
    <row r="74" spans="1:11" ht="15.75" thickBot="1">
      <c r="A74" s="17"/>
      <c r="B74" s="18"/>
      <c r="C74" s="18"/>
      <c r="D74" s="18"/>
      <c r="E74" s="18"/>
      <c r="F74" s="40"/>
      <c r="G74" s="41"/>
      <c r="H74" s="19"/>
      <c r="I74" s="48">
        <f>SUM(I70:I73)</f>
        <v>8095.4291262135912</v>
      </c>
      <c r="J74" s="1">
        <f>I74*E73</f>
        <v>1667658.3999999997</v>
      </c>
    </row>
    <row r="75" spans="1:11" ht="15.75" thickBot="1">
      <c r="A75" s="61"/>
      <c r="B75" s="62"/>
      <c r="C75" s="62"/>
      <c r="D75" s="62"/>
      <c r="E75" s="62"/>
      <c r="F75" s="63"/>
      <c r="G75" s="64" t="s">
        <v>52</v>
      </c>
      <c r="H75" s="65"/>
      <c r="I75" s="66">
        <f>I74-I76</f>
        <v>110.47766990291257</v>
      </c>
      <c r="J75" s="56">
        <f>I75*206</f>
        <v>22758.399999999987</v>
      </c>
      <c r="K75" s="3"/>
    </row>
    <row r="76" spans="1:11" ht="15.75" thickBot="1">
      <c r="A76" s="54"/>
      <c r="B76" s="34"/>
      <c r="C76" s="34"/>
      <c r="D76" s="34"/>
      <c r="E76" s="34"/>
      <c r="F76" s="57"/>
      <c r="G76" s="58" t="s">
        <v>53</v>
      </c>
      <c r="H76" s="35"/>
      <c r="I76" s="59">
        <f>I72</f>
        <v>7984.9514563106786</v>
      </c>
      <c r="J76" s="56">
        <f>I76*206</f>
        <v>1644899.9999999998</v>
      </c>
    </row>
    <row r="77" spans="1:11">
      <c r="A77" s="11" t="s">
        <v>37</v>
      </c>
      <c r="B77" s="12" t="s">
        <v>21</v>
      </c>
      <c r="C77" s="12" t="s">
        <v>22</v>
      </c>
      <c r="D77" s="12">
        <v>40</v>
      </c>
      <c r="E77" s="12">
        <v>275</v>
      </c>
      <c r="F77" s="30">
        <f>D77/E77</f>
        <v>0.14545454545454545</v>
      </c>
      <c r="G77" s="21">
        <v>1</v>
      </c>
      <c r="H77" s="13">
        <v>250</v>
      </c>
      <c r="I77" s="14">
        <f>F77*H77</f>
        <v>36.36363636363636</v>
      </c>
      <c r="J77" s="1">
        <f>I77*E77</f>
        <v>9999.9999999999982</v>
      </c>
    </row>
    <row r="78" spans="1:11">
      <c r="A78" s="15"/>
      <c r="B78" s="5" t="s">
        <v>47</v>
      </c>
      <c r="C78" s="5" t="s">
        <v>26</v>
      </c>
      <c r="D78" s="5">
        <v>1</v>
      </c>
      <c r="E78" s="5">
        <v>275</v>
      </c>
      <c r="F78" s="31">
        <f>D78/E78</f>
        <v>3.6363636363636364E-3</v>
      </c>
      <c r="G78" s="20">
        <v>1</v>
      </c>
      <c r="H78" s="6">
        <v>10940</v>
      </c>
      <c r="I78" s="16">
        <f t="shared" ref="I78:I80" si="29">F78*H78</f>
        <v>39.781818181818181</v>
      </c>
      <c r="J78" s="1">
        <f t="shared" ref="J78" si="30">I78*E77</f>
        <v>10940</v>
      </c>
    </row>
    <row r="79" spans="1:11">
      <c r="A79" s="15"/>
      <c r="B79" s="5" t="s">
        <v>51</v>
      </c>
      <c r="C79" s="5" t="s">
        <v>26</v>
      </c>
      <c r="D79" s="5">
        <v>1</v>
      </c>
      <c r="E79" s="5">
        <v>275</v>
      </c>
      <c r="F79" s="31">
        <f>D79/E79</f>
        <v>3.6363636363636364E-3</v>
      </c>
      <c r="G79" s="20">
        <v>1</v>
      </c>
      <c r="H79" s="6">
        <v>2256510</v>
      </c>
      <c r="I79" s="16">
        <f t="shared" ref="I79" si="31">F79*H79</f>
        <v>8205.4909090909096</v>
      </c>
      <c r="J79" s="1">
        <f>I79*E77</f>
        <v>2256510</v>
      </c>
    </row>
    <row r="80" spans="1:11">
      <c r="A80" s="15"/>
      <c r="B80" s="5" t="s">
        <v>48</v>
      </c>
      <c r="C80" s="5" t="s">
        <v>26</v>
      </c>
      <c r="D80" s="5">
        <v>1</v>
      </c>
      <c r="E80" s="5">
        <v>275</v>
      </c>
      <c r="F80" s="31">
        <f>D80/E80</f>
        <v>3.6363636363636364E-3</v>
      </c>
      <c r="G80" s="20">
        <v>1</v>
      </c>
      <c r="H80" s="6">
        <f>40000-20940</f>
        <v>19060</v>
      </c>
      <c r="I80" s="16">
        <f t="shared" si="29"/>
        <v>69.309090909090912</v>
      </c>
      <c r="J80" s="1">
        <f>I80*E78</f>
        <v>19060</v>
      </c>
    </row>
    <row r="81" spans="1:11" ht="15.75" thickBot="1">
      <c r="A81" s="17"/>
      <c r="B81" s="18"/>
      <c r="C81" s="18"/>
      <c r="D81" s="18"/>
      <c r="E81" s="18"/>
      <c r="F81" s="40"/>
      <c r="G81" s="41"/>
      <c r="H81" s="19"/>
      <c r="I81" s="48">
        <f>SUM(I77:I80)</f>
        <v>8350.9454545454555</v>
      </c>
      <c r="J81" s="1">
        <f>I81*E80</f>
        <v>2296510.0000000005</v>
      </c>
    </row>
    <row r="82" spans="1:11" ht="15.75" thickBot="1">
      <c r="A82" s="61"/>
      <c r="B82" s="62"/>
      <c r="C82" s="62"/>
      <c r="D82" s="62"/>
      <c r="E82" s="62"/>
      <c r="F82" s="63"/>
      <c r="G82" s="64" t="s">
        <v>52</v>
      </c>
      <c r="H82" s="65"/>
      <c r="I82" s="66">
        <f>I81-I83</f>
        <v>145.45454545454595</v>
      </c>
      <c r="J82" s="56">
        <f>I82*275</f>
        <v>40000.000000000138</v>
      </c>
      <c r="K82" s="3"/>
    </row>
    <row r="83" spans="1:11">
      <c r="A83" s="54"/>
      <c r="B83" s="34"/>
      <c r="C83" s="34"/>
      <c r="D83" s="34"/>
      <c r="E83" s="34"/>
      <c r="F83" s="57"/>
      <c r="G83" s="58" t="s">
        <v>53</v>
      </c>
      <c r="H83" s="35"/>
      <c r="I83" s="59">
        <f>I79</f>
        <v>8205.4909090909096</v>
      </c>
      <c r="J83" s="56">
        <f>I83*275</f>
        <v>2256510</v>
      </c>
    </row>
    <row r="84" spans="1:11" ht="15.75" thickBot="1"/>
    <row r="85" spans="1:11">
      <c r="A85" s="11" t="s">
        <v>38</v>
      </c>
      <c r="B85" s="12" t="s">
        <v>21</v>
      </c>
      <c r="C85" s="12" t="s">
        <v>22</v>
      </c>
      <c r="D85" s="12">
        <v>30</v>
      </c>
      <c r="E85" s="12">
        <v>347</v>
      </c>
      <c r="F85" s="30">
        <f>D85/E85</f>
        <v>8.645533141210375E-2</v>
      </c>
      <c r="G85" s="21">
        <v>1</v>
      </c>
      <c r="H85" s="13">
        <v>250</v>
      </c>
      <c r="I85" s="14">
        <f>F85*H85</f>
        <v>21.613832853025936</v>
      </c>
      <c r="J85" s="1">
        <f>I85*E85</f>
        <v>7500</v>
      </c>
    </row>
    <row r="86" spans="1:11">
      <c r="A86" s="15"/>
      <c r="B86" s="5" t="s">
        <v>47</v>
      </c>
      <c r="C86" s="5" t="s">
        <v>26</v>
      </c>
      <c r="D86" s="5">
        <v>1</v>
      </c>
      <c r="E86" s="5">
        <v>347</v>
      </c>
      <c r="F86" s="31">
        <f>D86/E86</f>
        <v>2.881844380403458E-3</v>
      </c>
      <c r="G86" s="20">
        <v>1</v>
      </c>
      <c r="H86" s="6">
        <v>9400</v>
      </c>
      <c r="I86" s="16">
        <f t="shared" ref="I86:I88" si="32">F86*H86</f>
        <v>27.089337175792505</v>
      </c>
      <c r="J86" s="1">
        <f t="shared" ref="J86" si="33">I86*E85</f>
        <v>9399.9999999999982</v>
      </c>
    </row>
    <row r="87" spans="1:11">
      <c r="A87" s="15"/>
      <c r="B87" s="5" t="s">
        <v>51</v>
      </c>
      <c r="C87" s="5" t="s">
        <v>26</v>
      </c>
      <c r="D87" s="5">
        <v>1</v>
      </c>
      <c r="E87" s="5">
        <v>347</v>
      </c>
      <c r="F87" s="31">
        <f>D87/E87</f>
        <v>2.881844380403458E-3</v>
      </c>
      <c r="G87" s="20">
        <v>1</v>
      </c>
      <c r="H87" s="6">
        <v>2806300</v>
      </c>
      <c r="I87" s="16">
        <f t="shared" ref="I87" si="34">F87*H87</f>
        <v>8087.3198847262247</v>
      </c>
      <c r="J87" s="1">
        <f>I87*E85</f>
        <v>2806300</v>
      </c>
    </row>
    <row r="88" spans="1:11">
      <c r="A88" s="15"/>
      <c r="B88" s="5" t="s">
        <v>48</v>
      </c>
      <c r="C88" s="5" t="s">
        <v>26</v>
      </c>
      <c r="D88" s="5">
        <v>1</v>
      </c>
      <c r="E88" s="5">
        <v>347</v>
      </c>
      <c r="F88" s="31">
        <f>D88/E88</f>
        <v>2.881844380403458E-3</v>
      </c>
      <c r="G88" s="20">
        <v>1</v>
      </c>
      <c r="H88" s="6">
        <v>3170</v>
      </c>
      <c r="I88" s="16">
        <f t="shared" si="32"/>
        <v>9.1354466858789625</v>
      </c>
      <c r="J88" s="1">
        <f>I88*E86</f>
        <v>3170</v>
      </c>
    </row>
    <row r="89" spans="1:11" ht="15.75" thickBot="1">
      <c r="A89" s="17"/>
      <c r="B89" s="18"/>
      <c r="C89" s="18"/>
      <c r="D89" s="18"/>
      <c r="E89" s="18"/>
      <c r="F89" s="40"/>
      <c r="G89" s="41"/>
      <c r="H89" s="19"/>
      <c r="I89" s="48">
        <f>SUM(I85:I88)</f>
        <v>8145.158501440922</v>
      </c>
      <c r="J89" s="1">
        <f>I89*E88</f>
        <v>2826370</v>
      </c>
    </row>
    <row r="90" spans="1:11" ht="15.75" thickBot="1">
      <c r="A90" s="61"/>
      <c r="B90" s="62"/>
      <c r="C90" s="62"/>
      <c r="D90" s="62"/>
      <c r="E90" s="62"/>
      <c r="F90" s="63"/>
      <c r="G90" s="64" t="s">
        <v>52</v>
      </c>
      <c r="H90" s="65"/>
      <c r="I90" s="66">
        <f>I89-I91</f>
        <v>57.838616714697309</v>
      </c>
      <c r="J90" s="56">
        <f>I90*347</f>
        <v>20069.999999999967</v>
      </c>
      <c r="K90" s="3"/>
    </row>
    <row r="91" spans="1:11" ht="15.75" thickBot="1">
      <c r="A91" s="54"/>
      <c r="B91" s="34"/>
      <c r="C91" s="34"/>
      <c r="D91" s="34"/>
      <c r="E91" s="34"/>
      <c r="F91" s="57"/>
      <c r="G91" s="58" t="s">
        <v>53</v>
      </c>
      <c r="H91" s="35"/>
      <c r="I91" s="59">
        <f>I87</f>
        <v>8087.3198847262247</v>
      </c>
      <c r="J91" s="56">
        <f>I91*347</f>
        <v>2806300</v>
      </c>
    </row>
    <row r="92" spans="1:11">
      <c r="A92" s="11" t="s">
        <v>39</v>
      </c>
      <c r="B92" s="12" t="s">
        <v>21</v>
      </c>
      <c r="C92" s="12" t="s">
        <v>22</v>
      </c>
      <c r="D92" s="12">
        <v>80</v>
      </c>
      <c r="E92" s="12">
        <v>434</v>
      </c>
      <c r="F92" s="30">
        <f>D92/E92</f>
        <v>0.18433179723502305</v>
      </c>
      <c r="G92" s="21">
        <v>1</v>
      </c>
      <c r="H92" s="13">
        <v>250</v>
      </c>
      <c r="I92" s="14">
        <f>F92*H92</f>
        <v>46.082949308755765</v>
      </c>
      <c r="J92" s="1">
        <f>I92*E92</f>
        <v>20000.000000000004</v>
      </c>
    </row>
    <row r="93" spans="1:11">
      <c r="A93" s="15"/>
      <c r="B93" s="5" t="s">
        <v>47</v>
      </c>
      <c r="C93" s="5" t="s">
        <v>26</v>
      </c>
      <c r="D93" s="5">
        <v>1</v>
      </c>
      <c r="E93" s="5">
        <v>434</v>
      </c>
      <c r="F93" s="31">
        <f>D93/E93</f>
        <v>2.304147465437788E-3</v>
      </c>
      <c r="G93" s="20">
        <v>1</v>
      </c>
      <c r="H93" s="6">
        <v>69310</v>
      </c>
      <c r="I93" s="16">
        <f t="shared" ref="I93:I95" si="35">F93*H93</f>
        <v>159.7004608294931</v>
      </c>
      <c r="J93" s="1">
        <f t="shared" ref="J93" si="36">I93*E92</f>
        <v>69310</v>
      </c>
    </row>
    <row r="94" spans="1:11">
      <c r="A94" s="15"/>
      <c r="B94" s="5" t="s">
        <v>51</v>
      </c>
      <c r="C94" s="5" t="s">
        <v>26</v>
      </c>
      <c r="D94" s="5">
        <v>1</v>
      </c>
      <c r="E94" s="5">
        <v>434</v>
      </c>
      <c r="F94" s="31">
        <f>D94/E94</f>
        <v>2.304147465437788E-3</v>
      </c>
      <c r="G94" s="20">
        <v>1</v>
      </c>
      <c r="H94" s="6">
        <v>3380170</v>
      </c>
      <c r="I94" s="16">
        <f t="shared" ref="I94" si="37">F94*H94</f>
        <v>7788.4101382488479</v>
      </c>
      <c r="J94" s="1">
        <f>I94*E92</f>
        <v>3380170</v>
      </c>
    </row>
    <row r="95" spans="1:11">
      <c r="A95" s="15"/>
      <c r="B95" s="5" t="s">
        <v>48</v>
      </c>
      <c r="C95" s="5" t="s">
        <v>26</v>
      </c>
      <c r="D95" s="5">
        <v>1</v>
      </c>
      <c r="E95" s="5">
        <v>434</v>
      </c>
      <c r="F95" s="31">
        <f>D95/E95</f>
        <v>2.304147465437788E-3</v>
      </c>
      <c r="G95" s="20">
        <v>1</v>
      </c>
      <c r="H95" s="6">
        <v>35000</v>
      </c>
      <c r="I95" s="16">
        <f t="shared" si="35"/>
        <v>80.645161290322577</v>
      </c>
      <c r="J95" s="1">
        <f>I95*E93</f>
        <v>35000</v>
      </c>
    </row>
    <row r="96" spans="1:11" ht="15.75" thickBot="1">
      <c r="A96" s="17"/>
      <c r="B96" s="18"/>
      <c r="C96" s="18"/>
      <c r="D96" s="18"/>
      <c r="E96" s="18"/>
      <c r="F96" s="40"/>
      <c r="G96" s="41"/>
      <c r="H96" s="19"/>
      <c r="I96" s="48">
        <f>SUM(I92:I95)</f>
        <v>8074.8387096774195</v>
      </c>
      <c r="J96" s="1">
        <f>I96*E95</f>
        <v>3504480</v>
      </c>
    </row>
    <row r="97" spans="1:11" ht="15.75" thickBot="1">
      <c r="A97" s="61"/>
      <c r="B97" s="62"/>
      <c r="C97" s="62"/>
      <c r="D97" s="62"/>
      <c r="E97" s="62"/>
      <c r="F97" s="63"/>
      <c r="G97" s="64" t="s">
        <v>52</v>
      </c>
      <c r="H97" s="65"/>
      <c r="I97" s="66">
        <f>I96-I98</f>
        <v>286.42857142857156</v>
      </c>
      <c r="J97" s="56">
        <f>I97*434</f>
        <v>124310.00000000006</v>
      </c>
      <c r="K97" s="3"/>
    </row>
    <row r="98" spans="1:11" ht="15.75" thickBot="1">
      <c r="A98" s="71"/>
      <c r="B98" s="72"/>
      <c r="C98" s="72"/>
      <c r="D98" s="72"/>
      <c r="E98" s="72"/>
      <c r="F98" s="73"/>
      <c r="G98" s="74" t="s">
        <v>53</v>
      </c>
      <c r="H98" s="75"/>
      <c r="I98" s="76">
        <f>I94</f>
        <v>7788.4101382488479</v>
      </c>
      <c r="J98" s="77">
        <f>I98*434</f>
        <v>3380170</v>
      </c>
    </row>
    <row r="99" spans="1:11">
      <c r="A99" s="42"/>
      <c r="B99" s="43"/>
      <c r="C99" s="43"/>
      <c r="D99" s="43"/>
      <c r="E99" s="43"/>
      <c r="F99" s="44"/>
      <c r="G99" s="45"/>
      <c r="H99" s="46"/>
      <c r="I99" s="47"/>
    </row>
  </sheetData>
  <mergeCells count="1">
    <mergeCell ref="A2:I2"/>
  </mergeCells>
  <pageMargins left="0.51181102362204722" right="0.11811023622047245" top="0.35433070866141736" bottom="0" header="0.31496062992125984" footer="0.31496062992125984"/>
  <pageSetup paperSize="9" scale="9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R20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19" sqref="A19:A20"/>
    </sheetView>
  </sheetViews>
  <sheetFormatPr defaultRowHeight="15"/>
  <cols>
    <col min="1" max="1" width="15.85546875" customWidth="1"/>
    <col min="2" max="2" width="19.42578125" style="1" customWidth="1"/>
    <col min="3" max="3" width="13.42578125" style="1" customWidth="1"/>
    <col min="4" max="4" width="15" style="1" customWidth="1"/>
    <col min="5" max="5" width="11.42578125" style="1" customWidth="1"/>
    <col min="6" max="6" width="18.28515625" style="1" customWidth="1"/>
    <col min="7" max="7" width="12.5703125" customWidth="1"/>
    <col min="8" max="8" width="14.5703125" customWidth="1"/>
    <col min="9" max="9" width="10.85546875" style="1" customWidth="1"/>
    <col min="10" max="18" width="9.140625" style="1"/>
  </cols>
  <sheetData>
    <row r="1" spans="1:11" ht="18.75">
      <c r="A1" s="33" t="s">
        <v>55</v>
      </c>
    </row>
    <row r="2" spans="1:11" ht="38.25" customHeight="1">
      <c r="A2" s="79" t="s">
        <v>13</v>
      </c>
      <c r="B2" s="79"/>
      <c r="C2" s="79"/>
      <c r="D2" s="79"/>
      <c r="E2" s="79"/>
      <c r="F2" s="79"/>
      <c r="G2" s="79"/>
      <c r="H2" s="79"/>
      <c r="I2" s="79"/>
    </row>
    <row r="3" spans="1:11" ht="15.75" thickBot="1">
      <c r="H3" s="60" t="s">
        <v>52</v>
      </c>
    </row>
    <row r="4" spans="1:11" ht="75">
      <c r="A4" s="23" t="s">
        <v>3</v>
      </c>
      <c r="B4" s="24" t="s">
        <v>14</v>
      </c>
      <c r="C4" s="24" t="s">
        <v>19</v>
      </c>
      <c r="D4" s="24" t="s">
        <v>15</v>
      </c>
      <c r="E4" s="24" t="s">
        <v>46</v>
      </c>
      <c r="F4" s="24" t="s">
        <v>45</v>
      </c>
      <c r="G4" s="24" t="s">
        <v>16</v>
      </c>
      <c r="H4" s="24" t="s">
        <v>17</v>
      </c>
      <c r="I4" s="25" t="s">
        <v>10</v>
      </c>
      <c r="J4" s="2"/>
      <c r="K4" s="2"/>
    </row>
    <row r="5" spans="1:11" ht="15.75" thickBot="1">
      <c r="A5" s="26">
        <v>1</v>
      </c>
      <c r="B5" s="27">
        <v>2</v>
      </c>
      <c r="C5" s="27">
        <v>3</v>
      </c>
      <c r="D5" s="27">
        <v>4</v>
      </c>
      <c r="E5" s="27">
        <v>5</v>
      </c>
      <c r="F5" s="27" t="s">
        <v>18</v>
      </c>
      <c r="G5" s="27">
        <v>7</v>
      </c>
      <c r="H5" s="28">
        <v>8</v>
      </c>
      <c r="I5" s="29" t="s">
        <v>20</v>
      </c>
    </row>
    <row r="6" spans="1:11" s="1" customFormat="1">
      <c r="A6" s="11" t="s">
        <v>33</v>
      </c>
      <c r="B6" s="12" t="s">
        <v>51</v>
      </c>
      <c r="C6" s="12" t="s">
        <v>26</v>
      </c>
      <c r="D6" s="12">
        <v>1</v>
      </c>
      <c r="E6" s="12">
        <v>1</v>
      </c>
      <c r="F6" s="30">
        <f>D6/E6</f>
        <v>1</v>
      </c>
      <c r="G6" s="21">
        <v>1</v>
      </c>
      <c r="H6" s="13">
        <f>13632</f>
        <v>13632</v>
      </c>
      <c r="I6" s="50">
        <f t="shared" ref="I6:I14" si="0">F6*H6</f>
        <v>13632</v>
      </c>
    </row>
    <row r="7" spans="1:11" s="1" customFormat="1">
      <c r="A7" s="15" t="s">
        <v>34</v>
      </c>
      <c r="B7" s="5" t="s">
        <v>51</v>
      </c>
      <c r="C7" s="5" t="s">
        <v>26</v>
      </c>
      <c r="D7" s="5">
        <v>1</v>
      </c>
      <c r="E7" s="67">
        <v>6</v>
      </c>
      <c r="F7" s="31">
        <f t="shared" ref="F7:F14" si="1">D7/E7</f>
        <v>0.16666666666666666</v>
      </c>
      <c r="G7" s="20">
        <v>1</v>
      </c>
      <c r="H7" s="68">
        <v>81792</v>
      </c>
      <c r="I7" s="51">
        <f t="shared" si="0"/>
        <v>13632</v>
      </c>
    </row>
    <row r="8" spans="1:11" s="1" customFormat="1">
      <c r="A8" s="15" t="s">
        <v>35</v>
      </c>
      <c r="B8" s="5" t="s">
        <v>51</v>
      </c>
      <c r="C8" s="5" t="s">
        <v>26</v>
      </c>
      <c r="D8" s="5">
        <v>1</v>
      </c>
      <c r="E8" s="67">
        <v>4</v>
      </c>
      <c r="F8" s="31">
        <f t="shared" si="1"/>
        <v>0.25</v>
      </c>
      <c r="G8" s="20">
        <v>1</v>
      </c>
      <c r="H8" s="68">
        <v>54528</v>
      </c>
      <c r="I8" s="51">
        <f t="shared" si="0"/>
        <v>13632</v>
      </c>
    </row>
    <row r="9" spans="1:11" s="1" customFormat="1">
      <c r="A9" s="15" t="s">
        <v>36</v>
      </c>
      <c r="B9" s="5" t="s">
        <v>51</v>
      </c>
      <c r="C9" s="5" t="s">
        <v>26</v>
      </c>
      <c r="D9" s="5">
        <v>1</v>
      </c>
      <c r="E9" s="67">
        <v>5</v>
      </c>
      <c r="F9" s="31">
        <f t="shared" si="1"/>
        <v>0.2</v>
      </c>
      <c r="G9" s="20">
        <v>1</v>
      </c>
      <c r="H9" s="68">
        <v>68160</v>
      </c>
      <c r="I9" s="51">
        <f t="shared" si="0"/>
        <v>13632</v>
      </c>
    </row>
    <row r="10" spans="1:11" s="1" customFormat="1">
      <c r="A10" s="15" t="s">
        <v>40</v>
      </c>
      <c r="B10" s="5" t="s">
        <v>51</v>
      </c>
      <c r="C10" s="5" t="s">
        <v>26</v>
      </c>
      <c r="D10" s="5">
        <v>1</v>
      </c>
      <c r="E10" s="67">
        <v>2</v>
      </c>
      <c r="F10" s="31">
        <f t="shared" si="1"/>
        <v>0.5</v>
      </c>
      <c r="G10" s="20">
        <v>1</v>
      </c>
      <c r="H10" s="68">
        <v>27264</v>
      </c>
      <c r="I10" s="51">
        <f t="shared" si="0"/>
        <v>13632</v>
      </c>
    </row>
    <row r="11" spans="1:11" s="1" customFormat="1">
      <c r="A11" s="15" t="s">
        <v>41</v>
      </c>
      <c r="B11" s="5" t="s">
        <v>51</v>
      </c>
      <c r="C11" s="5" t="s">
        <v>26</v>
      </c>
      <c r="D11" s="5">
        <v>1</v>
      </c>
      <c r="E11" s="67"/>
      <c r="F11" s="31"/>
      <c r="G11" s="20">
        <v>1</v>
      </c>
      <c r="H11" s="68"/>
      <c r="I11" s="51">
        <f t="shared" si="0"/>
        <v>0</v>
      </c>
    </row>
    <row r="12" spans="1:11" s="1" customFormat="1">
      <c r="A12" s="15" t="s">
        <v>42</v>
      </c>
      <c r="B12" s="5" t="s">
        <v>51</v>
      </c>
      <c r="C12" s="5" t="s">
        <v>26</v>
      </c>
      <c r="D12" s="5">
        <v>1</v>
      </c>
      <c r="E12" s="67">
        <v>3</v>
      </c>
      <c r="F12" s="31">
        <f t="shared" si="1"/>
        <v>0.33333333333333331</v>
      </c>
      <c r="G12" s="20">
        <v>1</v>
      </c>
      <c r="H12" s="68">
        <v>40896</v>
      </c>
      <c r="I12" s="51">
        <f t="shared" si="0"/>
        <v>13632</v>
      </c>
    </row>
    <row r="13" spans="1:11" s="1" customFormat="1">
      <c r="A13" s="15" t="s">
        <v>43</v>
      </c>
      <c r="B13" s="5" t="s">
        <v>51</v>
      </c>
      <c r="C13" s="5" t="s">
        <v>26</v>
      </c>
      <c r="D13" s="5">
        <v>1</v>
      </c>
      <c r="E13" s="67"/>
      <c r="F13" s="31"/>
      <c r="G13" s="20">
        <v>1</v>
      </c>
      <c r="H13" s="68"/>
      <c r="I13" s="51">
        <f t="shared" si="0"/>
        <v>0</v>
      </c>
    </row>
    <row r="14" spans="1:11" s="1" customFormat="1" ht="15.75" thickBot="1">
      <c r="A14" s="17" t="s">
        <v>44</v>
      </c>
      <c r="B14" s="18" t="s">
        <v>51</v>
      </c>
      <c r="C14" s="18" t="s">
        <v>26</v>
      </c>
      <c r="D14" s="18">
        <v>1</v>
      </c>
      <c r="E14" s="18">
        <v>3</v>
      </c>
      <c r="F14" s="40">
        <f t="shared" si="1"/>
        <v>0.33333333333333331</v>
      </c>
      <c r="G14" s="41">
        <v>1</v>
      </c>
      <c r="H14" s="19">
        <v>40898</v>
      </c>
      <c r="I14" s="53">
        <f t="shared" si="0"/>
        <v>13632.666666666666</v>
      </c>
    </row>
    <row r="15" spans="1:11" ht="15.75" thickBot="1"/>
    <row r="16" spans="1:11" s="1" customFormat="1">
      <c r="A16" s="11" t="s">
        <v>30</v>
      </c>
      <c r="B16" s="12" t="s">
        <v>51</v>
      </c>
      <c r="C16" s="12" t="s">
        <v>26</v>
      </c>
      <c r="D16" s="12">
        <v>1</v>
      </c>
      <c r="E16" s="69">
        <v>14</v>
      </c>
      <c r="F16" s="30">
        <f t="shared" ref="F16:F17" si="2">D16/E16</f>
        <v>7.1428571428571425E-2</v>
      </c>
      <c r="G16" s="21">
        <v>1</v>
      </c>
      <c r="H16" s="70">
        <v>190848</v>
      </c>
      <c r="I16" s="50">
        <f t="shared" ref="I16:I17" si="3">F16*H16</f>
        <v>13632</v>
      </c>
    </row>
    <row r="17" spans="1:9" s="1" customFormat="1" ht="15.75" thickBot="1">
      <c r="A17" s="17" t="s">
        <v>37</v>
      </c>
      <c r="B17" s="18" t="s">
        <v>51</v>
      </c>
      <c r="C17" s="18" t="s">
        <v>26</v>
      </c>
      <c r="D17" s="18">
        <v>1</v>
      </c>
      <c r="E17" s="18">
        <v>6</v>
      </c>
      <c r="F17" s="40">
        <f t="shared" si="2"/>
        <v>0.16666666666666666</v>
      </c>
      <c r="G17" s="41">
        <v>1</v>
      </c>
      <c r="H17" s="19">
        <v>81792</v>
      </c>
      <c r="I17" s="53">
        <f t="shared" si="3"/>
        <v>13632</v>
      </c>
    </row>
    <row r="18" spans="1:9" ht="15.75" thickBot="1">
      <c r="A18" s="54"/>
    </row>
    <row r="19" spans="1:9">
      <c r="A19" s="11" t="s">
        <v>38</v>
      </c>
      <c r="B19" s="12" t="s">
        <v>51</v>
      </c>
      <c r="C19" s="12" t="s">
        <v>26</v>
      </c>
      <c r="D19" s="12">
        <v>1</v>
      </c>
      <c r="E19" s="69">
        <v>8</v>
      </c>
      <c r="F19" s="30">
        <f t="shared" ref="F19:F20" si="4">D19/E19</f>
        <v>0.125</v>
      </c>
      <c r="G19" s="21">
        <v>1</v>
      </c>
      <c r="H19" s="70">
        <v>109056</v>
      </c>
      <c r="I19" s="50">
        <f t="shared" ref="I19:I20" si="5">F19*H19</f>
        <v>13632</v>
      </c>
    </row>
    <row r="20" spans="1:9" ht="15.75" thickBot="1">
      <c r="A20" s="17" t="s">
        <v>39</v>
      </c>
      <c r="B20" s="18" t="s">
        <v>51</v>
      </c>
      <c r="C20" s="18" t="s">
        <v>26</v>
      </c>
      <c r="D20" s="18">
        <v>1</v>
      </c>
      <c r="E20" s="18">
        <v>7</v>
      </c>
      <c r="F20" s="40">
        <f t="shared" si="4"/>
        <v>0.14285714285714285</v>
      </c>
      <c r="G20" s="41">
        <v>1</v>
      </c>
      <c r="H20" s="19">
        <v>95424</v>
      </c>
      <c r="I20" s="53">
        <f t="shared" si="5"/>
        <v>13632</v>
      </c>
    </row>
  </sheetData>
  <mergeCells count="1">
    <mergeCell ref="A2:I2"/>
  </mergeCells>
  <pageMargins left="0.70866141732283472" right="0.70866141732283472" top="0.35433070866141736" bottom="0" header="0.31496062992125984" footer="0.31496062992125984"/>
  <pageSetup paperSize="9" scale="95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R60"/>
  <sheetViews>
    <sheetView tabSelected="1" workbookViewId="0">
      <pane xSplit="1" ySplit="6" topLeftCell="B31" activePane="bottomRight" state="frozen"/>
      <selection pane="topRight" activeCell="B1" sqref="B1"/>
      <selection pane="bottomLeft" activeCell="A7" sqref="A7"/>
      <selection pane="bottomRight" activeCell="G60" sqref="G60"/>
    </sheetView>
  </sheetViews>
  <sheetFormatPr defaultRowHeight="15"/>
  <cols>
    <col min="1" max="1" width="16.7109375" customWidth="1"/>
    <col min="2" max="2" width="23.85546875" style="1" customWidth="1"/>
    <col min="3" max="3" width="13.42578125" style="1" customWidth="1"/>
    <col min="4" max="4" width="15" style="1" customWidth="1"/>
    <col min="5" max="5" width="11.42578125" style="1" customWidth="1"/>
    <col min="6" max="6" width="18.28515625" style="1" customWidth="1"/>
    <col min="7" max="7" width="14.5703125" customWidth="1"/>
    <col min="8" max="8" width="10.85546875" style="1" customWidth="1"/>
    <col min="9" max="9" width="11.85546875" style="1" customWidth="1"/>
    <col min="10" max="18" width="9.140625" style="1"/>
  </cols>
  <sheetData>
    <row r="1" spans="1:11" ht="18.75">
      <c r="A1" s="33" t="s">
        <v>29</v>
      </c>
    </row>
    <row r="3" spans="1:11" ht="18.75">
      <c r="A3" s="78" t="s">
        <v>54</v>
      </c>
      <c r="B3" s="78"/>
      <c r="C3" s="78"/>
      <c r="D3" s="78"/>
      <c r="E3" s="78"/>
      <c r="F3" s="78"/>
      <c r="G3" s="78"/>
      <c r="H3" s="78"/>
    </row>
    <row r="4" spans="1:11" ht="15.75" thickBot="1">
      <c r="G4" s="60" t="s">
        <v>52</v>
      </c>
    </row>
    <row r="5" spans="1:11" ht="60">
      <c r="A5" s="23" t="s">
        <v>3</v>
      </c>
      <c r="B5" s="24" t="s">
        <v>23</v>
      </c>
      <c r="C5" s="24" t="s">
        <v>19</v>
      </c>
      <c r="D5" s="24" t="s">
        <v>24</v>
      </c>
      <c r="E5" s="24" t="s">
        <v>50</v>
      </c>
      <c r="F5" s="24" t="s">
        <v>45</v>
      </c>
      <c r="G5" s="24" t="s">
        <v>27</v>
      </c>
      <c r="H5" s="25" t="s">
        <v>10</v>
      </c>
      <c r="I5" s="2"/>
      <c r="J5" s="2"/>
      <c r="K5" s="2"/>
    </row>
    <row r="6" spans="1:11" ht="15.75" thickBot="1">
      <c r="A6" s="26">
        <v>1</v>
      </c>
      <c r="B6" s="27">
        <v>2</v>
      </c>
      <c r="C6" s="27">
        <v>3</v>
      </c>
      <c r="D6" s="27">
        <v>4</v>
      </c>
      <c r="E6" s="27">
        <v>5</v>
      </c>
      <c r="F6" s="27" t="s">
        <v>18</v>
      </c>
      <c r="G6" s="28">
        <v>8</v>
      </c>
      <c r="H6" s="29" t="s">
        <v>20</v>
      </c>
    </row>
    <row r="7" spans="1:11">
      <c r="A7" s="11" t="s">
        <v>33</v>
      </c>
      <c r="B7" s="12" t="s">
        <v>25</v>
      </c>
      <c r="C7" s="12" t="s">
        <v>26</v>
      </c>
      <c r="D7" s="12">
        <v>1</v>
      </c>
      <c r="E7" s="12">
        <v>122</v>
      </c>
      <c r="F7" s="32">
        <f>D7/E7</f>
        <v>8.1967213114754103E-3</v>
      </c>
      <c r="G7" s="13">
        <f>45370+27920</f>
        <v>73290</v>
      </c>
      <c r="H7" s="14">
        <f>F7*G7</f>
        <v>600.73770491803282</v>
      </c>
      <c r="I7" s="1">
        <f>H7*E7</f>
        <v>73290</v>
      </c>
    </row>
    <row r="8" spans="1:11" s="1" customFormat="1">
      <c r="A8" s="15"/>
      <c r="B8" s="5" t="s">
        <v>28</v>
      </c>
      <c r="C8" s="5"/>
      <c r="D8" s="5">
        <v>10</v>
      </c>
      <c r="E8" s="10">
        <v>122</v>
      </c>
      <c r="F8" s="31">
        <f t="shared" ref="F8:F9" si="0">D8/E8</f>
        <v>8.1967213114754092E-2</v>
      </c>
      <c r="G8" s="6">
        <v>650</v>
      </c>
      <c r="H8" s="16">
        <f>F8*G8</f>
        <v>53.278688524590159</v>
      </c>
      <c r="I8" s="1">
        <f t="shared" ref="I8:I9" si="1">H8*E8</f>
        <v>6499.9999999999991</v>
      </c>
    </row>
    <row r="9" spans="1:11" s="1" customFormat="1">
      <c r="A9" s="15"/>
      <c r="B9" s="5" t="s">
        <v>49</v>
      </c>
      <c r="C9" s="10" t="s">
        <v>26</v>
      </c>
      <c r="D9" s="5">
        <v>1</v>
      </c>
      <c r="E9" s="10">
        <v>122</v>
      </c>
      <c r="F9" s="31">
        <f t="shared" si="0"/>
        <v>8.1967213114754103E-3</v>
      </c>
      <c r="G9" s="6">
        <f>12000</f>
        <v>12000</v>
      </c>
      <c r="H9" s="16">
        <f>F9*G9</f>
        <v>98.360655737704917</v>
      </c>
      <c r="I9" s="1">
        <f t="shared" si="1"/>
        <v>12000</v>
      </c>
    </row>
    <row r="10" spans="1:11" s="1" customFormat="1" ht="15.75" thickBot="1">
      <c r="A10" s="17"/>
      <c r="B10" s="18"/>
      <c r="C10" s="18"/>
      <c r="D10" s="18"/>
      <c r="E10" s="18"/>
      <c r="F10" s="18"/>
      <c r="G10" s="22"/>
      <c r="H10" s="48">
        <f>SUM(H7:H9)</f>
        <v>752.37704918032796</v>
      </c>
      <c r="I10" s="1">
        <f>H10*E9</f>
        <v>91790.000000000015</v>
      </c>
    </row>
    <row r="11" spans="1:11">
      <c r="A11" s="11" t="s">
        <v>34</v>
      </c>
      <c r="B11" s="12" t="s">
        <v>25</v>
      </c>
      <c r="C11" s="12" t="s">
        <v>26</v>
      </c>
      <c r="D11" s="12">
        <v>1</v>
      </c>
      <c r="E11" s="12">
        <v>240</v>
      </c>
      <c r="F11" s="32">
        <f>D11/E11</f>
        <v>4.1666666666666666E-3</v>
      </c>
      <c r="G11" s="13">
        <f>116700+70500</f>
        <v>187200</v>
      </c>
      <c r="H11" s="14">
        <f>F11*G11</f>
        <v>780</v>
      </c>
      <c r="I11" s="1">
        <f>H11*E11</f>
        <v>187200</v>
      </c>
    </row>
    <row r="12" spans="1:11" s="1" customFormat="1">
      <c r="A12" s="15"/>
      <c r="B12" s="5" t="s">
        <v>28</v>
      </c>
      <c r="C12" s="5"/>
      <c r="D12" s="5">
        <v>12</v>
      </c>
      <c r="E12" s="10">
        <v>240</v>
      </c>
      <c r="F12" s="31">
        <f t="shared" ref="F12:F13" si="2">D12/E12</f>
        <v>0.05</v>
      </c>
      <c r="G12" s="6">
        <v>450</v>
      </c>
      <c r="H12" s="16">
        <f>F12*G12</f>
        <v>22.5</v>
      </c>
      <c r="I12" s="1">
        <f t="shared" ref="I12:I13" si="3">H12*E12</f>
        <v>5400</v>
      </c>
    </row>
    <row r="13" spans="1:11" s="1" customFormat="1">
      <c r="A13" s="15"/>
      <c r="B13" s="5" t="s">
        <v>49</v>
      </c>
      <c r="C13" s="10" t="s">
        <v>26</v>
      </c>
      <c r="D13" s="5">
        <v>1</v>
      </c>
      <c r="E13" s="10">
        <v>240</v>
      </c>
      <c r="F13" s="31">
        <f t="shared" si="2"/>
        <v>4.1666666666666666E-3</v>
      </c>
      <c r="G13" s="6">
        <v>8000</v>
      </c>
      <c r="H13" s="16">
        <f>F13*G13</f>
        <v>33.333333333333336</v>
      </c>
      <c r="I13" s="1">
        <f t="shared" si="3"/>
        <v>8000.0000000000009</v>
      </c>
    </row>
    <row r="14" spans="1:11" s="1" customFormat="1" ht="15.75" thickBot="1">
      <c r="A14" s="17"/>
      <c r="B14" s="18"/>
      <c r="C14" s="18"/>
      <c r="D14" s="18"/>
      <c r="E14" s="18"/>
      <c r="F14" s="18"/>
      <c r="G14" s="22"/>
      <c r="H14" s="48">
        <f>SUM(H11:H13)</f>
        <v>835.83333333333337</v>
      </c>
      <c r="I14" s="1">
        <f>H14*E13</f>
        <v>200600</v>
      </c>
    </row>
    <row r="15" spans="1:11">
      <c r="A15" s="11" t="s">
        <v>35</v>
      </c>
      <c r="B15" s="12" t="s">
        <v>25</v>
      </c>
      <c r="C15" s="12" t="s">
        <v>26</v>
      </c>
      <c r="D15" s="12">
        <v>1</v>
      </c>
      <c r="E15" s="12">
        <v>123</v>
      </c>
      <c r="F15" s="32">
        <f>D15/E15</f>
        <v>8.130081300813009E-3</v>
      </c>
      <c r="G15" s="13">
        <f>56458+35008</f>
        <v>91466</v>
      </c>
      <c r="H15" s="14">
        <f>F15*G15</f>
        <v>743.62601626016271</v>
      </c>
      <c r="I15" s="1">
        <f>H15*E15</f>
        <v>91466.000000000015</v>
      </c>
    </row>
    <row r="16" spans="1:11" s="1" customFormat="1">
      <c r="A16" s="15"/>
      <c r="B16" s="5" t="s">
        <v>28</v>
      </c>
      <c r="C16" s="5"/>
      <c r="D16" s="5">
        <v>12</v>
      </c>
      <c r="E16" s="10">
        <v>123</v>
      </c>
      <c r="F16" s="31">
        <f t="shared" ref="F16:F17" si="4">D16/E16</f>
        <v>9.7560975609756101E-2</v>
      </c>
      <c r="G16" s="6">
        <v>450</v>
      </c>
      <c r="H16" s="16">
        <f>F16*G16</f>
        <v>43.902439024390247</v>
      </c>
      <c r="I16" s="1">
        <f t="shared" ref="I16:I17" si="5">H16*E16</f>
        <v>5400</v>
      </c>
    </row>
    <row r="17" spans="1:9" s="1" customFormat="1">
      <c r="A17" s="15"/>
      <c r="B17" s="5" t="s">
        <v>49</v>
      </c>
      <c r="C17" s="10" t="s">
        <v>26</v>
      </c>
      <c r="D17" s="5">
        <v>1</v>
      </c>
      <c r="E17" s="10">
        <v>123</v>
      </c>
      <c r="F17" s="31">
        <f t="shared" si="4"/>
        <v>8.130081300813009E-3</v>
      </c>
      <c r="G17" s="6">
        <v>6000</v>
      </c>
      <c r="H17" s="16">
        <f>F17*G17</f>
        <v>48.780487804878057</v>
      </c>
      <c r="I17" s="1">
        <f t="shared" si="5"/>
        <v>6000.0000000000009</v>
      </c>
    </row>
    <row r="18" spans="1:9" s="1" customFormat="1" ht="15.75" thickBot="1">
      <c r="A18" s="17"/>
      <c r="B18" s="18"/>
      <c r="C18" s="18"/>
      <c r="D18" s="18"/>
      <c r="E18" s="18"/>
      <c r="F18" s="18"/>
      <c r="G18" s="22"/>
      <c r="H18" s="48">
        <f>SUM(H15:H17)</f>
        <v>836.30894308943095</v>
      </c>
      <c r="I18" s="1">
        <f>H18*E17</f>
        <v>102866.00000000001</v>
      </c>
    </row>
    <row r="19" spans="1:9">
      <c r="A19" s="11" t="s">
        <v>36</v>
      </c>
      <c r="B19" s="12" t="s">
        <v>25</v>
      </c>
      <c r="C19" s="12" t="s">
        <v>26</v>
      </c>
      <c r="D19" s="12">
        <v>1</v>
      </c>
      <c r="E19" s="12">
        <v>140</v>
      </c>
      <c r="F19" s="32">
        <f>D19/E19</f>
        <v>7.1428571428571426E-3</v>
      </c>
      <c r="G19" s="13">
        <f>69737.8+39344</f>
        <v>109081.8</v>
      </c>
      <c r="H19" s="14">
        <f>F19*G19</f>
        <v>779.15571428571434</v>
      </c>
      <c r="I19" s="1">
        <f>H19*E19</f>
        <v>109081.8</v>
      </c>
    </row>
    <row r="20" spans="1:9" s="1" customFormat="1">
      <c r="A20" s="15"/>
      <c r="B20" s="5" t="s">
        <v>28</v>
      </c>
      <c r="C20" s="5"/>
      <c r="D20" s="5">
        <v>5</v>
      </c>
      <c r="E20" s="10">
        <v>140</v>
      </c>
      <c r="F20" s="31">
        <f t="shared" ref="F20:F21" si="6">D20/E20</f>
        <v>3.5714285714285712E-2</v>
      </c>
      <c r="G20" s="6"/>
      <c r="H20" s="16">
        <f>F20*G20</f>
        <v>0</v>
      </c>
      <c r="I20" s="1">
        <f t="shared" ref="I20:I21" si="7">H20*E20</f>
        <v>0</v>
      </c>
    </row>
    <row r="21" spans="1:9" s="1" customFormat="1">
      <c r="A21" s="15"/>
      <c r="B21" s="5" t="s">
        <v>49</v>
      </c>
      <c r="C21" s="10" t="s">
        <v>26</v>
      </c>
      <c r="D21" s="5">
        <v>1</v>
      </c>
      <c r="E21" s="10">
        <v>140</v>
      </c>
      <c r="F21" s="31">
        <f t="shared" si="6"/>
        <v>7.1428571428571426E-3</v>
      </c>
      <c r="G21" s="6">
        <v>9000</v>
      </c>
      <c r="H21" s="16">
        <f>F21*G21</f>
        <v>64.285714285714278</v>
      </c>
      <c r="I21" s="1">
        <f t="shared" si="7"/>
        <v>8999.9999999999982</v>
      </c>
    </row>
    <row r="22" spans="1:9" s="1" customFormat="1" ht="15.75" thickBot="1">
      <c r="A22" s="17"/>
      <c r="B22" s="18"/>
      <c r="C22" s="18"/>
      <c r="D22" s="18"/>
      <c r="E22" s="18"/>
      <c r="F22" s="18"/>
      <c r="G22" s="22"/>
      <c r="H22" s="48">
        <f>SUM(H19:H21)</f>
        <v>843.44142857142856</v>
      </c>
      <c r="I22" s="1">
        <f>H22*E21</f>
        <v>118081.8</v>
      </c>
    </row>
    <row r="23" spans="1:9">
      <c r="A23" s="11" t="s">
        <v>40</v>
      </c>
      <c r="B23" s="12" t="s">
        <v>25</v>
      </c>
      <c r="C23" s="12" t="s">
        <v>26</v>
      </c>
      <c r="D23" s="12">
        <v>1</v>
      </c>
      <c r="E23" s="12">
        <v>123</v>
      </c>
      <c r="F23" s="32">
        <f>D23/E23</f>
        <v>8.130081300813009E-3</v>
      </c>
      <c r="G23" s="13">
        <f>62920+35670.6</f>
        <v>98590.6</v>
      </c>
      <c r="H23" s="14">
        <f>F23*G23</f>
        <v>801.54959349593514</v>
      </c>
      <c r="I23" s="1">
        <f>H23*E23</f>
        <v>98590.60000000002</v>
      </c>
    </row>
    <row r="24" spans="1:9" s="1" customFormat="1">
      <c r="A24" s="15"/>
      <c r="B24" s="5" t="s">
        <v>28</v>
      </c>
      <c r="C24" s="5"/>
      <c r="D24" s="5">
        <v>8</v>
      </c>
      <c r="E24" s="10">
        <v>123</v>
      </c>
      <c r="F24" s="31">
        <f t="shared" ref="F24:F25" si="8">D24/E24</f>
        <v>6.5040650406504072E-2</v>
      </c>
      <c r="G24" s="6">
        <v>450</v>
      </c>
      <c r="H24" s="16">
        <f>F24*G24</f>
        <v>29.268292682926834</v>
      </c>
      <c r="I24" s="1">
        <f t="shared" ref="I24:I25" si="9">H24*E24</f>
        <v>3600.0000000000005</v>
      </c>
    </row>
    <row r="25" spans="1:9" s="1" customFormat="1">
      <c r="A25" s="15"/>
      <c r="B25" s="5" t="s">
        <v>49</v>
      </c>
      <c r="C25" s="10" t="s">
        <v>26</v>
      </c>
      <c r="D25" s="5">
        <v>1</v>
      </c>
      <c r="E25" s="10">
        <v>123</v>
      </c>
      <c r="F25" s="31">
        <f t="shared" si="8"/>
        <v>8.130081300813009E-3</v>
      </c>
      <c r="G25" s="6">
        <v>9000</v>
      </c>
      <c r="H25" s="16">
        <f>F25*G25</f>
        <v>73.170731707317074</v>
      </c>
      <c r="I25" s="1">
        <f t="shared" si="9"/>
        <v>9000</v>
      </c>
    </row>
    <row r="26" spans="1:9" s="1" customFormat="1" ht="15.75" thickBot="1">
      <c r="A26" s="17"/>
      <c r="B26" s="18"/>
      <c r="C26" s="18"/>
      <c r="D26" s="18"/>
      <c r="E26" s="18"/>
      <c r="F26" s="18"/>
      <c r="G26" s="22"/>
      <c r="H26" s="48">
        <f>SUM(H23:H25)</f>
        <v>903.98861788617899</v>
      </c>
      <c r="I26" s="1">
        <f>H26*E25</f>
        <v>111190.60000000002</v>
      </c>
    </row>
    <row r="27" spans="1:9">
      <c r="A27" s="11" t="s">
        <v>41</v>
      </c>
      <c r="B27" s="12" t="s">
        <v>25</v>
      </c>
      <c r="C27" s="12" t="s">
        <v>26</v>
      </c>
      <c r="D27" s="12">
        <v>1</v>
      </c>
      <c r="E27" s="12">
        <v>220</v>
      </c>
      <c r="F27" s="32">
        <f>D27/E27</f>
        <v>4.5454545454545452E-3</v>
      </c>
      <c r="G27" s="13">
        <f>173300+68700</f>
        <v>242000</v>
      </c>
      <c r="H27" s="14">
        <f>F27*G27</f>
        <v>1100</v>
      </c>
      <c r="I27" s="1">
        <f>H27*E27</f>
        <v>242000</v>
      </c>
    </row>
    <row r="28" spans="1:9" s="1" customFormat="1">
      <c r="A28" s="15"/>
      <c r="B28" s="5" t="s">
        <v>28</v>
      </c>
      <c r="C28" s="5"/>
      <c r="D28" s="5">
        <v>20</v>
      </c>
      <c r="E28" s="10">
        <v>220</v>
      </c>
      <c r="F28" s="31">
        <f t="shared" ref="F28:F29" si="10">D28/E28</f>
        <v>9.0909090909090912E-2</v>
      </c>
      <c r="G28" s="6">
        <v>450</v>
      </c>
      <c r="H28" s="16">
        <f>F28*G28</f>
        <v>40.909090909090914</v>
      </c>
      <c r="I28" s="1">
        <f t="shared" ref="I28:I29" si="11">H28*E28</f>
        <v>9000.0000000000018</v>
      </c>
    </row>
    <row r="29" spans="1:9" s="1" customFormat="1">
      <c r="A29" s="15"/>
      <c r="B29" s="5" t="s">
        <v>49</v>
      </c>
      <c r="C29" s="10" t="s">
        <v>26</v>
      </c>
      <c r="D29" s="5">
        <v>1</v>
      </c>
      <c r="E29" s="10">
        <v>220</v>
      </c>
      <c r="F29" s="31">
        <f t="shared" si="10"/>
        <v>4.5454545454545452E-3</v>
      </c>
      <c r="G29" s="6">
        <v>9000</v>
      </c>
      <c r="H29" s="16">
        <f>F29*G29</f>
        <v>40.909090909090907</v>
      </c>
      <c r="I29" s="1">
        <f t="shared" si="11"/>
        <v>9000</v>
      </c>
    </row>
    <row r="30" spans="1:9" s="1" customFormat="1" ht="15.75" thickBot="1">
      <c r="A30" s="17"/>
      <c r="B30" s="18"/>
      <c r="C30" s="18"/>
      <c r="D30" s="18"/>
      <c r="E30" s="18"/>
      <c r="F30" s="18"/>
      <c r="G30" s="22"/>
      <c r="H30" s="48">
        <f>SUM(H27:H29)</f>
        <v>1181.818181818182</v>
      </c>
      <c r="I30" s="1">
        <f>H30*E29</f>
        <v>260000.00000000003</v>
      </c>
    </row>
    <row r="31" spans="1:9">
      <c r="A31" s="11" t="s">
        <v>42</v>
      </c>
      <c r="B31" s="12" t="s">
        <v>25</v>
      </c>
      <c r="C31" s="12" t="s">
        <v>26</v>
      </c>
      <c r="D31" s="12">
        <v>1</v>
      </c>
      <c r="E31" s="12">
        <v>250</v>
      </c>
      <c r="F31" s="32">
        <f>D31/E31</f>
        <v>4.0000000000000001E-3</v>
      </c>
      <c r="G31" s="13">
        <f>108465.5+65827.44</f>
        <v>174292.94</v>
      </c>
      <c r="H31" s="14">
        <f>F31*G31</f>
        <v>697.17176000000006</v>
      </c>
      <c r="I31" s="1">
        <f>H31*E31</f>
        <v>174292.94</v>
      </c>
    </row>
    <row r="32" spans="1:9" s="1" customFormat="1">
      <c r="A32" s="15"/>
      <c r="B32" s="5" t="s">
        <v>28</v>
      </c>
      <c r="C32" s="5"/>
      <c r="D32" s="5">
        <v>23</v>
      </c>
      <c r="E32" s="10">
        <v>250</v>
      </c>
      <c r="F32" s="31">
        <f t="shared" ref="F32:F33" si="12">D32/E32</f>
        <v>9.1999999999999998E-2</v>
      </c>
      <c r="G32" s="6">
        <v>450</v>
      </c>
      <c r="H32" s="16">
        <f>F32*G32</f>
        <v>41.4</v>
      </c>
      <c r="I32" s="1">
        <f t="shared" ref="I32:I33" si="13">H32*E32</f>
        <v>10350</v>
      </c>
    </row>
    <row r="33" spans="1:9" s="1" customFormat="1">
      <c r="A33" s="15"/>
      <c r="B33" s="5" t="s">
        <v>49</v>
      </c>
      <c r="C33" s="10" t="s">
        <v>26</v>
      </c>
      <c r="D33" s="5">
        <v>1</v>
      </c>
      <c r="E33" s="10">
        <v>250</v>
      </c>
      <c r="F33" s="31">
        <f t="shared" si="12"/>
        <v>4.0000000000000001E-3</v>
      </c>
      <c r="G33" s="6">
        <v>12000</v>
      </c>
      <c r="H33" s="16">
        <f>F33*G33</f>
        <v>48</v>
      </c>
      <c r="I33" s="1">
        <f t="shared" si="13"/>
        <v>12000</v>
      </c>
    </row>
    <row r="34" spans="1:9" s="1" customFormat="1" ht="15.75" thickBot="1">
      <c r="A34" s="17"/>
      <c r="B34" s="18"/>
      <c r="C34" s="18"/>
      <c r="D34" s="18"/>
      <c r="E34" s="18"/>
      <c r="F34" s="18"/>
      <c r="G34" s="22"/>
      <c r="H34" s="48">
        <f>SUM(H31:H33)</f>
        <v>786.57176000000004</v>
      </c>
      <c r="I34" s="1">
        <f>H34*E33</f>
        <v>196642.94</v>
      </c>
    </row>
    <row r="35" spans="1:9">
      <c r="A35" s="11" t="s">
        <v>43</v>
      </c>
      <c r="B35" s="12" t="s">
        <v>25</v>
      </c>
      <c r="C35" s="12" t="s">
        <v>26</v>
      </c>
      <c r="D35" s="12">
        <v>1</v>
      </c>
      <c r="E35" s="12">
        <v>131</v>
      </c>
      <c r="F35" s="32">
        <f>D35/E35</f>
        <v>7.6335877862595417E-3</v>
      </c>
      <c r="G35" s="13">
        <f>72907.2+34838.4</f>
        <v>107745.60000000001</v>
      </c>
      <c r="H35" s="14">
        <f>F35*G35</f>
        <v>822.48549618320612</v>
      </c>
      <c r="I35" s="1">
        <f>H35*E35</f>
        <v>107745.60000000001</v>
      </c>
    </row>
    <row r="36" spans="1:9" s="1" customFormat="1">
      <c r="A36" s="15"/>
      <c r="B36" s="5" t="s">
        <v>28</v>
      </c>
      <c r="C36" s="5"/>
      <c r="D36" s="5">
        <v>8</v>
      </c>
      <c r="E36" s="10">
        <v>131</v>
      </c>
      <c r="F36" s="31">
        <f t="shared" ref="F36:F37" si="14">D36/E36</f>
        <v>6.1068702290076333E-2</v>
      </c>
      <c r="G36" s="6">
        <v>476.47</v>
      </c>
      <c r="H36" s="16">
        <f>F36*G36</f>
        <v>29.097404580152674</v>
      </c>
      <c r="I36" s="1">
        <f t="shared" ref="I36:I37" si="15">H36*E36</f>
        <v>3811.76</v>
      </c>
    </row>
    <row r="37" spans="1:9" s="1" customFormat="1">
      <c r="A37" s="15"/>
      <c r="B37" s="5" t="s">
        <v>49</v>
      </c>
      <c r="C37" s="10" t="s">
        <v>26</v>
      </c>
      <c r="D37" s="5">
        <v>1</v>
      </c>
      <c r="E37" s="10">
        <v>131</v>
      </c>
      <c r="F37" s="31">
        <f t="shared" si="14"/>
        <v>7.6335877862595417E-3</v>
      </c>
      <c r="G37" s="6">
        <v>9000</v>
      </c>
      <c r="H37" s="16">
        <f>F37*G37</f>
        <v>68.702290076335871</v>
      </c>
      <c r="I37" s="1">
        <f t="shared" si="15"/>
        <v>8999.9999999999982</v>
      </c>
    </row>
    <row r="38" spans="1:9" s="1" customFormat="1" ht="15.75" thickBot="1">
      <c r="A38" s="17"/>
      <c r="B38" s="18"/>
      <c r="C38" s="18"/>
      <c r="D38" s="18"/>
      <c r="E38" s="18"/>
      <c r="F38" s="18"/>
      <c r="G38" s="22"/>
      <c r="H38" s="48">
        <f>SUM(H35:H37)</f>
        <v>920.28519083969468</v>
      </c>
      <c r="I38" s="1">
        <f>H38*E37</f>
        <v>120557.36</v>
      </c>
    </row>
    <row r="39" spans="1:9">
      <c r="A39" s="11" t="s">
        <v>44</v>
      </c>
      <c r="B39" s="12" t="s">
        <v>25</v>
      </c>
      <c r="C39" s="12" t="s">
        <v>26</v>
      </c>
      <c r="D39" s="12">
        <v>1</v>
      </c>
      <c r="E39" s="12">
        <v>126</v>
      </c>
      <c r="F39" s="32">
        <f>D39/E39</f>
        <v>7.9365079365079361E-3</v>
      </c>
      <c r="G39" s="13">
        <f>64841.88+41880</f>
        <v>106721.88</v>
      </c>
      <c r="H39" s="14">
        <f>F39*G39</f>
        <v>846.99904761904759</v>
      </c>
      <c r="I39" s="1">
        <f>H39*E39</f>
        <v>106721.87999999999</v>
      </c>
    </row>
    <row r="40" spans="1:9" s="1" customFormat="1">
      <c r="A40" s="15"/>
      <c r="B40" s="5" t="s">
        <v>28</v>
      </c>
      <c r="C40" s="5"/>
      <c r="D40" s="5">
        <v>5</v>
      </c>
      <c r="E40" s="10">
        <v>126</v>
      </c>
      <c r="F40" s="31">
        <f t="shared" ref="F40:F41" si="16">D40/E40</f>
        <v>3.968253968253968E-2</v>
      </c>
      <c r="G40" s="6"/>
      <c r="H40" s="16">
        <f>F40*G40</f>
        <v>0</v>
      </c>
      <c r="I40" s="1">
        <f t="shared" ref="I40:I41" si="17">H40*E40</f>
        <v>0</v>
      </c>
    </row>
    <row r="41" spans="1:9" s="1" customFormat="1">
      <c r="A41" s="15"/>
      <c r="B41" s="5" t="s">
        <v>49</v>
      </c>
      <c r="C41" s="10" t="s">
        <v>26</v>
      </c>
      <c r="D41" s="5">
        <v>1</v>
      </c>
      <c r="E41" s="10">
        <v>126</v>
      </c>
      <c r="F41" s="31">
        <f t="shared" si="16"/>
        <v>7.9365079365079361E-3</v>
      </c>
      <c r="G41" s="6">
        <v>12000</v>
      </c>
      <c r="H41" s="16">
        <f>F41*G41</f>
        <v>95.238095238095227</v>
      </c>
      <c r="I41" s="1">
        <f t="shared" si="17"/>
        <v>11999.999999999998</v>
      </c>
    </row>
    <row r="42" spans="1:9" s="1" customFormat="1" ht="15.75" thickBot="1">
      <c r="A42" s="17"/>
      <c r="B42" s="18"/>
      <c r="C42" s="18"/>
      <c r="D42" s="18"/>
      <c r="E42" s="18"/>
      <c r="F42" s="18"/>
      <c r="G42" s="22"/>
      <c r="H42" s="48">
        <f>SUM(H39:H41)</f>
        <v>942.23714285714277</v>
      </c>
      <c r="I42" s="1">
        <f>H42*E41</f>
        <v>118721.87999999999</v>
      </c>
    </row>
    <row r="43" spans="1:9" ht="15.75" thickBot="1"/>
    <row r="44" spans="1:9">
      <c r="A44" s="11" t="s">
        <v>30</v>
      </c>
      <c r="B44" s="12" t="s">
        <v>25</v>
      </c>
      <c r="C44" s="12" t="s">
        <v>26</v>
      </c>
      <c r="D44" s="12">
        <v>1</v>
      </c>
      <c r="E44" s="12">
        <v>206</v>
      </c>
      <c r="F44" s="32">
        <f>D44/E44</f>
        <v>4.8543689320388345E-3</v>
      </c>
      <c r="G44" s="13">
        <f>130278+65640</f>
        <v>195918</v>
      </c>
      <c r="H44" s="14">
        <f>F44*G44</f>
        <v>951.05825242718436</v>
      </c>
      <c r="I44" s="1">
        <f>H44*E44</f>
        <v>195917.99999999997</v>
      </c>
    </row>
    <row r="45" spans="1:9" s="1" customFormat="1">
      <c r="A45" s="15"/>
      <c r="B45" s="5" t="s">
        <v>28</v>
      </c>
      <c r="C45" s="5"/>
      <c r="D45" s="5">
        <v>5</v>
      </c>
      <c r="E45" s="10">
        <v>206</v>
      </c>
      <c r="F45" s="31">
        <f t="shared" ref="F45:F46" si="18">D45/E45</f>
        <v>2.4271844660194174E-2</v>
      </c>
      <c r="G45" s="6"/>
      <c r="H45" s="16">
        <f>F45*G45</f>
        <v>0</v>
      </c>
      <c r="I45" s="1">
        <f t="shared" ref="I45:I46" si="19">H45*E45</f>
        <v>0</v>
      </c>
    </row>
    <row r="46" spans="1:9" s="1" customFormat="1">
      <c r="A46" s="15"/>
      <c r="B46" s="5" t="s">
        <v>49</v>
      </c>
      <c r="C46" s="10" t="s">
        <v>26</v>
      </c>
      <c r="D46" s="5">
        <v>1</v>
      </c>
      <c r="E46" s="10">
        <v>206</v>
      </c>
      <c r="F46" s="31">
        <f t="shared" si="18"/>
        <v>4.8543689320388345E-3</v>
      </c>
      <c r="G46" s="6">
        <v>9000</v>
      </c>
      <c r="H46" s="16">
        <f>F46*G46</f>
        <v>43.689320388349508</v>
      </c>
      <c r="I46" s="1">
        <f t="shared" si="19"/>
        <v>8999.9999999999982</v>
      </c>
    </row>
    <row r="47" spans="1:9" s="1" customFormat="1" ht="15.75" thickBot="1">
      <c r="A47" s="17"/>
      <c r="B47" s="18"/>
      <c r="C47" s="18"/>
      <c r="D47" s="18"/>
      <c r="E47" s="18"/>
      <c r="F47" s="18"/>
      <c r="G47" s="22"/>
      <c r="H47" s="48">
        <f>SUM(H44:H46)</f>
        <v>994.74757281553389</v>
      </c>
      <c r="I47" s="3">
        <f>H47*E46</f>
        <v>204917.99999999997</v>
      </c>
    </row>
    <row r="48" spans="1:9">
      <c r="A48" s="11" t="s">
        <v>37</v>
      </c>
      <c r="B48" s="12" t="s">
        <v>25</v>
      </c>
      <c r="C48" s="12" t="s">
        <v>26</v>
      </c>
      <c r="D48" s="12">
        <v>1</v>
      </c>
      <c r="E48" s="12">
        <v>275</v>
      </c>
      <c r="F48" s="32">
        <f>D48/E48</f>
        <v>3.6363636363636364E-3</v>
      </c>
      <c r="G48" s="13">
        <f>106015.8+54000</f>
        <v>160015.79999999999</v>
      </c>
      <c r="H48" s="14">
        <f>F48*G48</f>
        <v>581.87563636363632</v>
      </c>
      <c r="I48" s="1">
        <f>H48*E48</f>
        <v>160015.79999999999</v>
      </c>
    </row>
    <row r="49" spans="1:9" s="1" customFormat="1">
      <c r="A49" s="15"/>
      <c r="B49" s="5" t="s">
        <v>28</v>
      </c>
      <c r="C49" s="5"/>
      <c r="D49" s="5">
        <v>10</v>
      </c>
      <c r="E49" s="10">
        <v>275</v>
      </c>
      <c r="F49" s="31">
        <f t="shared" ref="F49:F50" si="20">D49/E49</f>
        <v>3.6363636363636362E-2</v>
      </c>
      <c r="G49" s="6"/>
      <c r="H49" s="16">
        <f>F49*G49</f>
        <v>0</v>
      </c>
      <c r="I49" s="1">
        <f t="shared" ref="I49:I50" si="21">H49*E49</f>
        <v>0</v>
      </c>
    </row>
    <row r="50" spans="1:9" s="1" customFormat="1">
      <c r="A50" s="15"/>
      <c r="B50" s="5" t="s">
        <v>49</v>
      </c>
      <c r="C50" s="10" t="s">
        <v>26</v>
      </c>
      <c r="D50" s="5">
        <v>1</v>
      </c>
      <c r="E50" s="10">
        <v>275</v>
      </c>
      <c r="F50" s="31">
        <f t="shared" si="20"/>
        <v>3.6363636363636364E-3</v>
      </c>
      <c r="G50" s="6">
        <v>15000</v>
      </c>
      <c r="H50" s="16">
        <f>F50*G50</f>
        <v>54.545454545454547</v>
      </c>
      <c r="I50" s="1">
        <f t="shared" si="21"/>
        <v>15000</v>
      </c>
    </row>
    <row r="51" spans="1:9" s="1" customFormat="1" ht="15.75" thickBot="1">
      <c r="A51" s="17"/>
      <c r="B51" s="18"/>
      <c r="C51" s="18"/>
      <c r="D51" s="18"/>
      <c r="E51" s="18"/>
      <c r="F51" s="18"/>
      <c r="G51" s="22"/>
      <c r="H51" s="48">
        <f>SUM(H48:H50)</f>
        <v>636.42109090909082</v>
      </c>
      <c r="I51" s="1">
        <f>H51*E50</f>
        <v>175015.8</v>
      </c>
    </row>
    <row r="52" spans="1:9" ht="15.75" thickBot="1"/>
    <row r="53" spans="1:9">
      <c r="A53" s="11" t="s">
        <v>38</v>
      </c>
      <c r="B53" s="12" t="s">
        <v>25</v>
      </c>
      <c r="C53" s="12" t="s">
        <v>26</v>
      </c>
      <c r="D53" s="12">
        <v>1</v>
      </c>
      <c r="E53" s="12">
        <v>347</v>
      </c>
      <c r="F53" s="32">
        <f>D53/E53</f>
        <v>2.881844380403458E-3</v>
      </c>
      <c r="G53" s="13">
        <f>162940+96400</f>
        <v>259340</v>
      </c>
      <c r="H53" s="14">
        <f>F53*G53</f>
        <v>747.37752161383276</v>
      </c>
      <c r="I53" s="1">
        <f>H53*E53</f>
        <v>259339.99999999997</v>
      </c>
    </row>
    <row r="54" spans="1:9" s="1" customFormat="1">
      <c r="A54" s="15"/>
      <c r="B54" s="5" t="s">
        <v>28</v>
      </c>
      <c r="C54" s="5"/>
      <c r="D54" s="5">
        <v>13</v>
      </c>
      <c r="E54" s="10">
        <v>347</v>
      </c>
      <c r="F54" s="31">
        <f t="shared" ref="F54:F55" si="22">D54/E54</f>
        <v>3.7463976945244955E-2</v>
      </c>
      <c r="G54" s="6">
        <v>450</v>
      </c>
      <c r="H54" s="16">
        <f>F54*G54</f>
        <v>16.858789625360231</v>
      </c>
      <c r="I54" s="1">
        <f t="shared" ref="I54:I55" si="23">H54*E54</f>
        <v>5850</v>
      </c>
    </row>
    <row r="55" spans="1:9" s="1" customFormat="1">
      <c r="A55" s="15"/>
      <c r="B55" s="5" t="s">
        <v>49</v>
      </c>
      <c r="C55" s="10" t="s">
        <v>26</v>
      </c>
      <c r="D55" s="5">
        <v>1</v>
      </c>
      <c r="E55" s="10">
        <v>347</v>
      </c>
      <c r="F55" s="31">
        <f t="shared" si="22"/>
        <v>2.881844380403458E-3</v>
      </c>
      <c r="G55" s="6">
        <v>15436</v>
      </c>
      <c r="H55" s="16">
        <f>F55*G55</f>
        <v>44.484149855907781</v>
      </c>
      <c r="I55" s="1">
        <f t="shared" si="23"/>
        <v>15436</v>
      </c>
    </row>
    <row r="56" spans="1:9" s="1" customFormat="1" ht="15.75" thickBot="1">
      <c r="A56" s="17"/>
      <c r="B56" s="18"/>
      <c r="C56" s="18"/>
      <c r="D56" s="18"/>
      <c r="E56" s="18"/>
      <c r="F56" s="18"/>
      <c r="G56" s="22"/>
      <c r="H56" s="48">
        <f>SUM(H53:H55)</f>
        <v>808.72046109510075</v>
      </c>
      <c r="I56" s="1">
        <f>H56*E55</f>
        <v>280625.99999999994</v>
      </c>
    </row>
    <row r="57" spans="1:9">
      <c r="A57" s="11" t="s">
        <v>39</v>
      </c>
      <c r="B57" s="12" t="s">
        <v>25</v>
      </c>
      <c r="C57" s="12" t="s">
        <v>26</v>
      </c>
      <c r="D57" s="12">
        <v>1</v>
      </c>
      <c r="E57" s="12">
        <v>434</v>
      </c>
      <c r="F57" s="32">
        <f>D57/E57</f>
        <v>2.304147465437788E-3</v>
      </c>
      <c r="G57" s="13">
        <f>160212+93126</f>
        <v>253338</v>
      </c>
      <c r="H57" s="14">
        <f>F57*G57</f>
        <v>583.72811059907838</v>
      </c>
      <c r="I57" s="1">
        <f>H57*E57</f>
        <v>253338.00000000003</v>
      </c>
    </row>
    <row r="58" spans="1:9" s="1" customFormat="1">
      <c r="A58" s="15"/>
      <c r="B58" s="5" t="s">
        <v>28</v>
      </c>
      <c r="C58" s="5"/>
      <c r="D58" s="5">
        <v>10</v>
      </c>
      <c r="E58" s="10">
        <v>434</v>
      </c>
      <c r="F58" s="31">
        <f t="shared" ref="F58:F59" si="24">D58/E58</f>
        <v>2.3041474654377881E-2</v>
      </c>
      <c r="G58" s="6"/>
      <c r="H58" s="16">
        <f>F58*G58</f>
        <v>0</v>
      </c>
      <c r="I58" s="1">
        <f t="shared" ref="I58:I59" si="25">H58*E58</f>
        <v>0</v>
      </c>
    </row>
    <row r="59" spans="1:9" s="1" customFormat="1">
      <c r="A59" s="15"/>
      <c r="B59" s="5" t="s">
        <v>49</v>
      </c>
      <c r="C59" s="10" t="s">
        <v>26</v>
      </c>
      <c r="D59" s="5">
        <v>1</v>
      </c>
      <c r="E59" s="10">
        <v>434</v>
      </c>
      <c r="F59" s="31">
        <f t="shared" si="24"/>
        <v>2.304147465437788E-3</v>
      </c>
      <c r="G59" s="6">
        <v>17000</v>
      </c>
      <c r="H59" s="16">
        <f>F59*G59</f>
        <v>39.170506912442399</v>
      </c>
      <c r="I59" s="1">
        <f t="shared" si="25"/>
        <v>17000</v>
      </c>
    </row>
    <row r="60" spans="1:9" s="1" customFormat="1" ht="15.75" thickBot="1">
      <c r="A60" s="17"/>
      <c r="B60" s="18"/>
      <c r="C60" s="18"/>
      <c r="D60" s="18"/>
      <c r="E60" s="18"/>
      <c r="F60" s="18"/>
      <c r="G60" s="22"/>
      <c r="H60" s="48">
        <f>SUM(H57:H59)</f>
        <v>622.8986175115208</v>
      </c>
      <c r="I60" s="1">
        <f>H60*E59</f>
        <v>270338</v>
      </c>
    </row>
  </sheetData>
  <mergeCells count="1">
    <mergeCell ref="A3:H3"/>
  </mergeCells>
  <pageMargins left="0.51181102362204722" right="0" top="0.35433070866141736" bottom="0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з.пл.</vt:lpstr>
      <vt:lpstr>материалы</vt:lpstr>
      <vt:lpstr>материалы (2)</vt:lpstr>
      <vt:lpstr>иные</vt:lpstr>
      <vt:lpstr>иные!Заголовки_для_печати</vt:lpstr>
      <vt:lpstr>материалы!Заголовки_для_печати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2016-01-14T02:59:39Z</dcterms:modified>
</cp:coreProperties>
</file>