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з.пл." sheetId="1" r:id="rId1"/>
    <sheet name="материалы" sheetId="4" r:id="rId2"/>
    <sheet name="материалы (2)" sheetId="6" r:id="rId3"/>
    <sheet name="иные" sheetId="5" r:id="rId4"/>
  </sheets>
  <definedNames>
    <definedName name="_xlnm.Print_Titles" localSheetId="3">иные!$5:$6</definedName>
    <definedName name="_xlnm.Print_Titles" localSheetId="1">материалы!$4:$5</definedName>
  </definedNames>
  <calcPr calcId="124519"/>
</workbook>
</file>

<file path=xl/calcChain.xml><?xml version="1.0" encoding="utf-8"?>
<calcChain xmlns="http://schemas.openxmlformats.org/spreadsheetml/2006/main">
  <c r="F152" i="5"/>
  <c r="H152" s="1"/>
  <c r="F153"/>
  <c r="H153" s="1"/>
  <c r="F154"/>
  <c r="H154" s="1"/>
  <c r="F155"/>
  <c r="H155" s="1"/>
  <c r="F156"/>
  <c r="H156" s="1"/>
  <c r="F158"/>
  <c r="H158" s="1"/>
  <c r="F160"/>
  <c r="H160" s="1"/>
  <c r="F161"/>
  <c r="H161" s="1"/>
  <c r="F151"/>
  <c r="H151" s="1"/>
  <c r="G94"/>
  <c r="J135"/>
  <c r="J137"/>
  <c r="J140"/>
  <c r="J136"/>
  <c r="J138"/>
  <c r="J139"/>
  <c r="J134"/>
  <c r="J133"/>
  <c r="J132"/>
  <c r="J141" s="1"/>
  <c r="G115"/>
  <c r="J114"/>
  <c r="G113"/>
  <c r="G111"/>
  <c r="J110"/>
  <c r="G109"/>
  <c r="G120"/>
  <c r="J119"/>
  <c r="G118"/>
  <c r="G107"/>
  <c r="J106"/>
  <c r="G105"/>
  <c r="G125"/>
  <c r="J124"/>
  <c r="G123"/>
  <c r="G103"/>
  <c r="J102"/>
  <c r="G101"/>
  <c r="G99"/>
  <c r="J98"/>
  <c r="G97"/>
  <c r="G95"/>
  <c r="J94"/>
  <c r="G93"/>
  <c r="H129"/>
  <c r="H128"/>
  <c r="H127"/>
  <c r="F125"/>
  <c r="H125" s="1"/>
  <c r="I125" s="1"/>
  <c r="F124"/>
  <c r="H124" s="1"/>
  <c r="I124" s="1"/>
  <c r="F123"/>
  <c r="H123" s="1"/>
  <c r="F120"/>
  <c r="H120" s="1"/>
  <c r="I120" s="1"/>
  <c r="F119"/>
  <c r="H119" s="1"/>
  <c r="I119" s="1"/>
  <c r="F118"/>
  <c r="H118" s="1"/>
  <c r="F115"/>
  <c r="F114"/>
  <c r="H114" s="1"/>
  <c r="I114" s="1"/>
  <c r="F113"/>
  <c r="H113" s="1"/>
  <c r="F111"/>
  <c r="H111" s="1"/>
  <c r="I111" s="1"/>
  <c r="F110"/>
  <c r="H110" s="1"/>
  <c r="I110" s="1"/>
  <c r="F109"/>
  <c r="H109" s="1"/>
  <c r="F107"/>
  <c r="H107" s="1"/>
  <c r="I107" s="1"/>
  <c r="F106"/>
  <c r="H106" s="1"/>
  <c r="I106" s="1"/>
  <c r="F105"/>
  <c r="H105" s="1"/>
  <c r="F103"/>
  <c r="H103" s="1"/>
  <c r="I103" s="1"/>
  <c r="F102"/>
  <c r="H102" s="1"/>
  <c r="I102" s="1"/>
  <c r="F101"/>
  <c r="H101" s="1"/>
  <c r="F99"/>
  <c r="H99" s="1"/>
  <c r="I99" s="1"/>
  <c r="F98"/>
  <c r="H98" s="1"/>
  <c r="I98" s="1"/>
  <c r="F97"/>
  <c r="H97" s="1"/>
  <c r="F95"/>
  <c r="H95" s="1"/>
  <c r="I95" s="1"/>
  <c r="F94"/>
  <c r="H94" s="1"/>
  <c r="I94" s="1"/>
  <c r="F93"/>
  <c r="H93" s="1"/>
  <c r="J71"/>
  <c r="G72"/>
  <c r="G70"/>
  <c r="J85"/>
  <c r="G86"/>
  <c r="G84"/>
  <c r="G68"/>
  <c r="J67"/>
  <c r="G66"/>
  <c r="G77"/>
  <c r="J76"/>
  <c r="G75"/>
  <c r="G64"/>
  <c r="J63"/>
  <c r="G62"/>
  <c r="G82"/>
  <c r="J81"/>
  <c r="G80"/>
  <c r="G60"/>
  <c r="J59"/>
  <c r="G58"/>
  <c r="G56"/>
  <c r="J55"/>
  <c r="G54"/>
  <c r="J51"/>
  <c r="G52"/>
  <c r="G50"/>
  <c r="F86"/>
  <c r="H86" s="1"/>
  <c r="I86" s="1"/>
  <c r="F85"/>
  <c r="H85" s="1"/>
  <c r="I85" s="1"/>
  <c r="F84"/>
  <c r="H84" s="1"/>
  <c r="F82"/>
  <c r="H82" s="1"/>
  <c r="I82" s="1"/>
  <c r="F81"/>
  <c r="H81" s="1"/>
  <c r="I81" s="1"/>
  <c r="F80"/>
  <c r="H80" s="1"/>
  <c r="F77"/>
  <c r="H77" s="1"/>
  <c r="I77" s="1"/>
  <c r="F76"/>
  <c r="H76" s="1"/>
  <c r="I76" s="1"/>
  <c r="F75"/>
  <c r="H75" s="1"/>
  <c r="F72"/>
  <c r="H72" s="1"/>
  <c r="I72" s="1"/>
  <c r="F71"/>
  <c r="H71" s="1"/>
  <c r="I71" s="1"/>
  <c r="F70"/>
  <c r="H70" s="1"/>
  <c r="F68"/>
  <c r="H68" s="1"/>
  <c r="I68" s="1"/>
  <c r="F67"/>
  <c r="H67" s="1"/>
  <c r="I67" s="1"/>
  <c r="F66"/>
  <c r="H66" s="1"/>
  <c r="F64"/>
  <c r="H64" s="1"/>
  <c r="I64" s="1"/>
  <c r="F63"/>
  <c r="H63" s="1"/>
  <c r="I63" s="1"/>
  <c r="F62"/>
  <c r="H62" s="1"/>
  <c r="F60"/>
  <c r="H60" s="1"/>
  <c r="I60" s="1"/>
  <c r="F59"/>
  <c r="H59" s="1"/>
  <c r="I59" s="1"/>
  <c r="F58"/>
  <c r="H58" s="1"/>
  <c r="F56"/>
  <c r="H56" s="1"/>
  <c r="I56" s="1"/>
  <c r="F55"/>
  <c r="H55" s="1"/>
  <c r="I55" s="1"/>
  <c r="F54"/>
  <c r="H54" s="1"/>
  <c r="F52"/>
  <c r="H52" s="1"/>
  <c r="I52" s="1"/>
  <c r="F51"/>
  <c r="H51" s="1"/>
  <c r="I51" s="1"/>
  <c r="F50"/>
  <c r="H50" s="1"/>
  <c r="G29"/>
  <c r="G27"/>
  <c r="J28"/>
  <c r="G43"/>
  <c r="J42"/>
  <c r="G41"/>
  <c r="G25"/>
  <c r="G23"/>
  <c r="J24"/>
  <c r="G34"/>
  <c r="J33"/>
  <c r="G32"/>
  <c r="G21"/>
  <c r="J20"/>
  <c r="G19"/>
  <c r="G39"/>
  <c r="J38"/>
  <c r="G37"/>
  <c r="G17"/>
  <c r="G15"/>
  <c r="J16"/>
  <c r="F43"/>
  <c r="H43" s="1"/>
  <c r="I43" s="1"/>
  <c r="F42"/>
  <c r="H42" s="1"/>
  <c r="I42" s="1"/>
  <c r="F41"/>
  <c r="H41" s="1"/>
  <c r="F39"/>
  <c r="H39" s="1"/>
  <c r="I39" s="1"/>
  <c r="F38"/>
  <c r="H38" s="1"/>
  <c r="I38" s="1"/>
  <c r="F37"/>
  <c r="H37" s="1"/>
  <c r="F34"/>
  <c r="F33"/>
  <c r="H33" s="1"/>
  <c r="I33" s="1"/>
  <c r="F32"/>
  <c r="H32" s="1"/>
  <c r="F29"/>
  <c r="H29" s="1"/>
  <c r="I29" s="1"/>
  <c r="F28"/>
  <c r="H28" s="1"/>
  <c r="I28" s="1"/>
  <c r="F27"/>
  <c r="H27" s="1"/>
  <c r="F25"/>
  <c r="H25" s="1"/>
  <c r="I25" s="1"/>
  <c r="F24"/>
  <c r="H24" s="1"/>
  <c r="I24" s="1"/>
  <c r="F23"/>
  <c r="H23" s="1"/>
  <c r="F21"/>
  <c r="H21" s="1"/>
  <c r="I21" s="1"/>
  <c r="F20"/>
  <c r="H20" s="1"/>
  <c r="I20" s="1"/>
  <c r="F19"/>
  <c r="H19" s="1"/>
  <c r="F17"/>
  <c r="F16"/>
  <c r="H16" s="1"/>
  <c r="I16" s="1"/>
  <c r="F15"/>
  <c r="H15" s="1"/>
  <c r="G13"/>
  <c r="J12"/>
  <c r="G11"/>
  <c r="F13"/>
  <c r="F12"/>
  <c r="H12" s="1"/>
  <c r="I12" s="1"/>
  <c r="F11"/>
  <c r="G9"/>
  <c r="J8"/>
  <c r="G7"/>
  <c r="H115" l="1"/>
  <c r="I115" s="1"/>
  <c r="H96"/>
  <c r="I96" s="1"/>
  <c r="I93"/>
  <c r="H100"/>
  <c r="I100" s="1"/>
  <c r="I97"/>
  <c r="H104"/>
  <c r="I104" s="1"/>
  <c r="I101"/>
  <c r="H108"/>
  <c r="I108" s="1"/>
  <c r="I105"/>
  <c r="H112"/>
  <c r="I112" s="1"/>
  <c r="I109"/>
  <c r="I113"/>
  <c r="H121"/>
  <c r="I121" s="1"/>
  <c r="I118"/>
  <c r="H126"/>
  <c r="I126" s="1"/>
  <c r="I123"/>
  <c r="H130"/>
  <c r="H53"/>
  <c r="I53" s="1"/>
  <c r="I50"/>
  <c r="H57"/>
  <c r="I57" s="1"/>
  <c r="I54"/>
  <c r="H61"/>
  <c r="I61" s="1"/>
  <c r="I58"/>
  <c r="H65"/>
  <c r="I65" s="1"/>
  <c r="I62"/>
  <c r="H69"/>
  <c r="I69" s="1"/>
  <c r="I66"/>
  <c r="H73"/>
  <c r="I73" s="1"/>
  <c r="I70"/>
  <c r="H78"/>
  <c r="I78" s="1"/>
  <c r="I75"/>
  <c r="H83"/>
  <c r="I83" s="1"/>
  <c r="I80"/>
  <c r="H87"/>
  <c r="I87" s="1"/>
  <c r="I84"/>
  <c r="H34"/>
  <c r="I34" s="1"/>
  <c r="H17"/>
  <c r="I17" s="1"/>
  <c r="H40"/>
  <c r="I40" s="1"/>
  <c r="I37"/>
  <c r="H44"/>
  <c r="I44" s="1"/>
  <c r="I41"/>
  <c r="H35"/>
  <c r="I35" s="1"/>
  <c r="I32"/>
  <c r="H30"/>
  <c r="I30" s="1"/>
  <c r="I27"/>
  <c r="I23"/>
  <c r="H26"/>
  <c r="I26" s="1"/>
  <c r="H22"/>
  <c r="I22" s="1"/>
  <c r="I19"/>
  <c r="H18"/>
  <c r="I18" s="1"/>
  <c r="I15"/>
  <c r="H13"/>
  <c r="I13" s="1"/>
  <c r="H11"/>
  <c r="I11"/>
  <c r="I140" l="1"/>
  <c r="K140" s="1"/>
  <c r="I136"/>
  <c r="K136" s="1"/>
  <c r="I135"/>
  <c r="K135" s="1"/>
  <c r="I134"/>
  <c r="K134" s="1"/>
  <c r="I139"/>
  <c r="K139" s="1"/>
  <c r="I138"/>
  <c r="K138" s="1"/>
  <c r="H116"/>
  <c r="I116" s="1"/>
  <c r="I137" s="1"/>
  <c r="K137" s="1"/>
  <c r="H14"/>
  <c r="I14" s="1"/>
  <c r="I133" s="1"/>
  <c r="K133" s="1"/>
  <c r="H103" i="4" l="1"/>
  <c r="H90"/>
  <c r="H78"/>
  <c r="H72"/>
  <c r="H66"/>
  <c r="H50"/>
  <c r="H43"/>
  <c r="H18"/>
  <c r="H12"/>
  <c r="K162"/>
  <c r="H154"/>
  <c r="K156"/>
  <c r="K169"/>
  <c r="H167"/>
  <c r="K150"/>
  <c r="K176"/>
  <c r="K144"/>
  <c r="H140"/>
  <c r="H126"/>
  <c r="H134"/>
  <c r="K138"/>
  <c r="I130"/>
  <c r="F130"/>
  <c r="K132"/>
  <c r="E18" i="6"/>
  <c r="F12"/>
  <c r="K17" i="4"/>
  <c r="K77"/>
  <c r="K121"/>
  <c r="K235" s="1"/>
  <c r="K115"/>
  <c r="K108"/>
  <c r="K233" s="1"/>
  <c r="K101"/>
  <c r="K232" s="1"/>
  <c r="K95"/>
  <c r="K89"/>
  <c r="K83"/>
  <c r="K71"/>
  <c r="F181"/>
  <c r="I181" s="1"/>
  <c r="F180"/>
  <c r="I180" s="1"/>
  <c r="F179"/>
  <c r="I179" s="1"/>
  <c r="F178"/>
  <c r="I178" s="1"/>
  <c r="F177"/>
  <c r="I177" s="1"/>
  <c r="I182" s="1"/>
  <c r="F175"/>
  <c r="I175" s="1"/>
  <c r="F174"/>
  <c r="I174" s="1"/>
  <c r="F173"/>
  <c r="I173" s="1"/>
  <c r="F172"/>
  <c r="I172" s="1"/>
  <c r="F171"/>
  <c r="I171" s="1"/>
  <c r="F168"/>
  <c r="I168" s="1"/>
  <c r="F167"/>
  <c r="I167" s="1"/>
  <c r="F166"/>
  <c r="I166" s="1"/>
  <c r="F165"/>
  <c r="I165" s="1"/>
  <c r="F164"/>
  <c r="I164" s="1"/>
  <c r="F161"/>
  <c r="I161" s="1"/>
  <c r="F160"/>
  <c r="I160" s="1"/>
  <c r="F159"/>
  <c r="I159" s="1"/>
  <c r="F158"/>
  <c r="I158" s="1"/>
  <c r="F157"/>
  <c r="I157" s="1"/>
  <c r="F155"/>
  <c r="I155" s="1"/>
  <c r="F154"/>
  <c r="I154" s="1"/>
  <c r="F153"/>
  <c r="I153" s="1"/>
  <c r="F152"/>
  <c r="I152" s="1"/>
  <c r="F151"/>
  <c r="I151" s="1"/>
  <c r="F149"/>
  <c r="I149" s="1"/>
  <c r="F148"/>
  <c r="I148" s="1"/>
  <c r="F147"/>
  <c r="I147" s="1"/>
  <c r="F146"/>
  <c r="I146" s="1"/>
  <c r="F145"/>
  <c r="I145" s="1"/>
  <c r="F143"/>
  <c r="I143" s="1"/>
  <c r="F142"/>
  <c r="I142" s="1"/>
  <c r="F141"/>
  <c r="I141" s="1"/>
  <c r="F140"/>
  <c r="I140" s="1"/>
  <c r="F139"/>
  <c r="I139" s="1"/>
  <c r="F137"/>
  <c r="I137" s="1"/>
  <c r="F136"/>
  <c r="I136" s="1"/>
  <c r="F135"/>
  <c r="I135" s="1"/>
  <c r="F134"/>
  <c r="I134" s="1"/>
  <c r="F133"/>
  <c r="I133" s="1"/>
  <c r="F131"/>
  <c r="I131" s="1"/>
  <c r="F129"/>
  <c r="I129" s="1"/>
  <c r="F128"/>
  <c r="I128" s="1"/>
  <c r="F127"/>
  <c r="I127" s="1"/>
  <c r="F126"/>
  <c r="I126" s="1"/>
  <c r="I132" s="1"/>
  <c r="F120"/>
  <c r="I120" s="1"/>
  <c r="F119"/>
  <c r="I119" s="1"/>
  <c r="F118"/>
  <c r="I118" s="1"/>
  <c r="I117"/>
  <c r="F117"/>
  <c r="F116"/>
  <c r="I116" s="1"/>
  <c r="F114"/>
  <c r="I114" s="1"/>
  <c r="F113"/>
  <c r="I113" s="1"/>
  <c r="F112"/>
  <c r="I112" s="1"/>
  <c r="F111"/>
  <c r="I111" s="1"/>
  <c r="F110"/>
  <c r="I110" s="1"/>
  <c r="F107"/>
  <c r="I107" s="1"/>
  <c r="F106"/>
  <c r="I106" s="1"/>
  <c r="F105"/>
  <c r="I105" s="1"/>
  <c r="F104"/>
  <c r="I104" s="1"/>
  <c r="F103"/>
  <c r="I103" s="1"/>
  <c r="F100"/>
  <c r="I100" s="1"/>
  <c r="F99"/>
  <c r="I99" s="1"/>
  <c r="F98"/>
  <c r="I98" s="1"/>
  <c r="F97"/>
  <c r="I97" s="1"/>
  <c r="F96"/>
  <c r="I96" s="1"/>
  <c r="F94"/>
  <c r="I94" s="1"/>
  <c r="F93"/>
  <c r="I93" s="1"/>
  <c r="F92"/>
  <c r="I92" s="1"/>
  <c r="F91"/>
  <c r="I91" s="1"/>
  <c r="F90"/>
  <c r="I90" s="1"/>
  <c r="F88"/>
  <c r="I88" s="1"/>
  <c r="F87"/>
  <c r="I87" s="1"/>
  <c r="F86"/>
  <c r="I86" s="1"/>
  <c r="F85"/>
  <c r="I85" s="1"/>
  <c r="F84"/>
  <c r="I84" s="1"/>
  <c r="F82"/>
  <c r="I82" s="1"/>
  <c r="F81"/>
  <c r="I81" s="1"/>
  <c r="F80"/>
  <c r="I80" s="1"/>
  <c r="F79"/>
  <c r="I79" s="1"/>
  <c r="F78"/>
  <c r="I78" s="1"/>
  <c r="F76"/>
  <c r="I76" s="1"/>
  <c r="F75"/>
  <c r="I75" s="1"/>
  <c r="F74"/>
  <c r="I74" s="1"/>
  <c r="F73"/>
  <c r="I73" s="1"/>
  <c r="F72"/>
  <c r="I72" s="1"/>
  <c r="F70"/>
  <c r="I70" s="1"/>
  <c r="F69"/>
  <c r="I69" s="1"/>
  <c r="F68"/>
  <c r="I68" s="1"/>
  <c r="F67"/>
  <c r="I67" s="1"/>
  <c r="F66"/>
  <c r="I66" s="1"/>
  <c r="K41"/>
  <c r="K61"/>
  <c r="K55"/>
  <c r="K48"/>
  <c r="K29"/>
  <c r="K230" s="1"/>
  <c r="K35"/>
  <c r="K231" s="1"/>
  <c r="K23"/>
  <c r="K229" s="1"/>
  <c r="K11"/>
  <c r="J218"/>
  <c r="J220"/>
  <c r="J203"/>
  <c r="J205"/>
  <c r="J191"/>
  <c r="F222"/>
  <c r="I222" s="1"/>
  <c r="J222" s="1"/>
  <c r="F221"/>
  <c r="I221" s="1"/>
  <c r="J221" s="1"/>
  <c r="F219"/>
  <c r="I219" s="1"/>
  <c r="J219" s="1"/>
  <c r="F217"/>
  <c r="I217" s="1"/>
  <c r="J217" s="1"/>
  <c r="F216"/>
  <c r="I216" s="1"/>
  <c r="J216" s="1"/>
  <c r="F215"/>
  <c r="I215" s="1"/>
  <c r="J215" s="1"/>
  <c r="F214"/>
  <c r="I214" s="1"/>
  <c r="J214" s="1"/>
  <c r="F213"/>
  <c r="I213" s="1"/>
  <c r="J213" s="1"/>
  <c r="F212"/>
  <c r="I212" s="1"/>
  <c r="J212" s="1"/>
  <c r="F207"/>
  <c r="I207" s="1"/>
  <c r="J207" s="1"/>
  <c r="F206"/>
  <c r="I206" s="1"/>
  <c r="J206" s="1"/>
  <c r="F204"/>
  <c r="I204" s="1"/>
  <c r="J204" s="1"/>
  <c r="F202"/>
  <c r="I202" s="1"/>
  <c r="J202" s="1"/>
  <c r="F201"/>
  <c r="I201" s="1"/>
  <c r="J201" s="1"/>
  <c r="F200"/>
  <c r="I200" s="1"/>
  <c r="J200" s="1"/>
  <c r="F199"/>
  <c r="I199" s="1"/>
  <c r="J199" s="1"/>
  <c r="F198"/>
  <c r="I198" s="1"/>
  <c r="J198" s="1"/>
  <c r="F197"/>
  <c r="I197" s="1"/>
  <c r="J197" s="1"/>
  <c r="K234" l="1"/>
  <c r="I162"/>
  <c r="J162" s="1"/>
  <c r="I169"/>
  <c r="J169" s="1"/>
  <c r="I150"/>
  <c r="J150" s="1"/>
  <c r="I176"/>
  <c r="J176" s="1"/>
  <c r="I144"/>
  <c r="J144" s="1"/>
  <c r="I121"/>
  <c r="J121" s="1"/>
  <c r="L121" s="1"/>
  <c r="I115"/>
  <c r="J115" s="1"/>
  <c r="L115" s="1"/>
  <c r="I108"/>
  <c r="J108" s="1"/>
  <c r="L108" s="1"/>
  <c r="I101"/>
  <c r="J101" s="1"/>
  <c r="L101" s="1"/>
  <c r="I77"/>
  <c r="J77" s="1"/>
  <c r="L77" s="1"/>
  <c r="I71"/>
  <c r="J71" s="1"/>
  <c r="L71" s="1"/>
  <c r="J132"/>
  <c r="L132" s="1"/>
  <c r="I138"/>
  <c r="J138" s="1"/>
  <c r="L138" s="1"/>
  <c r="I156"/>
  <c r="J156" s="1"/>
  <c r="L162"/>
  <c r="L169"/>
  <c r="L182"/>
  <c r="I83"/>
  <c r="J83" s="1"/>
  <c r="L83" s="1"/>
  <c r="I89"/>
  <c r="J89" s="1"/>
  <c r="L89" s="1"/>
  <c r="I95"/>
  <c r="J95" s="1"/>
  <c r="L95" s="1"/>
  <c r="K228"/>
  <c r="K227"/>
  <c r="F188"/>
  <c r="I188" s="1"/>
  <c r="J188" s="1"/>
  <c r="F189"/>
  <c r="I189" s="1"/>
  <c r="J189" s="1"/>
  <c r="F190"/>
  <c r="I190" s="1"/>
  <c r="J190" s="1"/>
  <c r="F192"/>
  <c r="I192" s="1"/>
  <c r="J192" s="1"/>
  <c r="F187"/>
  <c r="I187" s="1"/>
  <c r="J187" s="1"/>
  <c r="F60"/>
  <c r="I60" s="1"/>
  <c r="F59"/>
  <c r="I59" s="1"/>
  <c r="F58"/>
  <c r="I58" s="1"/>
  <c r="F57"/>
  <c r="I57" s="1"/>
  <c r="F56"/>
  <c r="I56" s="1"/>
  <c r="F54"/>
  <c r="F53"/>
  <c r="I53" s="1"/>
  <c r="F52"/>
  <c r="I52" s="1"/>
  <c r="F51"/>
  <c r="I51" s="1"/>
  <c r="F50"/>
  <c r="I50" s="1"/>
  <c r="F47"/>
  <c r="I47" s="1"/>
  <c r="F46"/>
  <c r="I46" s="1"/>
  <c r="F45"/>
  <c r="I45" s="1"/>
  <c r="F44"/>
  <c r="I44" s="1"/>
  <c r="F43"/>
  <c r="I43" s="1"/>
  <c r="F37"/>
  <c r="I37" s="1"/>
  <c r="F38"/>
  <c r="I38" s="1"/>
  <c r="F39"/>
  <c r="I39" s="1"/>
  <c r="F40"/>
  <c r="F36"/>
  <c r="I36" s="1"/>
  <c r="F34"/>
  <c r="F33"/>
  <c r="I33" s="1"/>
  <c r="F32"/>
  <c r="I32" s="1"/>
  <c r="F31"/>
  <c r="I31" s="1"/>
  <c r="F30"/>
  <c r="I30" s="1"/>
  <c r="F28"/>
  <c r="F27"/>
  <c r="I27" s="1"/>
  <c r="F26"/>
  <c r="I26" s="1"/>
  <c r="F25"/>
  <c r="I25" s="1"/>
  <c r="F24"/>
  <c r="I24" s="1"/>
  <c r="F22"/>
  <c r="I22" s="1"/>
  <c r="F21"/>
  <c r="I21" s="1"/>
  <c r="F20"/>
  <c r="I20" s="1"/>
  <c r="F19"/>
  <c r="I19" s="1"/>
  <c r="F18"/>
  <c r="I18" s="1"/>
  <c r="H16"/>
  <c r="F16"/>
  <c r="F15"/>
  <c r="I15" s="1"/>
  <c r="F14"/>
  <c r="I14" s="1"/>
  <c r="F13"/>
  <c r="I13" s="1"/>
  <c r="F12"/>
  <c r="I12" s="1"/>
  <c r="F9"/>
  <c r="I9" s="1"/>
  <c r="L44" i="1"/>
  <c r="L28"/>
  <c r="L12"/>
  <c r="L33"/>
  <c r="L17"/>
  <c r="L43"/>
  <c r="G27"/>
  <c r="L27"/>
  <c r="L11"/>
  <c r="L46"/>
  <c r="L109" s="1"/>
  <c r="L30"/>
  <c r="L14"/>
  <c r="L42"/>
  <c r="L26"/>
  <c r="L10"/>
  <c r="L48"/>
  <c r="L32"/>
  <c r="L16"/>
  <c r="L41"/>
  <c r="L25"/>
  <c r="L9"/>
  <c r="L40"/>
  <c r="L24"/>
  <c r="K7"/>
  <c r="L8"/>
  <c r="L39"/>
  <c r="L103" s="1"/>
  <c r="L23"/>
  <c r="L7"/>
  <c r="L105"/>
  <c r="L106"/>
  <c r="L107"/>
  <c r="L108"/>
  <c r="C49"/>
  <c r="C48"/>
  <c r="C46"/>
  <c r="C44"/>
  <c r="C43"/>
  <c r="C42"/>
  <c r="C41"/>
  <c r="C40"/>
  <c r="C39"/>
  <c r="C33"/>
  <c r="C32"/>
  <c r="C30"/>
  <c r="C28"/>
  <c r="C27"/>
  <c r="C26"/>
  <c r="C25"/>
  <c r="C24"/>
  <c r="C23"/>
  <c r="D108"/>
  <c r="D111"/>
  <c r="C11"/>
  <c r="D107"/>
  <c r="D109"/>
  <c r="D106"/>
  <c r="C17"/>
  <c r="C111" s="1"/>
  <c r="C16"/>
  <c r="D110"/>
  <c r="D105"/>
  <c r="D104"/>
  <c r="C7"/>
  <c r="C103" s="1"/>
  <c r="D103"/>
  <c r="C12"/>
  <c r="C14"/>
  <c r="C10"/>
  <c r="C106" s="1"/>
  <c r="C9"/>
  <c r="C105" s="1"/>
  <c r="C8"/>
  <c r="C110"/>
  <c r="C109"/>
  <c r="C104"/>
  <c r="C107"/>
  <c r="C108"/>
  <c r="D62"/>
  <c r="D60"/>
  <c r="D57"/>
  <c r="D58" s="1"/>
  <c r="I58" s="1"/>
  <c r="D79"/>
  <c r="D78"/>
  <c r="D76"/>
  <c r="D72"/>
  <c r="D73"/>
  <c r="I73" s="1"/>
  <c r="D74"/>
  <c r="D71"/>
  <c r="D69"/>
  <c r="D55"/>
  <c r="D56" s="1"/>
  <c r="I56" s="1"/>
  <c r="D70"/>
  <c r="I70" s="1"/>
  <c r="D87"/>
  <c r="C62"/>
  <c r="C60"/>
  <c r="C58"/>
  <c r="G58" s="1"/>
  <c r="H58" s="1"/>
  <c r="C57"/>
  <c r="C56"/>
  <c r="G56" s="1"/>
  <c r="H56" s="1"/>
  <c r="D86"/>
  <c r="I86"/>
  <c r="I96"/>
  <c r="G96"/>
  <c r="H96" s="1"/>
  <c r="I95"/>
  <c r="G95"/>
  <c r="H95" s="1"/>
  <c r="I93"/>
  <c r="G93"/>
  <c r="H93" s="1"/>
  <c r="I91"/>
  <c r="G91"/>
  <c r="H91" s="1"/>
  <c r="I90"/>
  <c r="G90"/>
  <c r="H90" s="1"/>
  <c r="I89"/>
  <c r="G89"/>
  <c r="H89" s="1"/>
  <c r="I88"/>
  <c r="G88"/>
  <c r="H88" s="1"/>
  <c r="I87"/>
  <c r="G87"/>
  <c r="H87" s="1"/>
  <c r="G86"/>
  <c r="H86" s="1"/>
  <c r="I79"/>
  <c r="G79"/>
  <c r="H79" s="1"/>
  <c r="I78"/>
  <c r="G78"/>
  <c r="H78" s="1"/>
  <c r="I76"/>
  <c r="G76"/>
  <c r="H76" s="1"/>
  <c r="I74"/>
  <c r="G74"/>
  <c r="H74" s="1"/>
  <c r="G73"/>
  <c r="H73" s="1"/>
  <c r="I72"/>
  <c r="G72"/>
  <c r="H72" s="1"/>
  <c r="I71"/>
  <c r="G71"/>
  <c r="H71" s="1"/>
  <c r="G70"/>
  <c r="H70" s="1"/>
  <c r="I69"/>
  <c r="G69"/>
  <c r="H69" s="1"/>
  <c r="I62"/>
  <c r="G62"/>
  <c r="H62" s="1"/>
  <c r="I60"/>
  <c r="G60"/>
  <c r="H60" s="1"/>
  <c r="I59"/>
  <c r="G59"/>
  <c r="J59" s="1"/>
  <c r="K59" s="1"/>
  <c r="I57"/>
  <c r="G57"/>
  <c r="H57" s="1"/>
  <c r="I55"/>
  <c r="G55"/>
  <c r="L101"/>
  <c r="I49"/>
  <c r="G49"/>
  <c r="H49" s="1"/>
  <c r="I48"/>
  <c r="G48"/>
  <c r="H48" s="1"/>
  <c r="I46"/>
  <c r="G46"/>
  <c r="H46" s="1"/>
  <c r="I44"/>
  <c r="G44"/>
  <c r="H44" s="1"/>
  <c r="I43"/>
  <c r="G43"/>
  <c r="H43" s="1"/>
  <c r="I42"/>
  <c r="G42"/>
  <c r="H42" s="1"/>
  <c r="I41"/>
  <c r="G41"/>
  <c r="H41" s="1"/>
  <c r="I40"/>
  <c r="N40"/>
  <c r="I39"/>
  <c r="G39"/>
  <c r="H39" s="1"/>
  <c r="I33"/>
  <c r="G33"/>
  <c r="H33" s="1"/>
  <c r="I32"/>
  <c r="G32"/>
  <c r="H32" s="1"/>
  <c r="I30"/>
  <c r="G30"/>
  <c r="H30" s="1"/>
  <c r="I28"/>
  <c r="G28"/>
  <c r="H28" s="1"/>
  <c r="I27"/>
  <c r="H27"/>
  <c r="I26"/>
  <c r="G26"/>
  <c r="H26" s="1"/>
  <c r="I25"/>
  <c r="N25"/>
  <c r="I24"/>
  <c r="G24"/>
  <c r="H24" s="1"/>
  <c r="I23"/>
  <c r="N23"/>
  <c r="L156" i="4" l="1"/>
  <c r="L150"/>
  <c r="L176"/>
  <c r="L144"/>
  <c r="I48"/>
  <c r="J48" s="1"/>
  <c r="L48" s="1"/>
  <c r="I16"/>
  <c r="I54"/>
  <c r="I55" s="1"/>
  <c r="J55" s="1"/>
  <c r="L55" s="1"/>
  <c r="I28"/>
  <c r="I61"/>
  <c r="J61" s="1"/>
  <c r="L61" s="1"/>
  <c r="I40"/>
  <c r="I34"/>
  <c r="I35" s="1"/>
  <c r="I41"/>
  <c r="J41" s="1"/>
  <c r="L41" s="1"/>
  <c r="I17"/>
  <c r="J17" s="1"/>
  <c r="I29"/>
  <c r="J29" s="1"/>
  <c r="L29" s="1"/>
  <c r="I23"/>
  <c r="J23" s="1"/>
  <c r="L23" s="1"/>
  <c r="L111" i="1"/>
  <c r="L110"/>
  <c r="L104"/>
  <c r="J78"/>
  <c r="K78" s="1"/>
  <c r="J91"/>
  <c r="K91" s="1"/>
  <c r="J26"/>
  <c r="K26" s="1"/>
  <c r="G23"/>
  <c r="H23" s="1"/>
  <c r="J23" s="1"/>
  <c r="K23" s="1"/>
  <c r="M23" s="1"/>
  <c r="G25"/>
  <c r="H25" s="1"/>
  <c r="N30"/>
  <c r="N44"/>
  <c r="N58"/>
  <c r="N70"/>
  <c r="N78"/>
  <c r="N87"/>
  <c r="N27"/>
  <c r="N33"/>
  <c r="G40"/>
  <c r="H40" s="1"/>
  <c r="N42"/>
  <c r="N48"/>
  <c r="N56"/>
  <c r="N60"/>
  <c r="N72"/>
  <c r="N74"/>
  <c r="N89"/>
  <c r="N91"/>
  <c r="N95"/>
  <c r="J58"/>
  <c r="K58" s="1"/>
  <c r="J73"/>
  <c r="K73" s="1"/>
  <c r="M73" s="1"/>
  <c r="J71"/>
  <c r="K71" s="1"/>
  <c r="M71" s="1"/>
  <c r="J70"/>
  <c r="K70" s="1"/>
  <c r="M70" s="1"/>
  <c r="J90"/>
  <c r="K90" s="1"/>
  <c r="M90" s="1"/>
  <c r="J88"/>
  <c r="K88" s="1"/>
  <c r="M88" s="1"/>
  <c r="J87"/>
  <c r="K87" s="1"/>
  <c r="M87" s="1"/>
  <c r="J86"/>
  <c r="K86" s="1"/>
  <c r="M86" s="1"/>
  <c r="J89"/>
  <c r="K89" s="1"/>
  <c r="M89" s="1"/>
  <c r="J95"/>
  <c r="K95" s="1"/>
  <c r="M95" s="1"/>
  <c r="J93"/>
  <c r="K93" s="1"/>
  <c r="M93" s="1"/>
  <c r="J96"/>
  <c r="K96" s="1"/>
  <c r="M96" s="1"/>
  <c r="N86"/>
  <c r="N88"/>
  <c r="N90"/>
  <c r="M91"/>
  <c r="N93"/>
  <c r="N96"/>
  <c r="J69"/>
  <c r="K69" s="1"/>
  <c r="M69" s="1"/>
  <c r="J72"/>
  <c r="K72" s="1"/>
  <c r="M72" s="1"/>
  <c r="J74"/>
  <c r="K74" s="1"/>
  <c r="J76"/>
  <c r="K76" s="1"/>
  <c r="M76" s="1"/>
  <c r="J79"/>
  <c r="K79" s="1"/>
  <c r="M79" s="1"/>
  <c r="N69"/>
  <c r="N71"/>
  <c r="N73"/>
  <c r="M74"/>
  <c r="N76"/>
  <c r="M78"/>
  <c r="N79"/>
  <c r="J55"/>
  <c r="K55" s="1"/>
  <c r="M55" s="1"/>
  <c r="M59"/>
  <c r="J62"/>
  <c r="K62" s="1"/>
  <c r="J56"/>
  <c r="K56" s="1"/>
  <c r="M56" s="1"/>
  <c r="J57"/>
  <c r="K57" s="1"/>
  <c r="M57" s="1"/>
  <c r="J60"/>
  <c r="K60" s="1"/>
  <c r="M60" s="1"/>
  <c r="M62"/>
  <c r="N55"/>
  <c r="N57"/>
  <c r="M58"/>
  <c r="N59"/>
  <c r="N62"/>
  <c r="J41"/>
  <c r="K41" s="1"/>
  <c r="M41" s="1"/>
  <c r="J39"/>
  <c r="K39" s="1"/>
  <c r="M39" s="1"/>
  <c r="J49"/>
  <c r="J46"/>
  <c r="K46" s="1"/>
  <c r="M46" s="1"/>
  <c r="J32"/>
  <c r="K32" s="1"/>
  <c r="J43"/>
  <c r="K43" s="1"/>
  <c r="J24"/>
  <c r="K24" s="1"/>
  <c r="J28"/>
  <c r="K28" s="1"/>
  <c r="J48"/>
  <c r="K48" s="1"/>
  <c r="M48" s="1"/>
  <c r="J42"/>
  <c r="K42" s="1"/>
  <c r="M42" s="1"/>
  <c r="J27"/>
  <c r="K27" s="1"/>
  <c r="M27" s="1"/>
  <c r="M43"/>
  <c r="M49"/>
  <c r="J40"/>
  <c r="K40" s="1"/>
  <c r="M40" s="1"/>
  <c r="J44"/>
  <c r="K44" s="1"/>
  <c r="M44" s="1"/>
  <c r="N39"/>
  <c r="N41"/>
  <c r="N43"/>
  <c r="N46"/>
  <c r="N49"/>
  <c r="M24"/>
  <c r="J25"/>
  <c r="K25" s="1"/>
  <c r="M25" s="1"/>
  <c r="M26"/>
  <c r="J30"/>
  <c r="K30" s="1"/>
  <c r="M30" s="1"/>
  <c r="M32"/>
  <c r="M28"/>
  <c r="J33"/>
  <c r="K33" s="1"/>
  <c r="M33" s="1"/>
  <c r="N24"/>
  <c r="N26"/>
  <c r="N28"/>
  <c r="N32"/>
  <c r="J235" i="4" l="1"/>
  <c r="L235" s="1"/>
  <c r="J230"/>
  <c r="L230" s="1"/>
  <c r="J232"/>
  <c r="L232" s="1"/>
  <c r="J234"/>
  <c r="L234" s="1"/>
  <c r="J233"/>
  <c r="L233" s="1"/>
  <c r="J229"/>
  <c r="L229" s="1"/>
  <c r="J35"/>
  <c r="J228"/>
  <c r="L228" s="1"/>
  <c r="L17"/>
  <c r="L35" l="1"/>
  <c r="J231"/>
  <c r="L231" s="1"/>
  <c r="F17" i="6"/>
  <c r="I17" s="1"/>
  <c r="F16"/>
  <c r="I16" s="1"/>
  <c r="F14"/>
  <c r="I14" s="1"/>
  <c r="I12"/>
  <c r="F8"/>
  <c r="I8" s="1"/>
  <c r="F9"/>
  <c r="I9" s="1"/>
  <c r="F10"/>
  <c r="I10" s="1"/>
  <c r="F11"/>
  <c r="I11" s="1"/>
  <c r="F7" l="1"/>
  <c r="F7" i="4"/>
  <c r="F8"/>
  <c r="F10"/>
  <c r="I7" i="6" l="1"/>
  <c r="I8" i="4"/>
  <c r="I10" l="1"/>
  <c r="I7"/>
  <c r="N7" i="1"/>
  <c r="N9"/>
  <c r="N11"/>
  <c r="N12"/>
  <c r="N14"/>
  <c r="G11"/>
  <c r="H11" s="1"/>
  <c r="I11"/>
  <c r="G12"/>
  <c r="H12" s="1"/>
  <c r="I12"/>
  <c r="G14"/>
  <c r="H14" s="1"/>
  <c r="I14"/>
  <c r="G16"/>
  <c r="H16" s="1"/>
  <c r="I16"/>
  <c r="G17"/>
  <c r="H17" s="1"/>
  <c r="I17"/>
  <c r="N8"/>
  <c r="I7"/>
  <c r="G7"/>
  <c r="N16" l="1"/>
  <c r="N10"/>
  <c r="N17"/>
  <c r="J17"/>
  <c r="K17" s="1"/>
  <c r="K111" s="1"/>
  <c r="J16"/>
  <c r="K16" s="1"/>
  <c r="K110" s="1"/>
  <c r="J14"/>
  <c r="K14" s="1"/>
  <c r="K109" s="1"/>
  <c r="J12"/>
  <c r="K12" s="1"/>
  <c r="K108" s="1"/>
  <c r="J11"/>
  <c r="K11" s="1"/>
  <c r="K107" s="1"/>
  <c r="M16" l="1"/>
  <c r="M110"/>
  <c r="M17"/>
  <c r="M111"/>
  <c r="M14"/>
  <c r="M109"/>
  <c r="M12"/>
  <c r="M108"/>
  <c r="M11"/>
  <c r="M107"/>
  <c r="G10"/>
  <c r="H10" s="1"/>
  <c r="I10"/>
  <c r="I9"/>
  <c r="G9"/>
  <c r="H9" s="1"/>
  <c r="I8"/>
  <c r="G8"/>
  <c r="H8" s="1"/>
  <c r="J10" l="1"/>
  <c r="K10" s="1"/>
  <c r="K106" s="1"/>
  <c r="J8"/>
  <c r="J9"/>
  <c r="K9" s="1"/>
  <c r="K105" s="1"/>
  <c r="K104" l="1"/>
  <c r="M104" s="1"/>
  <c r="K8"/>
  <c r="M9"/>
  <c r="M105"/>
  <c r="M10"/>
  <c r="M106"/>
  <c r="M8"/>
  <c r="F8" i="5"/>
  <c r="F9"/>
  <c r="H9" s="1"/>
  <c r="I9" s="1"/>
  <c r="H8" l="1"/>
  <c r="I8" s="1"/>
  <c r="F7"/>
  <c r="H7" s="1"/>
  <c r="I7" s="1"/>
  <c r="F6" i="4"/>
  <c r="I6" s="1"/>
  <c r="I11" s="1"/>
  <c r="J11" s="1"/>
  <c r="L11" l="1"/>
  <c r="J227"/>
  <c r="L227" s="1"/>
  <c r="H10" i="5"/>
  <c r="I10" s="1"/>
  <c r="I132" s="1"/>
  <c r="K132" l="1"/>
  <c r="K141" s="1"/>
  <c r="I141"/>
  <c r="H7" i="1"/>
  <c r="J7" l="1"/>
  <c r="M7" l="1"/>
  <c r="K103"/>
  <c r="M103" s="1"/>
  <c r="K101"/>
</calcChain>
</file>

<file path=xl/sharedStrings.xml><?xml version="1.0" encoding="utf-8"?>
<sst xmlns="http://schemas.openxmlformats.org/spreadsheetml/2006/main" count="931" uniqueCount="66">
  <si>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</si>
  <si>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</si>
  <si>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</si>
  <si>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</si>
  <si>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</si>
  <si>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</si>
  <si>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</si>
  <si>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</si>
  <si>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</si>
  <si>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</si>
  <si>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</si>
  <si>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</si>
  <si>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</si>
  <si>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</si>
  <si>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</si>
  <si>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</si>
  <si>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</si>
  <si>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</si>
  <si>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</si>
  <si>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</si>
  <si>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</si>
  <si>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</si>
  <si>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</si>
  <si>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</si>
  <si>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</si>
  <si>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</si>
  <si>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</si>
  <si>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</si>
  <si>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Категория работников по штатному расписанию</t>
  </si>
  <si>
    <t>Канцелярия</t>
  </si>
  <si>
    <t>услуги ИНТЕРНЕТ</t>
  </si>
  <si>
    <t>Продукты питания</t>
  </si>
  <si>
    <t>краевой бюджет</t>
  </si>
  <si>
    <t xml:space="preserve">Иные затраты, непосредственно связанные с оказанием услуги 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</si>
  <si>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</si>
  <si>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</si>
  <si>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Школа № 1</t>
  </si>
  <si>
    <t>Школа № 2</t>
  </si>
  <si>
    <t>Школа № 3</t>
  </si>
  <si>
    <t>Школа № 4</t>
  </si>
  <si>
    <t>Школа № 7</t>
  </si>
  <si>
    <t>Школа № 8</t>
  </si>
  <si>
    <t>Школа № 9</t>
  </si>
  <si>
    <t>Школа № 14</t>
  </si>
  <si>
    <t>Школа № 11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</si>
  <si>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</si>
  <si>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</si>
  <si>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по норме</t>
  </si>
  <si>
    <t>в бюджете</t>
  </si>
  <si>
    <t>педаг. + админ.+ уч.вспом. персонал</t>
  </si>
  <si>
    <t>УСЛУГА "Реализация дополнительных общеобразовательных общеразвивающих программ"</t>
  </si>
  <si>
    <t>УСЛУГА "Предоставление питания"</t>
  </si>
  <si>
    <t>социальный педагог</t>
  </si>
  <si>
    <t>Воспитатель групп продленного дня</t>
  </si>
  <si>
    <t>пед. доп.обр. + инстр.по физ.воспит.</t>
  </si>
  <si>
    <t>Материалы и предметы инвентаря для учебных и лабораторных целей</t>
  </si>
  <si>
    <t>Медикаменты</t>
  </si>
  <si>
    <t>Спец.одежда</t>
  </si>
  <si>
    <t>Показатель объема, учащ.</t>
  </si>
  <si>
    <t>Норма на 1 учащегося, шт.</t>
  </si>
  <si>
    <r>
      <t>Затраты на приобретение материальных запасов и особо ценного движимого имущества, потребляемых в процессе оказания услуги  (</t>
    </r>
    <r>
      <rPr>
        <b/>
        <i/>
        <u/>
        <sz val="14"/>
        <color theme="1"/>
        <rFont val="Times New Roman"/>
        <family val="1"/>
        <charset val="204"/>
      </rPr>
      <t>краевой бюджет)</t>
    </r>
  </si>
  <si>
    <t>Свидетельства, медали, подарки</t>
  </si>
  <si>
    <t>в бюдж.</t>
  </si>
  <si>
    <t>обеспечение питанием</t>
  </si>
  <si>
    <t>Затраты на приобретение материальных запасов и особо ценного движимого имущества, потребляемых в процессе оказания услуги (пришкольный лагерь)</t>
  </si>
  <si>
    <t>УСЛУГА "Организация отдыха детей и молодежи"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</si>
</sst>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6" xfId="0" applyNumberFormat="1" applyFont="1" applyBorder="1"/>
    <xf numFmtId="0" fontId="0" fillId="0" borderId="7" xfId="0" applyBorder="1"/>
    <xf numFmtId="2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0" fontId="7" fillId="0" borderId="0" xfId="0" applyFont="1"/>
    <xf numFmtId="0" fontId="1" fillId="0" borderId="14" xfId="0" applyFont="1" applyBorder="1"/>
    <xf numFmtId="2" fontId="0" fillId="0" borderId="14" xfId="0" applyNumberFormat="1" applyBorder="1"/>
    <xf numFmtId="2" fontId="1" fillId="0" borderId="14" xfId="0" applyNumberFormat="1" applyFont="1" applyBorder="1"/>
    <xf numFmtId="164" fontId="1" fillId="0" borderId="0" xfId="0" applyNumberFormat="1" applyFont="1"/>
    <xf numFmtId="0" fontId="4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1" fillId="0" borderId="10" xfId="0" applyNumberFormat="1" applyFont="1" applyBorder="1"/>
    <xf numFmtId="1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1" fillId="0" borderId="0" xfId="0" applyNumberFormat="1" applyFont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2" fillId="0" borderId="0" xfId="0" applyNumberFormat="1" applyFont="1" applyBorder="1"/>
    <xf numFmtId="2" fontId="2" fillId="2" borderId="11" xfId="0" applyNumberFormat="1" applyFont="1" applyFill="1" applyBorder="1"/>
    <xf numFmtId="2" fontId="1" fillId="0" borderId="5" xfId="0" applyNumberFormat="1" applyFont="1" applyBorder="1"/>
    <xf numFmtId="2" fontId="2" fillId="0" borderId="6" xfId="0" applyNumberFormat="1" applyFont="1" applyBorder="1"/>
    <xf numFmtId="2" fontId="2" fillId="0" borderId="8" xfId="0" applyNumberFormat="1" applyFon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0" fontId="0" fillId="0" borderId="17" xfId="0" applyBorder="1"/>
    <xf numFmtId="2" fontId="1" fillId="0" borderId="15" xfId="0" applyNumberFormat="1" applyFont="1" applyBorder="1"/>
    <xf numFmtId="164" fontId="1" fillId="0" borderId="14" xfId="0" applyNumberFormat="1" applyFont="1" applyBorder="1"/>
    <xf numFmtId="1" fontId="0" fillId="0" borderId="14" xfId="0" applyNumberFormat="1" applyBorder="1" applyAlignment="1">
      <alignment horizontal="center"/>
    </xf>
    <xf numFmtId="0" fontId="8" fillId="0" borderId="0" xfId="0" applyFont="1"/>
    <xf numFmtId="0" fontId="0" fillId="0" borderId="18" xfId="0" applyBorder="1"/>
    <xf numFmtId="0" fontId="1" fillId="0" borderId="19" xfId="0" applyFont="1" applyBorder="1"/>
    <xf numFmtId="164" fontId="1" fillId="0" borderId="19" xfId="0" applyNumberFormat="1" applyFont="1" applyBorder="1"/>
    <xf numFmtId="1" fontId="0" fillId="0" borderId="19" xfId="0" applyNumberFormat="1" applyBorder="1" applyAlignment="1">
      <alignment horizontal="center"/>
    </xf>
    <xf numFmtId="2" fontId="0" fillId="0" borderId="19" xfId="0" applyNumberFormat="1" applyBorder="1"/>
    <xf numFmtId="0" fontId="1" fillId="0" borderId="12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/>
    <xf numFmtId="2" fontId="2" fillId="0" borderId="15" xfId="0" applyNumberFormat="1" applyFont="1" applyBorder="1"/>
    <xf numFmtId="2" fontId="1" fillId="0" borderId="19" xfId="0" applyNumberFormat="1" applyFont="1" applyBorder="1"/>
    <xf numFmtId="2" fontId="2" fillId="0" borderId="20" xfId="0" applyNumberFormat="1" applyFont="1" applyBorder="1"/>
    <xf numFmtId="0" fontId="9" fillId="0" borderId="0" xfId="0" applyFont="1" applyAlignment="1"/>
    <xf numFmtId="2" fontId="1" fillId="0" borderId="0" xfId="0" applyNumberFormat="1" applyFont="1" applyBorder="1"/>
    <xf numFmtId="0" fontId="10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2" fontId="1" fillId="0" borderId="11" xfId="0" applyNumberFormat="1" applyFont="1" applyBorder="1"/>
    <xf numFmtId="2" fontId="1" fillId="0" borderId="20" xfId="0" applyNumberFormat="1" applyFont="1" applyBorder="1"/>
    <xf numFmtId="165" fontId="1" fillId="0" borderId="0" xfId="0" applyNumberFormat="1" applyFont="1"/>
    <xf numFmtId="165" fontId="1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2" fontId="2" fillId="3" borderId="11" xfId="0" applyNumberFormat="1" applyFont="1" applyFill="1" applyBorder="1"/>
    <xf numFmtId="0" fontId="0" fillId="0" borderId="14" xfId="0" applyBorder="1"/>
    <xf numFmtId="0" fontId="13" fillId="0" borderId="0" xfId="0" applyFont="1"/>
    <xf numFmtId="0" fontId="14" fillId="0" borderId="0" xfId="0" applyFont="1"/>
    <xf numFmtId="0" fontId="12" fillId="0" borderId="0" xfId="0" applyFont="1"/>
    <xf numFmtId="0" fontId="15" fillId="0" borderId="0" xfId="0" applyFont="1"/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2" fillId="0" borderId="4" xfId="0" applyFont="1" applyBorder="1"/>
    <xf numFmtId="0" fontId="14" fillId="0" borderId="5" xfId="0" applyFont="1" applyBorder="1"/>
    <xf numFmtId="164" fontId="14" fillId="0" borderId="5" xfId="0" applyNumberFormat="1" applyFont="1" applyBorder="1"/>
    <xf numFmtId="1" fontId="12" fillId="0" borderId="5" xfId="0" applyNumberFormat="1" applyFont="1" applyBorder="1" applyAlignment="1">
      <alignment horizontal="center"/>
    </xf>
    <xf numFmtId="2" fontId="12" fillId="0" borderId="5" xfId="0" applyNumberFormat="1" applyFont="1" applyBorder="1"/>
    <xf numFmtId="2" fontId="18" fillId="0" borderId="6" xfId="0" applyNumberFormat="1" applyFont="1" applyBorder="1"/>
    <xf numFmtId="0" fontId="12" fillId="0" borderId="7" xfId="0" applyFont="1" applyBorder="1"/>
    <xf numFmtId="0" fontId="14" fillId="0" borderId="1" xfId="0" applyFont="1" applyBorder="1"/>
    <xf numFmtId="0" fontId="14" fillId="0" borderId="2" xfId="0" applyFont="1" applyBorder="1"/>
    <xf numFmtId="164" fontId="14" fillId="0" borderId="1" xfId="0" applyNumberFormat="1" applyFont="1" applyBorder="1"/>
    <xf numFmtId="1" fontId="12" fillId="0" borderId="1" xfId="0" applyNumberFormat="1" applyFont="1" applyBorder="1" applyAlignment="1">
      <alignment horizontal="center"/>
    </xf>
    <xf numFmtId="2" fontId="12" fillId="0" borderId="2" xfId="0" applyNumberFormat="1" applyFont="1" applyBorder="1"/>
    <xf numFmtId="2" fontId="18" fillId="0" borderId="8" xfId="0" applyNumberFormat="1" applyFont="1" applyBorder="1"/>
    <xf numFmtId="0" fontId="12" fillId="0" borderId="9" xfId="0" applyFont="1" applyBorder="1"/>
    <xf numFmtId="0" fontId="14" fillId="0" borderId="10" xfId="0" applyFont="1" applyBorder="1"/>
    <xf numFmtId="164" fontId="14" fillId="0" borderId="10" xfId="0" applyNumberFormat="1" applyFont="1" applyBorder="1"/>
    <xf numFmtId="1" fontId="12" fillId="0" borderId="10" xfId="0" applyNumberFormat="1" applyFont="1" applyBorder="1" applyAlignment="1">
      <alignment horizontal="center"/>
    </xf>
    <xf numFmtId="2" fontId="12" fillId="0" borderId="10" xfId="0" applyNumberFormat="1" applyFont="1" applyBorder="1"/>
    <xf numFmtId="2" fontId="18" fillId="0" borderId="11" xfId="0" applyNumberFormat="1" applyFont="1" applyBorder="1"/>
    <xf numFmtId="0" fontId="12" fillId="0" borderId="18" xfId="0" applyFont="1" applyBorder="1"/>
    <xf numFmtId="0" fontId="14" fillId="0" borderId="19" xfId="0" applyFont="1" applyBorder="1"/>
    <xf numFmtId="164" fontId="14" fillId="0" borderId="19" xfId="0" applyNumberFormat="1" applyFont="1" applyBorder="1"/>
    <xf numFmtId="1" fontId="12" fillId="0" borderId="19" xfId="0" applyNumberFormat="1" applyFont="1" applyBorder="1" applyAlignment="1">
      <alignment horizontal="center"/>
    </xf>
    <xf numFmtId="2" fontId="12" fillId="0" borderId="19" xfId="0" applyNumberFormat="1" applyFont="1" applyBorder="1"/>
    <xf numFmtId="2" fontId="18" fillId="0" borderId="20" xfId="0" applyNumberFormat="1" applyFont="1" applyBorder="1"/>
    <xf numFmtId="0" fontId="12" fillId="0" borderId="17" xfId="0" applyFont="1" applyBorder="1"/>
    <xf numFmtId="0" fontId="14" fillId="0" borderId="12" xfId="0" applyFont="1" applyBorder="1"/>
    <xf numFmtId="2" fontId="12" fillId="0" borderId="12" xfId="0" applyNumberFormat="1" applyFont="1" applyBorder="1"/>
    <xf numFmtId="0" fontId="9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1"/>
  <sheetViews>
    <sheetView topLeftCell="A91" zoomScale="90" zoomScaleNormal="90" workbookViewId="0">
      <selection activeCell="A95" sqref="A95:A96"/>
    </sheetView>
  </sheetViews>
  <sheetFormatPr defaultRowHeight="15" outlineLevelRow="1"/>
  <cols>
    <col min="1" max="1" width="13" customWidth="1"/>
    <col min="2" max="2" width="35.5703125" style="1" customWidth="1"/>
    <col min="3" max="3" width="7.85546875" style="1" customWidth="1"/>
    <col min="4" max="4" width="10.28515625" style="1" customWidth="1"/>
    <col min="5" max="5" width="5.85546875" style="1" customWidth="1"/>
    <col min="6" max="6" width="8.85546875" style="1" customWidth="1"/>
    <col min="7" max="7" width="12.5703125" customWidth="1"/>
    <col min="8" max="8" width="10.42578125" customWidth="1"/>
    <col min="9" max="9" width="7.85546875" style="1" customWidth="1"/>
    <col min="10" max="10" width="10.85546875" style="1" customWidth="1"/>
    <col min="11" max="11" width="12" style="1" customWidth="1"/>
    <col min="12" max="12" width="11.85546875" style="1" customWidth="1"/>
    <col min="13" max="13" width="6" style="1" customWidth="1"/>
    <col min="14" max="14" width="11.42578125" style="1" bestFit="1" customWidth="1"/>
    <col min="15" max="20" width="9.140625" style="1"/>
  </cols>
  <sheetData>
    <row r="1" spans="1:14" ht="19.5">
      <c r="A1" s="71" t="s">
        <v>0</v>
      </c>
      <c r="B1" s="67"/>
      <c r="C1" s="67"/>
      <c r="D1" s="67"/>
      <c r="E1" s="67"/>
      <c r="F1" s="67"/>
      <c r="G1" s="67"/>
      <c r="H1" s="67"/>
      <c r="I1" s="67"/>
      <c r="J1" s="67"/>
    </row>
    <row r="2" spans="1:14" ht="18.75">
      <c r="A2" s="67"/>
      <c r="B2" s="67"/>
      <c r="C2" s="67"/>
      <c r="D2" s="67"/>
      <c r="E2" s="67"/>
      <c r="F2" s="67"/>
      <c r="G2" s="67"/>
      <c r="H2" s="67"/>
      <c r="I2" s="67"/>
      <c r="J2" s="67"/>
    </row>
    <row r="3" spans="1:14" ht="18.75">
      <c r="A3" s="33" t="s">
        <v>35</v>
      </c>
    </row>
    <row r="4" spans="1:14">
      <c r="I4" s="58" t="s">
        <v>32</v>
      </c>
    </row>
    <row r="5" spans="1:14" ht="127.5" customHeight="1">
      <c r="A5" s="4" t="s">
        <v>3</v>
      </c>
      <c r="B5" s="4" t="s">
        <v>28</v>
      </c>
      <c r="C5" s="4" t="s">
        <v>1</v>
      </c>
      <c r="D5" s="4" t="s">
        <v>12</v>
      </c>
      <c r="E5" s="4" t="s">
        <v>58</v>
      </c>
      <c r="F5" s="4" t="s">
        <v>2</v>
      </c>
      <c r="G5" s="4" t="s">
        <v>4</v>
      </c>
      <c r="H5" s="4" t="s">
        <v>6</v>
      </c>
      <c r="I5" s="4" t="s">
        <v>8</v>
      </c>
      <c r="J5" s="4" t="s">
        <v>10</v>
      </c>
      <c r="K5" s="2" t="s">
        <v>47</v>
      </c>
      <c r="L5" s="2" t="s">
        <v>48</v>
      </c>
      <c r="M5" s="2"/>
    </row>
    <row r="6" spans="1:14" ht="15.75" thickBot="1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 t="s">
        <v>5</v>
      </c>
      <c r="H6" s="8" t="s">
        <v>7</v>
      </c>
      <c r="I6" s="9" t="s">
        <v>9</v>
      </c>
      <c r="J6" s="9" t="s">
        <v>11</v>
      </c>
    </row>
    <row r="7" spans="1:14" ht="17.25" customHeight="1">
      <c r="A7" s="11" t="s">
        <v>36</v>
      </c>
      <c r="B7" s="64" t="s">
        <v>49</v>
      </c>
      <c r="C7" s="49">
        <f>38.03+10.75-1-1+4+3</f>
        <v>53.78</v>
      </c>
      <c r="D7" s="49">
        <v>8554.2948500000002</v>
      </c>
      <c r="E7" s="12">
        <v>182</v>
      </c>
      <c r="F7" s="12">
        <v>1974</v>
      </c>
      <c r="G7" s="13">
        <f>C7*F7</f>
        <v>106161.72</v>
      </c>
      <c r="H7" s="13">
        <f>G7/E7</f>
        <v>583.30615384615385</v>
      </c>
      <c r="I7" s="49">
        <f>D7*12*1.302/1974</f>
        <v>67.706333706382992</v>
      </c>
      <c r="J7" s="50">
        <f>I7*H7</f>
        <v>39493.521105294472</v>
      </c>
      <c r="K7" s="3">
        <f>J7*E7</f>
        <v>7187820.8411635943</v>
      </c>
      <c r="L7" s="3">
        <f>(18539332.83-253549.4-316231.32)*0.4</f>
        <v>7187820.8440000005</v>
      </c>
      <c r="M7" s="3">
        <f>L7-K7</f>
        <v>2.8364062309265137E-3</v>
      </c>
      <c r="N7" s="37">
        <f>L7/12/1.302/C7</f>
        <v>8554.2948533756353</v>
      </c>
    </row>
    <row r="8" spans="1:14">
      <c r="A8" s="15" t="s">
        <v>37</v>
      </c>
      <c r="B8" s="5" t="s">
        <v>49</v>
      </c>
      <c r="C8" s="7">
        <f>40.4+10.25-1-1-0.22-1.03-2+4.5+3.5</f>
        <v>53.4</v>
      </c>
      <c r="D8" s="7">
        <v>11411.76806</v>
      </c>
      <c r="E8" s="5">
        <v>294</v>
      </c>
      <c r="F8" s="5">
        <v>1974</v>
      </c>
      <c r="G8" s="6">
        <f>C8*F8</f>
        <v>105411.59999999999</v>
      </c>
      <c r="H8" s="6">
        <f>G8/E8</f>
        <v>358.54285714285709</v>
      </c>
      <c r="I8" s="7">
        <f>D8*12*1.302/1974</f>
        <v>90.322930177021277</v>
      </c>
      <c r="J8" s="51">
        <f>I8*H8</f>
        <v>32384.641451183994</v>
      </c>
      <c r="K8" s="3">
        <f>J8*E8</f>
        <v>9521084.5866480935</v>
      </c>
      <c r="L8" s="3">
        <f>(19097290.03-895871.18-253549.4-316231.32)*0.54</f>
        <v>9521084.5902000014</v>
      </c>
      <c r="M8" s="3">
        <f t="shared" ref="M8:M17" si="0">L8-K8</f>
        <v>3.5519078373908997E-3</v>
      </c>
      <c r="N8" s="37">
        <f t="shared" ref="N8:N17" si="1">L8/12/1.302/C8</f>
        <v>11411.768064257238</v>
      </c>
    </row>
    <row r="9" spans="1:14">
      <c r="A9" s="15" t="s">
        <v>38</v>
      </c>
      <c r="B9" s="5" t="s">
        <v>49</v>
      </c>
      <c r="C9" s="7">
        <f>36.64+12.75-1-2.75-2-1+4+3.75</f>
        <v>50.39</v>
      </c>
      <c r="D9" s="7">
        <v>7617.6434200000003</v>
      </c>
      <c r="E9" s="5">
        <v>163</v>
      </c>
      <c r="F9" s="5">
        <v>1974</v>
      </c>
      <c r="G9" s="6">
        <f t="shared" ref="G9:G10" si="2">C9*F9</f>
        <v>99469.86</v>
      </c>
      <c r="H9" s="6">
        <f t="shared" ref="H9:H10" si="3">G9/E9</f>
        <v>610.24453987730067</v>
      </c>
      <c r="I9" s="7">
        <f t="shared" ref="I9:I10" si="4">D9*12*1.302/1974</f>
        <v>60.292837281702134</v>
      </c>
      <c r="J9" s="51">
        <f t="shared" ref="J9:J10" si="5">I9*H9</f>
        <v>36793.374744869281</v>
      </c>
      <c r="K9" s="3">
        <f t="shared" ref="K9:K17" si="6">J9*E9</f>
        <v>5997320.0834136931</v>
      </c>
      <c r="L9" s="3">
        <f>(16158464.43-1309350.18-253549.4-316231.32)*0.42</f>
        <v>5997320.0825999994</v>
      </c>
      <c r="M9" s="3">
        <f t="shared" si="0"/>
        <v>-8.1369373947381973E-4</v>
      </c>
      <c r="N9" s="37">
        <f t="shared" si="1"/>
        <v>7617.6434189664687</v>
      </c>
    </row>
    <row r="10" spans="1:14">
      <c r="A10" s="15" t="s">
        <v>40</v>
      </c>
      <c r="B10" s="5" t="s">
        <v>49</v>
      </c>
      <c r="C10" s="7">
        <f>56.69+15-3.75-1-2-1+5.5+5.5</f>
        <v>74.94</v>
      </c>
      <c r="D10" s="7">
        <v>10305.8851</v>
      </c>
      <c r="E10" s="5">
        <v>335</v>
      </c>
      <c r="F10" s="5">
        <v>1974</v>
      </c>
      <c r="G10" s="6">
        <f t="shared" si="2"/>
        <v>147931.56</v>
      </c>
      <c r="H10" s="6">
        <f t="shared" si="3"/>
        <v>441.58674626865673</v>
      </c>
      <c r="I10" s="7">
        <f t="shared" si="4"/>
        <v>81.569984195744667</v>
      </c>
      <c r="J10" s="51">
        <f t="shared" si="5"/>
        <v>36020.223914184637</v>
      </c>
      <c r="K10" s="3">
        <f t="shared" si="6"/>
        <v>12066775.011251854</v>
      </c>
      <c r="L10" s="3">
        <f>(29579272.24-1585002.85-253549.4-316231.32)*0.44</f>
        <v>12066775.014799999</v>
      </c>
      <c r="M10" s="3">
        <f t="shared" si="0"/>
        <v>3.5481452941894531E-3</v>
      </c>
      <c r="N10" s="37">
        <f t="shared" si="1"/>
        <v>10305.885103030369</v>
      </c>
    </row>
    <row r="11" spans="1:14">
      <c r="A11" s="15" t="s">
        <v>42</v>
      </c>
      <c r="B11" s="5" t="s">
        <v>49</v>
      </c>
      <c r="C11" s="7">
        <f>65.93+15.03-1.5-1+7+6</f>
        <v>91.460000000000008</v>
      </c>
      <c r="D11" s="7">
        <v>10023.535320000001</v>
      </c>
      <c r="E11" s="5">
        <v>390</v>
      </c>
      <c r="F11" s="5">
        <v>1974</v>
      </c>
      <c r="G11" s="6">
        <f t="shared" ref="G11:G17" si="7">C11*F11</f>
        <v>180542.04</v>
      </c>
      <c r="H11" s="6">
        <f t="shared" ref="H11:H17" si="8">G11/E11</f>
        <v>462.92830769230773</v>
      </c>
      <c r="I11" s="7">
        <f t="shared" ref="I11:I17" si="9">D11*12*1.302/1974</f>
        <v>79.335215724255335</v>
      </c>
      <c r="J11" s="51">
        <f t="shared" ref="J11:J17" si="10">I11*H11</f>
        <v>36726.517155633686</v>
      </c>
      <c r="K11" s="3">
        <f t="shared" si="6"/>
        <v>14323341.690697137</v>
      </c>
      <c r="L11" s="3">
        <f>(31834254.76-380324.1-316231.32)*0.46</f>
        <v>14323341.6964</v>
      </c>
      <c r="M11" s="3">
        <f t="shared" si="0"/>
        <v>5.7028625160455704E-3</v>
      </c>
      <c r="N11" s="37">
        <f t="shared" si="1"/>
        <v>10023.535323990891</v>
      </c>
    </row>
    <row r="12" spans="1:14" ht="15.75" thickBot="1">
      <c r="A12" s="17" t="s">
        <v>43</v>
      </c>
      <c r="B12" s="18" t="s">
        <v>49</v>
      </c>
      <c r="C12" s="52">
        <f>40.75+13.94-5.13-1.87-1-1-1+4+5</f>
        <v>53.69</v>
      </c>
      <c r="D12" s="52">
        <v>10424.2996</v>
      </c>
      <c r="E12" s="18">
        <v>265</v>
      </c>
      <c r="F12" s="18">
        <v>1974</v>
      </c>
      <c r="G12" s="19">
        <f t="shared" si="7"/>
        <v>105984.06</v>
      </c>
      <c r="H12" s="19">
        <f t="shared" si="8"/>
        <v>399.93984905660375</v>
      </c>
      <c r="I12" s="52">
        <f t="shared" si="9"/>
        <v>82.50722236595746</v>
      </c>
      <c r="J12" s="53">
        <f t="shared" si="10"/>
        <v>32997.926059120669</v>
      </c>
      <c r="K12" s="3">
        <f t="shared" si="6"/>
        <v>8744450.4056669772</v>
      </c>
      <c r="L12" s="3">
        <f>(20992607.1-2205221.36-253549.4-316231.32)*0.48</f>
        <v>8744450.4096000008</v>
      </c>
      <c r="M12" s="3">
        <f t="shared" si="0"/>
        <v>3.9330236613750458E-3</v>
      </c>
      <c r="N12" s="37">
        <f t="shared" si="1"/>
        <v>10424.299604688576</v>
      </c>
    </row>
    <row r="13" spans="1:14" ht="15.75" thickBot="1">
      <c r="A13" s="54"/>
      <c r="B13" s="34"/>
      <c r="C13" s="36"/>
      <c r="D13" s="36"/>
      <c r="E13" s="34"/>
      <c r="F13" s="34"/>
      <c r="G13" s="35"/>
      <c r="H13" s="35"/>
      <c r="I13" s="36"/>
      <c r="J13" s="68"/>
      <c r="K13" s="3"/>
      <c r="L13" s="3"/>
      <c r="M13" s="3"/>
      <c r="N13" s="37"/>
    </row>
    <row r="14" spans="1:14" ht="15.75" thickBot="1">
      <c r="A14" s="59" t="s">
        <v>41</v>
      </c>
      <c r="B14" s="60" t="s">
        <v>49</v>
      </c>
      <c r="C14" s="69">
        <f>71.49+15-1-1-4.25-2+6+6</f>
        <v>90.24</v>
      </c>
      <c r="D14" s="69">
        <v>8986.8515800000005</v>
      </c>
      <c r="E14" s="60">
        <v>354</v>
      </c>
      <c r="F14" s="60">
        <v>1974</v>
      </c>
      <c r="G14" s="63">
        <f t="shared" si="7"/>
        <v>178133.75999999998</v>
      </c>
      <c r="H14" s="63">
        <f t="shared" si="8"/>
        <v>503.20271186440675</v>
      </c>
      <c r="I14" s="69">
        <f t="shared" si="9"/>
        <v>71.129974207659572</v>
      </c>
      <c r="J14" s="70">
        <f t="shared" si="10"/>
        <v>35792.795916139607</v>
      </c>
      <c r="K14" s="3">
        <f t="shared" si="6"/>
        <v>12670649.754313421</v>
      </c>
      <c r="L14" s="3">
        <f>(34781455.44-1722829.19-253549.4-316231.32)*0.39</f>
        <v>12670649.7567</v>
      </c>
      <c r="M14" s="3">
        <f t="shared" si="0"/>
        <v>2.3865792900323868E-3</v>
      </c>
      <c r="N14" s="37">
        <f t="shared" si="1"/>
        <v>8986.8515816927174</v>
      </c>
    </row>
    <row r="15" spans="1:14" ht="15.75" thickBot="1">
      <c r="A15" s="54"/>
      <c r="B15" s="34"/>
      <c r="C15" s="36"/>
      <c r="D15" s="36"/>
      <c r="E15" s="34"/>
      <c r="F15" s="34"/>
      <c r="G15" s="35"/>
      <c r="H15" s="35"/>
      <c r="I15" s="36"/>
      <c r="J15" s="68"/>
      <c r="K15" s="3"/>
      <c r="L15" s="3"/>
      <c r="M15" s="3"/>
      <c r="N15" s="37"/>
    </row>
    <row r="16" spans="1:14">
      <c r="A16" s="11" t="s">
        <v>39</v>
      </c>
      <c r="B16" s="12" t="s">
        <v>49</v>
      </c>
      <c r="C16" s="49">
        <f>19.22+5.5-0.5-0.5+2+2</f>
        <v>27.72</v>
      </c>
      <c r="D16" s="49">
        <v>8717.1944000000003</v>
      </c>
      <c r="E16" s="12">
        <v>93</v>
      </c>
      <c r="F16" s="12">
        <v>1974</v>
      </c>
      <c r="G16" s="13">
        <f t="shared" si="7"/>
        <v>54719.28</v>
      </c>
      <c r="H16" s="13">
        <f t="shared" si="8"/>
        <v>588.37935483870967</v>
      </c>
      <c r="I16" s="49">
        <f t="shared" si="9"/>
        <v>68.995666314893626</v>
      </c>
      <c r="J16" s="50">
        <f t="shared" si="10"/>
        <v>40595.625633024007</v>
      </c>
      <c r="K16" s="3">
        <f t="shared" si="6"/>
        <v>3775393.1838712324</v>
      </c>
      <c r="L16" s="3">
        <f>(9493166.42-126774.7-158115.66)*0.41</f>
        <v>3775393.1845999998</v>
      </c>
      <c r="M16" s="3">
        <f t="shared" si="0"/>
        <v>7.2876736521720886E-4</v>
      </c>
      <c r="N16" s="37">
        <f t="shared" si="1"/>
        <v>8717.1944016826874</v>
      </c>
    </row>
    <row r="17" spans="1:14" ht="15.75" thickBot="1">
      <c r="A17" s="17" t="s">
        <v>44</v>
      </c>
      <c r="B17" s="18" t="s">
        <v>49</v>
      </c>
      <c r="C17" s="52">
        <f>16.58+4-1.5+2.5+2.5</f>
        <v>24.08</v>
      </c>
      <c r="D17" s="52">
        <v>11096.67871</v>
      </c>
      <c r="E17" s="18">
        <v>106</v>
      </c>
      <c r="F17" s="18">
        <v>1974</v>
      </c>
      <c r="G17" s="19">
        <f t="shared" si="7"/>
        <v>47533.919999999998</v>
      </c>
      <c r="H17" s="19">
        <f t="shared" si="8"/>
        <v>448.43320754716979</v>
      </c>
      <c r="I17" s="52">
        <f t="shared" si="9"/>
        <v>87.82903149191489</v>
      </c>
      <c r="J17" s="53">
        <f t="shared" si="10"/>
        <v>39385.454307680782</v>
      </c>
      <c r="K17" s="3">
        <f t="shared" si="6"/>
        <v>4174858.156614163</v>
      </c>
      <c r="L17" s="3">
        <f>(8297238.44-253549.4-15115.66)*0.52</f>
        <v>4174858.1576</v>
      </c>
      <c r="M17" s="3">
        <f t="shared" si="0"/>
        <v>9.8583707585930824E-4</v>
      </c>
      <c r="N17" s="37">
        <f t="shared" si="1"/>
        <v>11096.678712620331</v>
      </c>
    </row>
    <row r="19" spans="1:14" ht="18.75">
      <c r="A19" s="33" t="s">
        <v>45</v>
      </c>
    </row>
    <row r="20" spans="1:14">
      <c r="I20" s="58" t="s">
        <v>32</v>
      </c>
    </row>
    <row r="21" spans="1:14" ht="127.5" customHeight="1">
      <c r="A21" s="4" t="s">
        <v>3</v>
      </c>
      <c r="B21" s="4" t="s">
        <v>28</v>
      </c>
      <c r="C21" s="4" t="s">
        <v>1</v>
      </c>
      <c r="D21" s="4" t="s">
        <v>12</v>
      </c>
      <c r="E21" s="4" t="s">
        <v>58</v>
      </c>
      <c r="F21" s="4" t="s">
        <v>2</v>
      </c>
      <c r="G21" s="4" t="s">
        <v>4</v>
      </c>
      <c r="H21" s="4" t="s">
        <v>6</v>
      </c>
      <c r="I21" s="4" t="s">
        <v>8</v>
      </c>
      <c r="J21" s="4" t="s">
        <v>10</v>
      </c>
      <c r="K21" s="2"/>
      <c r="L21" s="2"/>
      <c r="M21" s="2"/>
    </row>
    <row r="22" spans="1:14" ht="15.75" thickBot="1">
      <c r="A22" s="8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 t="s">
        <v>5</v>
      </c>
      <c r="H22" s="8" t="s">
        <v>7</v>
      </c>
      <c r="I22" s="9" t="s">
        <v>9</v>
      </c>
      <c r="J22" s="9" t="s">
        <v>11</v>
      </c>
    </row>
    <row r="23" spans="1:14" ht="17.25" customHeight="1">
      <c r="A23" s="11" t="s">
        <v>36</v>
      </c>
      <c r="B23" s="64" t="s">
        <v>49</v>
      </c>
      <c r="C23" s="49">
        <f>38.03+10.75-1-1+4+3</f>
        <v>53.78</v>
      </c>
      <c r="D23" s="49">
        <v>9837.4390800000001</v>
      </c>
      <c r="E23" s="12">
        <v>211</v>
      </c>
      <c r="F23" s="12">
        <v>1974</v>
      </c>
      <c r="G23" s="13">
        <f>C23*F23</f>
        <v>106161.72</v>
      </c>
      <c r="H23" s="13">
        <f>G23/E23</f>
        <v>503.13611374407583</v>
      </c>
      <c r="I23" s="49">
        <f>D23*12*1.302/1974</f>
        <v>77.862283782127662</v>
      </c>
      <c r="J23" s="50">
        <f>I23*H23</f>
        <v>39175.326869378092</v>
      </c>
      <c r="K23" s="3">
        <f>J23*E23</f>
        <v>8265993.9694387773</v>
      </c>
      <c r="L23" s="3">
        <f>(18539332.83-253549.4-316231.32)*0.46</f>
        <v>8265993.9705999997</v>
      </c>
      <c r="M23" s="3">
        <f>L23-K23</f>
        <v>1.1612223461270332E-3</v>
      </c>
      <c r="N23" s="37">
        <f>L23/12/1.302/C23</f>
        <v>9837.4390813819809</v>
      </c>
    </row>
    <row r="24" spans="1:14">
      <c r="A24" s="15" t="s">
        <v>37</v>
      </c>
      <c r="B24" s="5" t="s">
        <v>49</v>
      </c>
      <c r="C24" s="7">
        <f>40.4+10.25-1-1-0.22-1.03-2+4.5+3.5</f>
        <v>53.4</v>
      </c>
      <c r="D24" s="7">
        <v>8453.1615299999994</v>
      </c>
      <c r="E24" s="5">
        <v>219</v>
      </c>
      <c r="F24" s="5">
        <v>1974</v>
      </c>
      <c r="G24" s="6">
        <f>C24*F24</f>
        <v>105411.59999999999</v>
      </c>
      <c r="H24" s="6">
        <f>G24/E24</f>
        <v>481.33150684931502</v>
      </c>
      <c r="I24" s="7">
        <f>D24*12*1.302/1974</f>
        <v>66.90587423744681</v>
      </c>
      <c r="J24" s="51">
        <f>I24*H24</f>
        <v>32203.905263781038</v>
      </c>
      <c r="K24" s="3">
        <f t="shared" ref="K24:K28" si="11">J24*E24</f>
        <v>7052655.2527680472</v>
      </c>
      <c r="L24" s="3">
        <f>(19097290.03-895871.18-253549.4-316231.32)*0.4</f>
        <v>7052655.2520000013</v>
      </c>
      <c r="M24" s="3">
        <f t="shared" ref="M24:M28" si="12">L24-K24</f>
        <v>-7.6804589480161667E-4</v>
      </c>
      <c r="N24" s="37">
        <f t="shared" ref="N24:N28" si="13">L24/12/1.302/C24</f>
        <v>8453.1615290794343</v>
      </c>
    </row>
    <row r="25" spans="1:14">
      <c r="A25" s="15" t="s">
        <v>38</v>
      </c>
      <c r="B25" s="5" t="s">
        <v>49</v>
      </c>
      <c r="C25" s="7">
        <f>36.64+12.75-1-2.75-2-1+4+3.75</f>
        <v>50.39</v>
      </c>
      <c r="D25" s="7">
        <v>8887.2506599999997</v>
      </c>
      <c r="E25" s="5">
        <v>188</v>
      </c>
      <c r="F25" s="5">
        <v>1974</v>
      </c>
      <c r="G25" s="6">
        <f t="shared" ref="G25:G28" si="14">C25*F25</f>
        <v>99469.86</v>
      </c>
      <c r="H25" s="6">
        <f t="shared" ref="H25:H28" si="15">G25/E25</f>
        <v>529.09500000000003</v>
      </c>
      <c r="I25" s="7">
        <f t="shared" ref="I25:I28" si="16">D25*12*1.302/1974</f>
        <v>70.341643521702139</v>
      </c>
      <c r="J25" s="51">
        <f t="shared" ref="J25:J28" si="17">I25*H25</f>
        <v>37217.411879114996</v>
      </c>
      <c r="K25" s="3">
        <f t="shared" si="11"/>
        <v>6996873.433273619</v>
      </c>
      <c r="L25" s="3">
        <f>(16158464.43-1309350.18-253549.4-316231.32)*0.49</f>
        <v>6996873.4296999993</v>
      </c>
      <c r="M25" s="3">
        <f t="shared" si="12"/>
        <v>-3.5736197605729103E-3</v>
      </c>
      <c r="N25" s="37">
        <f t="shared" si="13"/>
        <v>8887.2506554608808</v>
      </c>
    </row>
    <row r="26" spans="1:14">
      <c r="A26" s="15" t="s">
        <v>40</v>
      </c>
      <c r="B26" s="5" t="s">
        <v>49</v>
      </c>
      <c r="C26" s="7">
        <f>56.69+15-3.75-1-2-1+5.5+5.5</f>
        <v>74.94</v>
      </c>
      <c r="D26" s="7">
        <v>11242.783750000001</v>
      </c>
      <c r="E26" s="5">
        <v>370</v>
      </c>
      <c r="F26" s="5">
        <v>1974</v>
      </c>
      <c r="G26" s="6">
        <f t="shared" si="14"/>
        <v>147931.56</v>
      </c>
      <c r="H26" s="6">
        <f t="shared" si="15"/>
        <v>399.81502702702704</v>
      </c>
      <c r="I26" s="7">
        <f t="shared" si="16"/>
        <v>88.985437340425534</v>
      </c>
      <c r="J26" s="51">
        <f t="shared" si="17"/>
        <v>35577.715035274057</v>
      </c>
      <c r="K26" s="3">
        <f t="shared" si="11"/>
        <v>13163754.563051401</v>
      </c>
      <c r="L26" s="3">
        <f>(29579272.24-1585002.85-253549.4-316231.32)*0.48</f>
        <v>13163754.561599998</v>
      </c>
      <c r="M26" s="3">
        <f t="shared" si="12"/>
        <v>-1.4514029026031494E-3</v>
      </c>
      <c r="N26" s="37">
        <f t="shared" si="13"/>
        <v>11242.783748760399</v>
      </c>
    </row>
    <row r="27" spans="1:14">
      <c r="A27" s="15" t="s">
        <v>42</v>
      </c>
      <c r="B27" s="5" t="s">
        <v>49</v>
      </c>
      <c r="C27" s="7">
        <f>65.93+15.03-1.5-1+7+6</f>
        <v>91.460000000000008</v>
      </c>
      <c r="D27" s="7">
        <v>9369.8264999999992</v>
      </c>
      <c r="E27" s="5">
        <v>370</v>
      </c>
      <c r="F27" s="5">
        <v>1974</v>
      </c>
      <c r="G27" s="6">
        <f t="shared" si="14"/>
        <v>180542.04</v>
      </c>
      <c r="H27" s="6">
        <f t="shared" si="15"/>
        <v>487.9514594594595</v>
      </c>
      <c r="I27" s="7">
        <f t="shared" si="16"/>
        <v>74.161179957446805</v>
      </c>
      <c r="J27" s="51">
        <f t="shared" si="17"/>
        <v>36187.055995471783</v>
      </c>
      <c r="K27" s="3">
        <f t="shared" si="11"/>
        <v>13389210.718324559</v>
      </c>
      <c r="L27" s="3">
        <f>(31834254.76-380324.1-316231.32)*0.43</f>
        <v>13389210.7162</v>
      </c>
      <c r="M27" s="3">
        <f t="shared" si="12"/>
        <v>-2.1245591342449188E-3</v>
      </c>
      <c r="N27" s="37">
        <f t="shared" si="13"/>
        <v>9369.8264985132228</v>
      </c>
    </row>
    <row r="28" spans="1:14" ht="15.75" thickBot="1">
      <c r="A28" s="17" t="s">
        <v>43</v>
      </c>
      <c r="B28" s="18" t="s">
        <v>49</v>
      </c>
      <c r="C28" s="52">
        <f>40.75+13.94-5.13-1.87-1-1-1+4+5</f>
        <v>53.69</v>
      </c>
      <c r="D28" s="52">
        <v>9555.6079699999991</v>
      </c>
      <c r="E28" s="18">
        <v>244</v>
      </c>
      <c r="F28" s="18">
        <v>1974</v>
      </c>
      <c r="G28" s="19">
        <f t="shared" si="14"/>
        <v>105984.06</v>
      </c>
      <c r="H28" s="19">
        <f t="shared" si="15"/>
        <v>434.36090163934426</v>
      </c>
      <c r="I28" s="52">
        <f t="shared" si="16"/>
        <v>75.631620528510638</v>
      </c>
      <c r="J28" s="53">
        <f t="shared" si="17"/>
        <v>32851.418885208623</v>
      </c>
      <c r="K28" s="3">
        <f t="shared" si="11"/>
        <v>8015746.2079909043</v>
      </c>
      <c r="L28" s="3">
        <f>(20992607.1-2205221.36-253549.4-316231.32)*0.44</f>
        <v>8015746.2088000011</v>
      </c>
      <c r="M28" s="3">
        <f t="shared" si="12"/>
        <v>8.0909673124551773E-4</v>
      </c>
      <c r="N28" s="37">
        <f t="shared" si="13"/>
        <v>9555.6079709645292</v>
      </c>
    </row>
    <row r="29" spans="1:14" ht="15.75" thickBot="1">
      <c r="A29" s="54"/>
      <c r="B29" s="34"/>
      <c r="C29" s="36"/>
      <c r="D29" s="36"/>
      <c r="E29" s="34"/>
      <c r="F29" s="34"/>
      <c r="G29" s="35"/>
      <c r="H29" s="35"/>
      <c r="I29" s="36"/>
      <c r="J29" s="68"/>
      <c r="K29" s="3"/>
      <c r="L29" s="3"/>
      <c r="M29" s="3"/>
      <c r="N29" s="37"/>
    </row>
    <row r="30" spans="1:14" ht="15.75" thickBot="1">
      <c r="A30" s="59" t="s">
        <v>41</v>
      </c>
      <c r="B30" s="60" t="s">
        <v>49</v>
      </c>
      <c r="C30" s="69">
        <f>71.49+15-1-1-4.25-2+6+6</f>
        <v>90.24</v>
      </c>
      <c r="D30" s="69">
        <v>11060.74041</v>
      </c>
      <c r="E30" s="60">
        <v>433</v>
      </c>
      <c r="F30" s="60">
        <v>1974</v>
      </c>
      <c r="G30" s="63">
        <f t="shared" ref="G30" si="18">C30*F30</f>
        <v>178133.75999999998</v>
      </c>
      <c r="H30" s="63">
        <f t="shared" ref="H30" si="19">G30/E30</f>
        <v>411.39436489607385</v>
      </c>
      <c r="I30" s="69">
        <f t="shared" ref="I30" si="20">D30*12*1.302/1974</f>
        <v>87.544583670638318</v>
      </c>
      <c r="J30" s="70">
        <f t="shared" ref="J30" si="21">I30*H30</f>
        <v>36015.348399273447</v>
      </c>
      <c r="K30" s="3">
        <f t="shared" ref="K30" si="22">J30*E30</f>
        <v>15594645.856885403</v>
      </c>
      <c r="L30" s="3">
        <f>(34781455.44-1722829.19-253549.4-316231.32)*0.48</f>
        <v>15594645.854399998</v>
      </c>
      <c r="M30" s="3">
        <f t="shared" ref="M30" si="23">L30-K30</f>
        <v>-2.4854056537151337E-3</v>
      </c>
      <c r="N30" s="37">
        <f t="shared" ref="N30" si="24">L30/12/1.302/C30</f>
        <v>11060.74040823719</v>
      </c>
    </row>
    <row r="31" spans="1:14" ht="15.75" thickBot="1">
      <c r="A31" s="54"/>
      <c r="B31" s="34"/>
      <c r="C31" s="36"/>
      <c r="D31" s="36"/>
      <c r="E31" s="34"/>
      <c r="F31" s="34"/>
      <c r="G31" s="35"/>
      <c r="H31" s="35"/>
      <c r="I31" s="36"/>
      <c r="J31" s="68"/>
      <c r="K31" s="3"/>
      <c r="L31" s="3"/>
      <c r="M31" s="3"/>
      <c r="N31" s="37"/>
    </row>
    <row r="32" spans="1:14">
      <c r="A32" s="11" t="s">
        <v>39</v>
      </c>
      <c r="B32" s="12" t="s">
        <v>49</v>
      </c>
      <c r="C32" s="49">
        <f>19.22+5.5-0.5-0.5+2+2</f>
        <v>27.72</v>
      </c>
      <c r="D32" s="49">
        <v>9567.6523899999993</v>
      </c>
      <c r="E32" s="12">
        <v>103</v>
      </c>
      <c r="F32" s="12">
        <v>1974</v>
      </c>
      <c r="G32" s="13">
        <f t="shared" ref="G32:G33" si="25">C32*F32</f>
        <v>54719.28</v>
      </c>
      <c r="H32" s="13">
        <f t="shared" ref="H32:H33" si="26">G32/E32</f>
        <v>531.25514563106799</v>
      </c>
      <c r="I32" s="49">
        <f t="shared" ref="I32:I33" si="27">D32*12*1.302/1974</f>
        <v>75.726950831489361</v>
      </c>
      <c r="J32" s="50">
        <f t="shared" ref="J32:J33" si="28">I32*H32</f>
        <v>40230.332292179606</v>
      </c>
      <c r="K32" s="3">
        <f t="shared" ref="K32:K33" si="29">J32*E32</f>
        <v>4143724.2260944992</v>
      </c>
      <c r="L32" s="3">
        <f>(9493166.42-126774.7-158115.66)*0.45</f>
        <v>4143724.2270000004</v>
      </c>
      <c r="M32" s="3">
        <f t="shared" ref="M32:M33" si="30">L32-K32</f>
        <v>9.0550119057297707E-4</v>
      </c>
      <c r="N32" s="37">
        <f t="shared" ref="N32:N33" si="31">L32/12/1.302/C32</f>
        <v>9567.6523920907584</v>
      </c>
    </row>
    <row r="33" spans="1:14" ht="15.75" thickBot="1">
      <c r="A33" s="17" t="s">
        <v>44</v>
      </c>
      <c r="B33" s="18" t="s">
        <v>49</v>
      </c>
      <c r="C33" s="52">
        <f>16.58+4-1.5+2.5+2.5</f>
        <v>24.08</v>
      </c>
      <c r="D33" s="52">
        <v>10243.088040000001</v>
      </c>
      <c r="E33" s="18">
        <v>115</v>
      </c>
      <c r="F33" s="18">
        <v>1974</v>
      </c>
      <c r="G33" s="19">
        <f t="shared" si="25"/>
        <v>47533.919999999998</v>
      </c>
      <c r="H33" s="19">
        <f t="shared" si="26"/>
        <v>413.33843478260866</v>
      </c>
      <c r="I33" s="52">
        <f t="shared" si="27"/>
        <v>81.072952146382988</v>
      </c>
      <c r="J33" s="53">
        <f t="shared" si="28"/>
        <v>33510.567143391279</v>
      </c>
      <c r="K33" s="3">
        <f t="shared" si="29"/>
        <v>3853715.2214899971</v>
      </c>
      <c r="L33" s="3">
        <f>(8297238.44-253549.4-15115.66)*0.48</f>
        <v>3853715.2223999999</v>
      </c>
      <c r="M33" s="3">
        <f t="shared" si="30"/>
        <v>9.1000273823738098E-4</v>
      </c>
      <c r="N33" s="37">
        <f t="shared" si="31"/>
        <v>10243.088042418767</v>
      </c>
    </row>
    <row r="35" spans="1:14" ht="18.75">
      <c r="A35" s="33" t="s">
        <v>46</v>
      </c>
    </row>
    <row r="36" spans="1:14">
      <c r="I36" s="58" t="s">
        <v>32</v>
      </c>
    </row>
    <row r="37" spans="1:14" ht="127.5" customHeight="1">
      <c r="A37" s="4" t="s">
        <v>3</v>
      </c>
      <c r="B37" s="4" t="s">
        <v>28</v>
      </c>
      <c r="C37" s="4" t="s">
        <v>1</v>
      </c>
      <c r="D37" s="4" t="s">
        <v>12</v>
      </c>
      <c r="E37" s="4" t="s">
        <v>58</v>
      </c>
      <c r="F37" s="4" t="s">
        <v>2</v>
      </c>
      <c r="G37" s="4" t="s">
        <v>4</v>
      </c>
      <c r="H37" s="4" t="s">
        <v>6</v>
      </c>
      <c r="I37" s="4" t="s">
        <v>8</v>
      </c>
      <c r="J37" s="4" t="s">
        <v>10</v>
      </c>
      <c r="K37" s="2"/>
      <c r="L37" s="2"/>
      <c r="M37" s="2"/>
    </row>
    <row r="38" spans="1:14" ht="15.75" thickBot="1">
      <c r="A38" s="8">
        <v>1</v>
      </c>
      <c r="B38" s="9">
        <v>2</v>
      </c>
      <c r="C38" s="9">
        <v>3</v>
      </c>
      <c r="D38" s="9">
        <v>4</v>
      </c>
      <c r="E38" s="9">
        <v>5</v>
      </c>
      <c r="F38" s="9">
        <v>6</v>
      </c>
      <c r="G38" s="9" t="s">
        <v>5</v>
      </c>
      <c r="H38" s="8" t="s">
        <v>7</v>
      </c>
      <c r="I38" s="9" t="s">
        <v>9</v>
      </c>
      <c r="J38" s="9" t="s">
        <v>11</v>
      </c>
    </row>
    <row r="39" spans="1:14" ht="17.25" customHeight="1">
      <c r="A39" s="11" t="s">
        <v>36</v>
      </c>
      <c r="B39" s="64" t="s">
        <v>49</v>
      </c>
      <c r="C39" s="49">
        <f>38.03+10.75-1-1+4+3</f>
        <v>53.78</v>
      </c>
      <c r="D39" s="49">
        <v>2994.0032000000001</v>
      </c>
      <c r="E39" s="12">
        <v>61</v>
      </c>
      <c r="F39" s="12">
        <v>1974</v>
      </c>
      <c r="G39" s="13">
        <f>C39*F39</f>
        <v>106161.72</v>
      </c>
      <c r="H39" s="13">
        <f>G39/E39</f>
        <v>1740.3560655737706</v>
      </c>
      <c r="I39" s="49">
        <f>D39*12*1.302/1974</f>
        <v>23.697216817021282</v>
      </c>
      <c r="J39" s="50">
        <f>I39*H39</f>
        <v>41241.595024719747</v>
      </c>
      <c r="K39" s="3">
        <f>J39*E39</f>
        <v>2515737.2965079048</v>
      </c>
      <c r="L39" s="3">
        <f>(18539332.83-253549.4-316231.32)*0.14</f>
        <v>2515737.2954000002</v>
      </c>
      <c r="M39" s="3">
        <f>L39-K39</f>
        <v>-1.1079045943915844E-3</v>
      </c>
      <c r="N39" s="37">
        <f>L39/12/1.302/C39</f>
        <v>2994.0031986814729</v>
      </c>
    </row>
    <row r="40" spans="1:14">
      <c r="A40" s="15" t="s">
        <v>37</v>
      </c>
      <c r="B40" s="5" t="s">
        <v>49</v>
      </c>
      <c r="C40" s="7">
        <f>40.4+10.25-1-1-0.22-1.03-2+4.5+3.5</f>
        <v>53.4</v>
      </c>
      <c r="D40" s="7">
        <v>1267.97423</v>
      </c>
      <c r="E40" s="5">
        <v>34</v>
      </c>
      <c r="F40" s="5">
        <v>1974</v>
      </c>
      <c r="G40" s="6">
        <f>C40*F40</f>
        <v>105411.59999999999</v>
      </c>
      <c r="H40" s="6">
        <f>G40/E40</f>
        <v>3100.3411764705879</v>
      </c>
      <c r="I40" s="7">
        <f>D40*12*1.302/1974</f>
        <v>10.035881139574469</v>
      </c>
      <c r="J40" s="51">
        <f>I40*H40</f>
        <v>31114.655539187293</v>
      </c>
      <c r="K40" s="3">
        <f t="shared" ref="K40:K44" si="32">J40*E40</f>
        <v>1057898.288332368</v>
      </c>
      <c r="L40" s="3">
        <f>(19097290.03-895871.18-253549.4-316231.32)*0.06</f>
        <v>1057898.2878</v>
      </c>
      <c r="M40" s="3">
        <f t="shared" ref="M40:M44" si="33">L40-K40</f>
        <v>-5.3236796520650387E-4</v>
      </c>
      <c r="N40" s="37">
        <f t="shared" ref="N40:N44" si="34">L40/12/1.302/C40</f>
        <v>1267.9742293619151</v>
      </c>
    </row>
    <row r="41" spans="1:14">
      <c r="A41" s="15" t="s">
        <v>38</v>
      </c>
      <c r="B41" s="5" t="s">
        <v>49</v>
      </c>
      <c r="C41" s="7">
        <f>36.64+12.75-1-2.75-2-1+4+3.75</f>
        <v>50.39</v>
      </c>
      <c r="D41" s="7">
        <v>1632.3521599999999</v>
      </c>
      <c r="E41" s="5">
        <v>35</v>
      </c>
      <c r="F41" s="5">
        <v>1974</v>
      </c>
      <c r="G41" s="6">
        <f t="shared" ref="G41:G44" si="35">C41*F41</f>
        <v>99469.86</v>
      </c>
      <c r="H41" s="6">
        <f t="shared" ref="H41:H44" si="36">G41/E41</f>
        <v>2841.9960000000001</v>
      </c>
      <c r="I41" s="7">
        <f t="shared" ref="I41:I44" si="37">D41*12*1.302/1974</f>
        <v>12.919893691914892</v>
      </c>
      <c r="J41" s="51">
        <f t="shared" ref="J41:J44" si="38">I41*H41</f>
        <v>36718.286192847358</v>
      </c>
      <c r="K41" s="3">
        <f t="shared" si="32"/>
        <v>1285140.0167496575</v>
      </c>
      <c r="L41" s="3">
        <f>(16158464.43-1309350.18-253549.4-316231.32)*0.09</f>
        <v>1285140.0177</v>
      </c>
      <c r="M41" s="3">
        <f t="shared" si="33"/>
        <v>9.5034250989556313E-4</v>
      </c>
      <c r="N41" s="37">
        <f t="shared" si="34"/>
        <v>1632.3521612071006</v>
      </c>
    </row>
    <row r="42" spans="1:14">
      <c r="A42" s="15" t="s">
        <v>40</v>
      </c>
      <c r="B42" s="5" t="s">
        <v>49</v>
      </c>
      <c r="C42" s="7">
        <f>56.69+15-3.75-1-2-1+5.5+5.5</f>
        <v>74.94</v>
      </c>
      <c r="D42" s="7">
        <v>1873.79729</v>
      </c>
      <c r="E42" s="5">
        <v>60</v>
      </c>
      <c r="F42" s="5">
        <v>1974</v>
      </c>
      <c r="G42" s="6">
        <f t="shared" si="35"/>
        <v>147931.56</v>
      </c>
      <c r="H42" s="6">
        <f t="shared" si="36"/>
        <v>2465.5259999999998</v>
      </c>
      <c r="I42" s="7">
        <f t="shared" si="37"/>
        <v>14.830906210212765</v>
      </c>
      <c r="J42" s="51">
        <f t="shared" si="38"/>
        <v>36565.984864841033</v>
      </c>
      <c r="K42" s="3">
        <f t="shared" si="32"/>
        <v>2193959.0918904622</v>
      </c>
      <c r="L42" s="3">
        <f>(29579272.24-1585002.85-253549.4-316231.32)*0.08</f>
        <v>2193959.0935999998</v>
      </c>
      <c r="M42" s="3">
        <f t="shared" si="33"/>
        <v>1.7095375806093216E-3</v>
      </c>
      <c r="N42" s="37">
        <f t="shared" si="34"/>
        <v>1873.7972914600668</v>
      </c>
    </row>
    <row r="43" spans="1:14">
      <c r="A43" s="15" t="s">
        <v>42</v>
      </c>
      <c r="B43" s="5" t="s">
        <v>49</v>
      </c>
      <c r="C43" s="7">
        <f>65.93+15.03-1.5-1+7+6</f>
        <v>91.460000000000008</v>
      </c>
      <c r="D43" s="7">
        <v>2396.9323599999998</v>
      </c>
      <c r="E43" s="5">
        <v>92</v>
      </c>
      <c r="F43" s="5">
        <v>1974</v>
      </c>
      <c r="G43" s="6">
        <f t="shared" si="35"/>
        <v>180542.04</v>
      </c>
      <c r="H43" s="6">
        <f t="shared" si="36"/>
        <v>1962.4134782608696</v>
      </c>
      <c r="I43" s="7">
        <f t="shared" si="37"/>
        <v>18.971464636595741</v>
      </c>
      <c r="J43" s="51">
        <f t="shared" si="38"/>
        <v>37229.857905204932</v>
      </c>
      <c r="K43" s="3">
        <f t="shared" si="32"/>
        <v>3425146.927278854</v>
      </c>
      <c r="L43" s="3">
        <f>(31834254.76-380324.1-316231.32)*0.11</f>
        <v>3425146.9273999999</v>
      </c>
      <c r="M43" s="3">
        <f t="shared" si="33"/>
        <v>1.2114597484469414E-4</v>
      </c>
      <c r="N43" s="37">
        <f t="shared" si="34"/>
        <v>2396.9323600847779</v>
      </c>
    </row>
    <row r="44" spans="1:14" ht="15.75" thickBot="1">
      <c r="A44" s="17" t="s">
        <v>43</v>
      </c>
      <c r="B44" s="18" t="s">
        <v>49</v>
      </c>
      <c r="C44" s="52">
        <f>40.75+13.94-5.13-1.87-1-1-1+4+5</f>
        <v>53.69</v>
      </c>
      <c r="D44" s="52">
        <v>1737.38327</v>
      </c>
      <c r="E44" s="18">
        <v>40</v>
      </c>
      <c r="F44" s="18">
        <v>1974</v>
      </c>
      <c r="G44" s="19">
        <f t="shared" si="35"/>
        <v>105984.06</v>
      </c>
      <c r="H44" s="19">
        <f t="shared" si="36"/>
        <v>2649.6014999999998</v>
      </c>
      <c r="I44" s="52">
        <f t="shared" si="37"/>
        <v>13.751203754042553</v>
      </c>
      <c r="J44" s="53">
        <f t="shared" si="38"/>
        <v>36435.210093516776</v>
      </c>
      <c r="K44" s="3">
        <f t="shared" si="32"/>
        <v>1457408.403740671</v>
      </c>
      <c r="L44" s="3">
        <f>(20992607.1-2205221.36-253549.4-316231.32)*0.08</f>
        <v>1457408.4016000002</v>
      </c>
      <c r="M44" s="3">
        <f t="shared" si="33"/>
        <v>-2.1406707819551229E-3</v>
      </c>
      <c r="N44" s="37">
        <f t="shared" si="34"/>
        <v>1737.3832674480961</v>
      </c>
    </row>
    <row r="45" spans="1:14" ht="15.75" thickBot="1">
      <c r="A45" s="54"/>
      <c r="B45" s="34"/>
      <c r="C45" s="36"/>
      <c r="D45" s="36"/>
      <c r="E45" s="34"/>
      <c r="F45" s="34"/>
      <c r="G45" s="35"/>
      <c r="H45" s="35"/>
      <c r="I45" s="36"/>
      <c r="J45" s="68"/>
      <c r="K45" s="3"/>
      <c r="L45" s="3"/>
      <c r="M45" s="3"/>
      <c r="N45" s="37"/>
    </row>
    <row r="46" spans="1:14" ht="15.75" thickBot="1">
      <c r="A46" s="59" t="s">
        <v>41</v>
      </c>
      <c r="B46" s="60" t="s">
        <v>49</v>
      </c>
      <c r="C46" s="69">
        <f>71.49+15-1-1-4.25-2+6+6</f>
        <v>90.24</v>
      </c>
      <c r="D46" s="69">
        <v>2995.6171899999999</v>
      </c>
      <c r="E46" s="60">
        <v>114</v>
      </c>
      <c r="F46" s="60">
        <v>1974</v>
      </c>
      <c r="G46" s="63">
        <f t="shared" ref="G46" si="39">C46*F46</f>
        <v>178133.75999999998</v>
      </c>
      <c r="H46" s="63">
        <f t="shared" ref="H46" si="40">G46/E46</f>
        <v>1562.576842105263</v>
      </c>
      <c r="I46" s="69">
        <f t="shared" ref="I46" si="41">D46*12*1.302/1974</f>
        <v>23.709991376170208</v>
      </c>
      <c r="J46" s="70">
        <f t="shared" ref="J46" si="42">I46*H46</f>
        <v>37048.683450919067</v>
      </c>
      <c r="K46" s="3">
        <f t="shared" ref="K46" si="43">J46*E46</f>
        <v>4223549.9134047739</v>
      </c>
      <c r="L46" s="3">
        <f>(34781455.44-1722829.19-253549.4-316231.32)*0.13</f>
        <v>4223549.9188999999</v>
      </c>
      <c r="M46" s="3">
        <f t="shared" ref="M46" si="44">L46-K46</f>
        <v>5.4952260106801987E-3</v>
      </c>
      <c r="N46" s="37">
        <f t="shared" ref="N46" si="45">L46/12/1.302/C46</f>
        <v>2995.6171938975722</v>
      </c>
    </row>
    <row r="47" spans="1:14" ht="15.75" thickBot="1">
      <c r="A47" s="54"/>
      <c r="B47" s="34"/>
      <c r="C47" s="36"/>
      <c r="D47" s="36"/>
      <c r="E47" s="34"/>
      <c r="F47" s="34"/>
      <c r="G47" s="35"/>
      <c r="H47" s="35"/>
      <c r="I47" s="36"/>
      <c r="J47" s="68"/>
      <c r="K47" s="3"/>
      <c r="L47" s="3"/>
      <c r="M47" s="3"/>
      <c r="N47" s="37"/>
    </row>
    <row r="48" spans="1:14">
      <c r="A48" s="11" t="s">
        <v>39</v>
      </c>
      <c r="B48" s="12" t="s">
        <v>49</v>
      </c>
      <c r="C48" s="49">
        <f>19.22+5.5-0.5-0.5+2+2</f>
        <v>27.72</v>
      </c>
      <c r="D48" s="49">
        <v>2976.6029699999999</v>
      </c>
      <c r="E48" s="12">
        <v>33</v>
      </c>
      <c r="F48" s="12">
        <v>1974</v>
      </c>
      <c r="G48" s="13">
        <f t="shared" ref="G48:G49" si="46">C48*F48</f>
        <v>54719.28</v>
      </c>
      <c r="H48" s="13">
        <f t="shared" ref="H48:H49" si="47">G48/E48</f>
        <v>1658.1599999999999</v>
      </c>
      <c r="I48" s="49">
        <f t="shared" ref="I48:I49" si="48">D48*12*1.302/1974</f>
        <v>23.559495847659573</v>
      </c>
      <c r="J48" s="50">
        <f t="shared" ref="J48:J49" si="49">I48*H48</f>
        <v>39065.41363475519</v>
      </c>
      <c r="K48" s="3">
        <f t="shared" ref="K48" si="50">J48*E48</f>
        <v>1289158.6499469213</v>
      </c>
      <c r="L48" s="3">
        <f>(9493166.42-126774.7-158115.66)*0.14</f>
        <v>1289158.6484000003</v>
      </c>
      <c r="M48" s="3">
        <f t="shared" ref="M48:M49" si="51">L48-K48</f>
        <v>-1.5469209756702185E-3</v>
      </c>
      <c r="N48" s="37">
        <f t="shared" ref="N48:N49" si="52">L48/12/1.302/C48</f>
        <v>2976.602966428236</v>
      </c>
    </row>
    <row r="49" spans="1:14" ht="15.75" thickBot="1">
      <c r="A49" s="17" t="s">
        <v>44</v>
      </c>
      <c r="B49" s="18" t="s">
        <v>49</v>
      </c>
      <c r="C49" s="52">
        <f>16.58+4-1.5+2.5+2.5</f>
        <v>24.08</v>
      </c>
      <c r="D49" s="52"/>
      <c r="E49" s="18"/>
      <c r="F49" s="18">
        <v>1974</v>
      </c>
      <c r="G49" s="19">
        <f t="shared" si="46"/>
        <v>47533.919999999998</v>
      </c>
      <c r="H49" s="19" t="e">
        <f t="shared" si="47"/>
        <v>#DIV/0!</v>
      </c>
      <c r="I49" s="52">
        <f t="shared" si="48"/>
        <v>0</v>
      </c>
      <c r="J49" s="53" t="e">
        <f t="shared" si="49"/>
        <v>#DIV/0!</v>
      </c>
      <c r="K49" s="3"/>
      <c r="L49" s="3"/>
      <c r="M49" s="3">
        <f t="shared" si="51"/>
        <v>0</v>
      </c>
      <c r="N49" s="37">
        <f t="shared" si="52"/>
        <v>0</v>
      </c>
    </row>
    <row r="50" spans="1:14">
      <c r="A50" s="42"/>
      <c r="B50" s="43"/>
      <c r="C50" s="72"/>
      <c r="D50" s="72"/>
      <c r="E50" s="43"/>
      <c r="F50" s="43"/>
      <c r="G50" s="46"/>
      <c r="H50" s="46"/>
      <c r="I50" s="72"/>
      <c r="J50" s="47"/>
      <c r="K50" s="3"/>
      <c r="L50" s="3"/>
      <c r="M50" s="3"/>
      <c r="N50" s="37"/>
    </row>
    <row r="51" spans="1:14" ht="18.75">
      <c r="A51" s="33" t="s">
        <v>50</v>
      </c>
    </row>
    <row r="52" spans="1:14">
      <c r="I52" s="58" t="s">
        <v>32</v>
      </c>
    </row>
    <row r="53" spans="1:14" ht="127.5" customHeight="1">
      <c r="A53" s="4" t="s">
        <v>3</v>
      </c>
      <c r="B53" s="4" t="s">
        <v>28</v>
      </c>
      <c r="C53" s="4" t="s">
        <v>1</v>
      </c>
      <c r="D53" s="4" t="s">
        <v>12</v>
      </c>
      <c r="E53" s="4" t="s">
        <v>58</v>
      </c>
      <c r="F53" s="4" t="s">
        <v>2</v>
      </c>
      <c r="G53" s="4" t="s">
        <v>4</v>
      </c>
      <c r="H53" s="4" t="s">
        <v>6</v>
      </c>
      <c r="I53" s="4" t="s">
        <v>8</v>
      </c>
      <c r="J53" s="4" t="s">
        <v>10</v>
      </c>
      <c r="K53" s="2" t="s">
        <v>47</v>
      </c>
      <c r="L53" s="2" t="s">
        <v>48</v>
      </c>
      <c r="M53" s="2"/>
    </row>
    <row r="54" spans="1:14" ht="15.75" thickBot="1">
      <c r="A54" s="8">
        <v>1</v>
      </c>
      <c r="B54" s="9">
        <v>2</v>
      </c>
      <c r="C54" s="9">
        <v>3</v>
      </c>
      <c r="D54" s="9">
        <v>4</v>
      </c>
      <c r="E54" s="9">
        <v>5</v>
      </c>
      <c r="F54" s="9">
        <v>6</v>
      </c>
      <c r="G54" s="9" t="s">
        <v>5</v>
      </c>
      <c r="H54" s="8" t="s">
        <v>7</v>
      </c>
      <c r="I54" s="9" t="s">
        <v>9</v>
      </c>
      <c r="J54" s="9" t="s">
        <v>11</v>
      </c>
    </row>
    <row r="55" spans="1:14" ht="17.25" customHeight="1">
      <c r="A55" s="11" t="s">
        <v>36</v>
      </c>
      <c r="B55" s="12" t="s">
        <v>54</v>
      </c>
      <c r="C55" s="49"/>
      <c r="D55" s="49">
        <f>((4103+(4103*1.25*1.15)+ 4103*25%))*1.6</f>
        <v>17642.900000000001</v>
      </c>
      <c r="E55" s="12"/>
      <c r="F55" s="12"/>
      <c r="G55" s="13">
        <f>C55*F55</f>
        <v>0</v>
      </c>
      <c r="H55" s="13"/>
      <c r="I55" s="49">
        <f>D55*12*1.302/1974</f>
        <v>139.64167659574468</v>
      </c>
      <c r="J55" s="50">
        <f>I55*H55</f>
        <v>0</v>
      </c>
      <c r="K55" s="3">
        <f>J55*E55</f>
        <v>0</v>
      </c>
      <c r="L55" s="3"/>
      <c r="M55" s="3">
        <f>L55-K55</f>
        <v>0</v>
      </c>
      <c r="N55" s="37" t="e">
        <f>L55/12/1.302/C55</f>
        <v>#DIV/0!</v>
      </c>
    </row>
    <row r="56" spans="1:14">
      <c r="A56" s="15" t="s">
        <v>37</v>
      </c>
      <c r="B56" s="5" t="s">
        <v>54</v>
      </c>
      <c r="C56" s="7">
        <f>0.22+1.03+2</f>
        <v>3.25</v>
      </c>
      <c r="D56" s="7">
        <f>D55</f>
        <v>17642.900000000001</v>
      </c>
      <c r="E56" s="5">
        <v>185</v>
      </c>
      <c r="F56" s="5">
        <v>1974</v>
      </c>
      <c r="G56" s="6">
        <f>C56*F56</f>
        <v>6415.5</v>
      </c>
      <c r="H56" s="6">
        <f>G56/E56</f>
        <v>34.678378378378376</v>
      </c>
      <c r="I56" s="7">
        <f>D56*12*1.302/1974</f>
        <v>139.64167659574468</v>
      </c>
      <c r="J56" s="51">
        <f>I56*H56</f>
        <v>4842.5468983783785</v>
      </c>
      <c r="K56" s="3">
        <f t="shared" ref="K56:K60" si="53">J56*E56</f>
        <v>895871.17619999999</v>
      </c>
      <c r="L56" s="3">
        <v>895871.18</v>
      </c>
      <c r="M56" s="3">
        <f t="shared" ref="M56:M60" si="54">L56-K56</f>
        <v>3.8000000640749931E-3</v>
      </c>
      <c r="N56" s="37">
        <f t="shared" ref="N56:N60" si="55">L56/12/1.302/C56</f>
        <v>17642.900074835561</v>
      </c>
    </row>
    <row r="57" spans="1:14">
      <c r="A57" s="15" t="s">
        <v>38</v>
      </c>
      <c r="B57" s="5" t="s">
        <v>54</v>
      </c>
      <c r="C57" s="7">
        <f>2.75+2</f>
        <v>4.75</v>
      </c>
      <c r="D57" s="7">
        <f t="shared" ref="D57:D58" si="56">D56</f>
        <v>17642.900000000001</v>
      </c>
      <c r="E57" s="5">
        <v>220</v>
      </c>
      <c r="F57" s="5">
        <v>1974</v>
      </c>
      <c r="G57" s="6">
        <f t="shared" ref="G57:G60" si="57">C57*F57</f>
        <v>9376.5</v>
      </c>
      <c r="H57" s="6">
        <f t="shared" ref="H57:H60" si="58">G57/E57</f>
        <v>42.620454545454542</v>
      </c>
      <c r="I57" s="7">
        <f t="shared" ref="I57:I60" si="59">D57*12*1.302/1974</f>
        <v>139.64167659574468</v>
      </c>
      <c r="J57" s="51">
        <f t="shared" ref="J57:J60" si="60">I57*H57</f>
        <v>5951.5917300000001</v>
      </c>
      <c r="K57" s="3">
        <f t="shared" si="53"/>
        <v>1309350.1806000001</v>
      </c>
      <c r="L57" s="3">
        <v>1309350.18</v>
      </c>
      <c r="M57" s="3">
        <f t="shared" si="54"/>
        <v>-6.0000014491379261E-4</v>
      </c>
      <c r="N57" s="37">
        <f t="shared" si="55"/>
        <v>17642.89999191527</v>
      </c>
    </row>
    <row r="58" spans="1:14">
      <c r="A58" s="15" t="s">
        <v>40</v>
      </c>
      <c r="B58" s="5" t="s">
        <v>54</v>
      </c>
      <c r="C58" s="7">
        <f>3.75+2</f>
        <v>5.75</v>
      </c>
      <c r="D58" s="7">
        <f t="shared" si="56"/>
        <v>17642.900000000001</v>
      </c>
      <c r="E58" s="5">
        <v>445</v>
      </c>
      <c r="F58" s="5">
        <v>1974</v>
      </c>
      <c r="G58" s="6">
        <f t="shared" si="57"/>
        <v>11350.5</v>
      </c>
      <c r="H58" s="6">
        <f t="shared" si="58"/>
        <v>25.506741573033707</v>
      </c>
      <c r="I58" s="7">
        <f t="shared" si="59"/>
        <v>139.64167659574468</v>
      </c>
      <c r="J58" s="51">
        <f t="shared" si="60"/>
        <v>3561.8041577528088</v>
      </c>
      <c r="K58" s="3">
        <f t="shared" si="53"/>
        <v>1585002.8502</v>
      </c>
      <c r="L58" s="3">
        <v>1585002.85</v>
      </c>
      <c r="M58" s="3">
        <f t="shared" si="54"/>
        <v>-1.9999989308416843E-4</v>
      </c>
      <c r="N58" s="37">
        <f t="shared" si="55"/>
        <v>17642.899997773769</v>
      </c>
    </row>
    <row r="59" spans="1:14">
      <c r="A59" s="15" t="s">
        <v>42</v>
      </c>
      <c r="B59" s="5" t="s">
        <v>54</v>
      </c>
      <c r="C59" s="7"/>
      <c r="D59" s="7"/>
      <c r="E59" s="5"/>
      <c r="F59" s="5">
        <v>1974</v>
      </c>
      <c r="G59" s="6">
        <f t="shared" si="57"/>
        <v>0</v>
      </c>
      <c r="H59" s="6"/>
      <c r="I59" s="7">
        <f t="shared" si="59"/>
        <v>0</v>
      </c>
      <c r="J59" s="51">
        <f t="shared" si="60"/>
        <v>0</v>
      </c>
      <c r="K59" s="3">
        <f t="shared" si="53"/>
        <v>0</v>
      </c>
      <c r="L59" s="3"/>
      <c r="M59" s="3">
        <f t="shared" si="54"/>
        <v>0</v>
      </c>
      <c r="N59" s="37" t="e">
        <f t="shared" si="55"/>
        <v>#DIV/0!</v>
      </c>
    </row>
    <row r="60" spans="1:14" ht="15.75" thickBot="1">
      <c r="A60" s="17" t="s">
        <v>43</v>
      </c>
      <c r="B60" s="18" t="s">
        <v>54</v>
      </c>
      <c r="C60" s="52">
        <f>5.13+1.87+1</f>
        <v>8</v>
      </c>
      <c r="D60" s="52">
        <f>D55</f>
        <v>17642.900000000001</v>
      </c>
      <c r="E60" s="18">
        <v>549</v>
      </c>
      <c r="F60" s="18">
        <v>1974</v>
      </c>
      <c r="G60" s="19">
        <f t="shared" si="57"/>
        <v>15792</v>
      </c>
      <c r="H60" s="19">
        <f t="shared" si="58"/>
        <v>28.765027322404372</v>
      </c>
      <c r="I60" s="52">
        <f t="shared" si="59"/>
        <v>139.64167659574468</v>
      </c>
      <c r="J60" s="53">
        <f t="shared" si="60"/>
        <v>4016.7966426229509</v>
      </c>
      <c r="K60" s="3">
        <f t="shared" si="53"/>
        <v>2205221.3568000002</v>
      </c>
      <c r="L60" s="3">
        <v>2205221.36</v>
      </c>
      <c r="M60" s="3">
        <f t="shared" si="54"/>
        <v>3.1999996863305569E-3</v>
      </c>
      <c r="N60" s="37">
        <f t="shared" si="55"/>
        <v>17642.900025601637</v>
      </c>
    </row>
    <row r="61" spans="1:14" ht="15.75" thickBot="1">
      <c r="A61" s="54"/>
      <c r="B61" s="10"/>
      <c r="C61" s="36"/>
      <c r="D61" s="36"/>
      <c r="E61" s="34"/>
      <c r="F61" s="34"/>
      <c r="G61" s="35"/>
      <c r="H61" s="35"/>
      <c r="I61" s="36"/>
      <c r="J61" s="68"/>
      <c r="K61" s="3"/>
      <c r="L61" s="3"/>
      <c r="M61" s="3"/>
      <c r="N61" s="37"/>
    </row>
    <row r="62" spans="1:14" ht="15.75" thickBot="1">
      <c r="A62" s="59" t="s">
        <v>41</v>
      </c>
      <c r="B62" s="12" t="s">
        <v>54</v>
      </c>
      <c r="C62" s="69">
        <f>4.25+2</f>
        <v>6.25</v>
      </c>
      <c r="D62" s="69">
        <f>D56</f>
        <v>17642.900000000001</v>
      </c>
      <c r="E62" s="60">
        <v>332</v>
      </c>
      <c r="F62" s="60">
        <v>1974</v>
      </c>
      <c r="G62" s="63">
        <f t="shared" ref="G62" si="61">C62*F62</f>
        <v>12337.5</v>
      </c>
      <c r="H62" s="63">
        <f t="shared" ref="H62" si="62">G62/E62</f>
        <v>37.161144578313255</v>
      </c>
      <c r="I62" s="69">
        <f t="shared" ref="I62" si="63">D62*12*1.302/1974</f>
        <v>139.64167659574468</v>
      </c>
      <c r="J62" s="70">
        <f t="shared" ref="J62" si="64">I62*H62</f>
        <v>5189.2445331325307</v>
      </c>
      <c r="K62" s="3">
        <f t="shared" ref="K62" si="65">J62*E62</f>
        <v>1722829.1850000003</v>
      </c>
      <c r="L62" s="3">
        <v>1722829.19</v>
      </c>
      <c r="M62" s="3">
        <f t="shared" ref="M62" si="66">L62-K62</f>
        <v>4.9999996554106474E-3</v>
      </c>
      <c r="N62" s="37">
        <f t="shared" ref="N62" si="67">L62/12/1.302/C62</f>
        <v>17642.900051203276</v>
      </c>
    </row>
    <row r="63" spans="1:14">
      <c r="A63" s="54"/>
      <c r="B63" s="64"/>
      <c r="C63" s="36"/>
      <c r="D63" s="36"/>
      <c r="E63" s="34"/>
      <c r="F63" s="34"/>
      <c r="G63" s="35"/>
      <c r="H63" s="35"/>
      <c r="I63" s="36"/>
      <c r="J63" s="68"/>
      <c r="K63" s="3"/>
      <c r="L63" s="3"/>
      <c r="M63" s="3"/>
      <c r="N63" s="37"/>
    </row>
    <row r="64" spans="1:14">
      <c r="A64" s="42"/>
      <c r="B64" s="43"/>
      <c r="C64" s="72"/>
      <c r="D64" s="72"/>
      <c r="E64" s="43"/>
      <c r="F64" s="43"/>
      <c r="G64" s="46"/>
      <c r="H64" s="46"/>
      <c r="I64" s="72"/>
      <c r="J64" s="47"/>
      <c r="K64" s="3"/>
      <c r="L64" s="3"/>
      <c r="M64" s="3"/>
      <c r="N64" s="37"/>
    </row>
    <row r="65" spans="1:14" ht="18.75">
      <c r="A65" s="33" t="s">
        <v>51</v>
      </c>
    </row>
    <row r="66" spans="1:14">
      <c r="I66" s="58" t="s">
        <v>32</v>
      </c>
    </row>
    <row r="67" spans="1:14" ht="127.5" customHeight="1">
      <c r="A67" s="4" t="s">
        <v>3</v>
      </c>
      <c r="B67" s="4" t="s">
        <v>28</v>
      </c>
      <c r="C67" s="4" t="s">
        <v>1</v>
      </c>
      <c r="D67" s="4" t="s">
        <v>12</v>
      </c>
      <c r="E67" s="4" t="s">
        <v>58</v>
      </c>
      <c r="F67" s="4" t="s">
        <v>2</v>
      </c>
      <c r="G67" s="4" t="s">
        <v>4</v>
      </c>
      <c r="H67" s="4" t="s">
        <v>6</v>
      </c>
      <c r="I67" s="4" t="s">
        <v>8</v>
      </c>
      <c r="J67" s="4" t="s">
        <v>10</v>
      </c>
      <c r="K67" s="2" t="s">
        <v>47</v>
      </c>
      <c r="L67" s="2" t="s">
        <v>48</v>
      </c>
      <c r="M67" s="2"/>
    </row>
    <row r="68" spans="1:14" ht="15.75" thickBot="1">
      <c r="A68" s="8">
        <v>1</v>
      </c>
      <c r="B68" s="9">
        <v>2</v>
      </c>
      <c r="C68" s="9">
        <v>3</v>
      </c>
      <c r="D68" s="9">
        <v>4</v>
      </c>
      <c r="E68" s="9">
        <v>5</v>
      </c>
      <c r="F68" s="9">
        <v>6</v>
      </c>
      <c r="G68" s="9" t="s">
        <v>5</v>
      </c>
      <c r="H68" s="8" t="s">
        <v>7</v>
      </c>
      <c r="I68" s="9" t="s">
        <v>9</v>
      </c>
      <c r="J68" s="9" t="s">
        <v>11</v>
      </c>
    </row>
    <row r="69" spans="1:14" ht="17.25" customHeight="1">
      <c r="A69" s="11" t="s">
        <v>36</v>
      </c>
      <c r="B69" s="12" t="s">
        <v>52</v>
      </c>
      <c r="C69" s="49">
        <v>1</v>
      </c>
      <c r="D69" s="49">
        <f>((3774+(3774*1.25*1.15)+ 3774*25%))*1.6</f>
        <v>16228.2</v>
      </c>
      <c r="E69" s="12">
        <v>88</v>
      </c>
      <c r="F69" s="12">
        <v>1974</v>
      </c>
      <c r="G69" s="13">
        <f>C69*F69</f>
        <v>1974</v>
      </c>
      <c r="H69" s="13">
        <f>G69/E69</f>
        <v>22.431818181818183</v>
      </c>
      <c r="I69" s="49">
        <f>D69*12*1.302/1974</f>
        <v>128.4444765957447</v>
      </c>
      <c r="J69" s="50">
        <f>I69*H69</f>
        <v>2881.2431454545463</v>
      </c>
      <c r="K69" s="3">
        <f>J69*E69</f>
        <v>253549.39680000008</v>
      </c>
      <c r="L69" s="3">
        <v>253549.4</v>
      </c>
      <c r="M69" s="3">
        <f>L69-K69</f>
        <v>3.1999999191612005E-3</v>
      </c>
      <c r="N69" s="37">
        <f>L69/12/1.302/C69</f>
        <v>16228.200204813105</v>
      </c>
    </row>
    <row r="70" spans="1:14">
      <c r="A70" s="15" t="s">
        <v>37</v>
      </c>
      <c r="B70" s="5" t="s">
        <v>52</v>
      </c>
      <c r="C70" s="7">
        <v>1</v>
      </c>
      <c r="D70" s="7">
        <f>D69</f>
        <v>16228.2</v>
      </c>
      <c r="E70" s="5">
        <v>169</v>
      </c>
      <c r="F70" s="5">
        <v>1974</v>
      </c>
      <c r="G70" s="6">
        <f>C70*F70</f>
        <v>1974</v>
      </c>
      <c r="H70" s="6">
        <f>G70/E70</f>
        <v>11.680473372781066</v>
      </c>
      <c r="I70" s="7">
        <f>D70*12*1.302/1974</f>
        <v>128.4444765957447</v>
      </c>
      <c r="J70" s="51">
        <f>I70*H70</f>
        <v>1500.2922887573968</v>
      </c>
      <c r="K70" s="3">
        <f t="shared" ref="K70:K74" si="68">J70*E70</f>
        <v>253549.39680000008</v>
      </c>
      <c r="L70" s="3">
        <v>253549.4</v>
      </c>
      <c r="M70" s="3">
        <f t="shared" ref="M70:M74" si="69">L70-K70</f>
        <v>3.1999999191612005E-3</v>
      </c>
      <c r="N70" s="37">
        <f t="shared" ref="N70:N74" si="70">L70/12/1.302/C70</f>
        <v>16228.200204813105</v>
      </c>
    </row>
    <row r="71" spans="1:14">
      <c r="A71" s="15" t="s">
        <v>38</v>
      </c>
      <c r="B71" s="5" t="s">
        <v>52</v>
      </c>
      <c r="C71" s="7">
        <v>1</v>
      </c>
      <c r="D71" s="7">
        <f>D69</f>
        <v>16228.2</v>
      </c>
      <c r="E71" s="5">
        <v>111</v>
      </c>
      <c r="F71" s="5">
        <v>1974</v>
      </c>
      <c r="G71" s="6">
        <f t="shared" ref="G71:G74" si="71">C71*F71</f>
        <v>1974</v>
      </c>
      <c r="H71" s="6">
        <f t="shared" ref="H71:H74" si="72">G71/E71</f>
        <v>17.783783783783782</v>
      </c>
      <c r="I71" s="7">
        <f t="shared" ref="I71:I74" si="73">D71*12*1.302/1974</f>
        <v>128.4444765957447</v>
      </c>
      <c r="J71" s="51">
        <f t="shared" ref="J71:J74" si="74">I71*H71</f>
        <v>2284.2288000000003</v>
      </c>
      <c r="K71" s="3">
        <f t="shared" si="68"/>
        <v>253549.39680000005</v>
      </c>
      <c r="L71" s="3">
        <v>253549.4</v>
      </c>
      <c r="M71" s="3">
        <f t="shared" si="69"/>
        <v>3.199999948265031E-3</v>
      </c>
      <c r="N71" s="37">
        <f t="shared" si="70"/>
        <v>16228.200204813105</v>
      </c>
    </row>
    <row r="72" spans="1:14">
      <c r="A72" s="15" t="s">
        <v>40</v>
      </c>
      <c r="B72" s="5" t="s">
        <v>52</v>
      </c>
      <c r="C72" s="7">
        <v>1</v>
      </c>
      <c r="D72" s="7">
        <f t="shared" ref="D72:D74" si="75">D70</f>
        <v>16228.2</v>
      </c>
      <c r="E72" s="5">
        <v>173</v>
      </c>
      <c r="F72" s="5">
        <v>1974</v>
      </c>
      <c r="G72" s="6">
        <f t="shared" si="71"/>
        <v>1974</v>
      </c>
      <c r="H72" s="6">
        <f t="shared" si="72"/>
        <v>11.410404624277456</v>
      </c>
      <c r="I72" s="7">
        <f t="shared" si="73"/>
        <v>128.4444765957447</v>
      </c>
      <c r="J72" s="51">
        <f t="shared" si="74"/>
        <v>1465.6034497109829</v>
      </c>
      <c r="K72" s="3">
        <f t="shared" si="68"/>
        <v>253549.39680000005</v>
      </c>
      <c r="L72" s="3">
        <v>253549.4</v>
      </c>
      <c r="M72" s="3">
        <f t="shared" si="69"/>
        <v>3.199999948265031E-3</v>
      </c>
      <c r="N72" s="37">
        <f t="shared" si="70"/>
        <v>16228.200204813105</v>
      </c>
    </row>
    <row r="73" spans="1:14">
      <c r="A73" s="15" t="s">
        <v>42</v>
      </c>
      <c r="B73" s="5" t="s">
        <v>52</v>
      </c>
      <c r="C73" s="7">
        <v>1.5</v>
      </c>
      <c r="D73" s="7">
        <f t="shared" si="75"/>
        <v>16228.2</v>
      </c>
      <c r="E73" s="5">
        <v>140</v>
      </c>
      <c r="F73" s="5">
        <v>1974</v>
      </c>
      <c r="G73" s="6">
        <f t="shared" si="71"/>
        <v>2961</v>
      </c>
      <c r="H73" s="6">
        <f t="shared" si="72"/>
        <v>21.15</v>
      </c>
      <c r="I73" s="7">
        <f t="shared" si="73"/>
        <v>128.4444765957447</v>
      </c>
      <c r="J73" s="51">
        <f t="shared" si="74"/>
        <v>2716.6006800000005</v>
      </c>
      <c r="K73" s="3">
        <f t="shared" si="68"/>
        <v>380324.09520000004</v>
      </c>
      <c r="L73" s="3">
        <v>380324.1</v>
      </c>
      <c r="M73" s="3">
        <f t="shared" si="69"/>
        <v>4.7999999369494617E-3</v>
      </c>
      <c r="N73" s="37">
        <f t="shared" si="70"/>
        <v>16228.200204813105</v>
      </c>
    </row>
    <row r="74" spans="1:14" ht="15.75" thickBot="1">
      <c r="A74" s="17" t="s">
        <v>43</v>
      </c>
      <c r="B74" s="18" t="s">
        <v>52</v>
      </c>
      <c r="C74" s="52">
        <v>1</v>
      </c>
      <c r="D74" s="7">
        <f t="shared" si="75"/>
        <v>16228.2</v>
      </c>
      <c r="E74" s="18">
        <v>125</v>
      </c>
      <c r="F74" s="18">
        <v>1974</v>
      </c>
      <c r="G74" s="19">
        <f t="shared" si="71"/>
        <v>1974</v>
      </c>
      <c r="H74" s="19">
        <f t="shared" si="72"/>
        <v>15.792</v>
      </c>
      <c r="I74" s="52">
        <f t="shared" si="73"/>
        <v>128.4444765957447</v>
      </c>
      <c r="J74" s="53">
        <f t="shared" si="74"/>
        <v>2028.3951744000003</v>
      </c>
      <c r="K74" s="3">
        <f t="shared" si="68"/>
        <v>253549.39680000005</v>
      </c>
      <c r="L74" s="3">
        <v>253549.4</v>
      </c>
      <c r="M74" s="3">
        <f t="shared" si="69"/>
        <v>3.199999948265031E-3</v>
      </c>
      <c r="N74" s="37">
        <f t="shared" si="70"/>
        <v>16228.200204813105</v>
      </c>
    </row>
    <row r="75" spans="1:14" ht="15.75" thickBot="1">
      <c r="A75" s="54"/>
      <c r="B75" s="34"/>
      <c r="C75" s="36"/>
      <c r="D75" s="36"/>
      <c r="E75" s="34"/>
      <c r="F75" s="34"/>
      <c r="G75" s="35"/>
      <c r="H75" s="35"/>
      <c r="I75" s="36"/>
      <c r="J75" s="68"/>
      <c r="K75" s="3"/>
      <c r="L75" s="3"/>
      <c r="M75" s="3"/>
      <c r="N75" s="37"/>
    </row>
    <row r="76" spans="1:14" ht="15.75" thickBot="1">
      <c r="A76" s="59" t="s">
        <v>41</v>
      </c>
      <c r="B76" s="60" t="s">
        <v>52</v>
      </c>
      <c r="C76" s="69">
        <v>1</v>
      </c>
      <c r="D76" s="69">
        <f>D69</f>
        <v>16228.2</v>
      </c>
      <c r="E76" s="60">
        <v>151</v>
      </c>
      <c r="F76" s="60">
        <v>1974</v>
      </c>
      <c r="G76" s="63">
        <f t="shared" ref="G76" si="76">C76*F76</f>
        <v>1974</v>
      </c>
      <c r="H76" s="63">
        <f t="shared" ref="H76" si="77">G76/E76</f>
        <v>13.072847682119205</v>
      </c>
      <c r="I76" s="69">
        <f t="shared" ref="I76" si="78">D76*12*1.302/1974</f>
        <v>128.4444765957447</v>
      </c>
      <c r="J76" s="70">
        <f t="shared" ref="J76" si="79">I76*H76</f>
        <v>1679.1350781456956</v>
      </c>
      <c r="K76" s="3">
        <f t="shared" ref="K76" si="80">J76*E76</f>
        <v>253549.39680000005</v>
      </c>
      <c r="L76" s="3">
        <v>253549.4</v>
      </c>
      <c r="M76" s="3">
        <f t="shared" ref="M76" si="81">L76-K76</f>
        <v>3.199999948265031E-3</v>
      </c>
      <c r="N76" s="37">
        <f t="shared" ref="N76" si="82">L76/12/1.302/C76</f>
        <v>16228.200204813105</v>
      </c>
    </row>
    <row r="77" spans="1:14" ht="15.75" thickBot="1">
      <c r="A77" s="54"/>
      <c r="B77" s="34"/>
      <c r="C77" s="36"/>
      <c r="D77" s="36"/>
      <c r="E77" s="34"/>
      <c r="F77" s="34"/>
      <c r="G77" s="35"/>
      <c r="H77" s="35"/>
      <c r="I77" s="36"/>
      <c r="J77" s="68"/>
      <c r="K77" s="3"/>
      <c r="L77" s="3"/>
      <c r="M77" s="3"/>
      <c r="N77" s="37"/>
    </row>
    <row r="78" spans="1:14">
      <c r="A78" s="11" t="s">
        <v>39</v>
      </c>
      <c r="B78" s="12" t="s">
        <v>52</v>
      </c>
      <c r="C78" s="49">
        <v>0.5</v>
      </c>
      <c r="D78" s="49">
        <f>D69</f>
        <v>16228.2</v>
      </c>
      <c r="E78" s="12">
        <v>49</v>
      </c>
      <c r="F78" s="12">
        <v>1974</v>
      </c>
      <c r="G78" s="13">
        <f t="shared" ref="G78:G79" si="83">C78*F78</f>
        <v>987</v>
      </c>
      <c r="H78" s="13">
        <f t="shared" ref="H78:H79" si="84">G78/E78</f>
        <v>20.142857142857142</v>
      </c>
      <c r="I78" s="49">
        <f t="shared" ref="I78:I79" si="85">D78*12*1.302/1974</f>
        <v>128.4444765957447</v>
      </c>
      <c r="J78" s="50">
        <f t="shared" ref="J78:J79" si="86">I78*H78</f>
        <v>2587.2387428571433</v>
      </c>
      <c r="K78" s="3">
        <f t="shared" ref="K78:K79" si="87">J78*E78</f>
        <v>126774.69840000002</v>
      </c>
      <c r="L78" s="3">
        <v>126774.7</v>
      </c>
      <c r="M78" s="3">
        <f t="shared" ref="M78:M79" si="88">L78-K78</f>
        <v>1.5999999741325155E-3</v>
      </c>
      <c r="N78" s="37">
        <f t="shared" ref="N78:N79" si="89">L78/12/1.302/C78</f>
        <v>16228.200204813105</v>
      </c>
    </row>
    <row r="79" spans="1:14" ht="15.75" thickBot="1">
      <c r="A79" s="17" t="s">
        <v>44</v>
      </c>
      <c r="B79" s="18" t="s">
        <v>52</v>
      </c>
      <c r="C79" s="52">
        <v>1</v>
      </c>
      <c r="D79" s="52">
        <f>D69</f>
        <v>16228.2</v>
      </c>
      <c r="E79" s="18">
        <v>55</v>
      </c>
      <c r="F79" s="18">
        <v>1974</v>
      </c>
      <c r="G79" s="19">
        <f t="shared" si="83"/>
        <v>1974</v>
      </c>
      <c r="H79" s="19">
        <f t="shared" si="84"/>
        <v>35.890909090909091</v>
      </c>
      <c r="I79" s="52">
        <f t="shared" si="85"/>
        <v>128.4444765957447</v>
      </c>
      <c r="J79" s="53">
        <f t="shared" si="86"/>
        <v>4609.9890327272733</v>
      </c>
      <c r="K79" s="3">
        <f t="shared" si="87"/>
        <v>253549.39680000005</v>
      </c>
      <c r="L79" s="3">
        <v>253549.4</v>
      </c>
      <c r="M79" s="3">
        <f t="shared" si="88"/>
        <v>3.199999948265031E-3</v>
      </c>
      <c r="N79" s="37">
        <f t="shared" si="89"/>
        <v>16228.200204813105</v>
      </c>
    </row>
    <row r="80" spans="1:14">
      <c r="A80" s="42"/>
      <c r="B80" s="43"/>
      <c r="C80" s="72"/>
      <c r="D80" s="72"/>
      <c r="E80" s="43"/>
      <c r="F80" s="43"/>
      <c r="G80" s="46"/>
      <c r="H80" s="46"/>
      <c r="I80" s="72"/>
      <c r="J80" s="47"/>
      <c r="K80" s="3"/>
      <c r="L80" s="3"/>
      <c r="M80" s="3"/>
      <c r="N80" s="37"/>
    </row>
    <row r="81" spans="1:14">
      <c r="A81" s="42"/>
      <c r="B81" s="43"/>
      <c r="C81" s="72"/>
      <c r="D81" s="72"/>
      <c r="E81" s="43"/>
      <c r="F81" s="43"/>
      <c r="G81" s="46"/>
      <c r="H81" s="46"/>
      <c r="I81" s="72"/>
      <c r="J81" s="47"/>
      <c r="K81" s="3"/>
      <c r="L81" s="3"/>
      <c r="M81" s="3"/>
      <c r="N81" s="37"/>
    </row>
    <row r="82" spans="1:14" ht="18.75">
      <c r="A82" s="33" t="s">
        <v>34</v>
      </c>
    </row>
    <row r="83" spans="1:14">
      <c r="I83" s="58" t="s">
        <v>32</v>
      </c>
    </row>
    <row r="84" spans="1:14" ht="127.5" customHeight="1">
      <c r="A84" s="4" t="s">
        <v>3</v>
      </c>
      <c r="B84" s="4" t="s">
        <v>28</v>
      </c>
      <c r="C84" s="4" t="s">
        <v>1</v>
      </c>
      <c r="D84" s="4" t="s">
        <v>12</v>
      </c>
      <c r="E84" s="4" t="s">
        <v>58</v>
      </c>
      <c r="F84" s="4" t="s">
        <v>2</v>
      </c>
      <c r="G84" s="4" t="s">
        <v>4</v>
      </c>
      <c r="H84" s="4" t="s">
        <v>6</v>
      </c>
      <c r="I84" s="4" t="s">
        <v>8</v>
      </c>
      <c r="J84" s="4" t="s">
        <v>10</v>
      </c>
      <c r="K84" s="2" t="s">
        <v>47</v>
      </c>
      <c r="L84" s="2" t="s">
        <v>48</v>
      </c>
      <c r="M84" s="2"/>
    </row>
    <row r="85" spans="1:14" ht="15.75" thickBot="1">
      <c r="A85" s="8">
        <v>1</v>
      </c>
      <c r="B85" s="9">
        <v>2</v>
      </c>
      <c r="C85" s="9">
        <v>3</v>
      </c>
      <c r="D85" s="9">
        <v>4</v>
      </c>
      <c r="E85" s="9">
        <v>5</v>
      </c>
      <c r="F85" s="9">
        <v>6</v>
      </c>
      <c r="G85" s="9" t="s">
        <v>5</v>
      </c>
      <c r="H85" s="8" t="s">
        <v>7</v>
      </c>
      <c r="I85" s="9" t="s">
        <v>9</v>
      </c>
      <c r="J85" s="9" t="s">
        <v>11</v>
      </c>
    </row>
    <row r="86" spans="1:14" ht="17.25" customHeight="1">
      <c r="A86" s="11" t="s">
        <v>36</v>
      </c>
      <c r="B86" s="12" t="s">
        <v>53</v>
      </c>
      <c r="C86" s="49">
        <v>1</v>
      </c>
      <c r="D86" s="49">
        <f>((4707+(4707*1.25*1.15)+ 4707*25%))*1.6</f>
        <v>20240.100000000002</v>
      </c>
      <c r="E86" s="12">
        <v>25</v>
      </c>
      <c r="F86" s="12">
        <v>1974</v>
      </c>
      <c r="G86" s="13">
        <f>C86*F86</f>
        <v>1974</v>
      </c>
      <c r="H86" s="13">
        <f>G86/E86</f>
        <v>78.959999999999994</v>
      </c>
      <c r="I86" s="49">
        <f>D86*12*1.302/1974</f>
        <v>160.19823829787234</v>
      </c>
      <c r="J86" s="50">
        <f>I86*H86</f>
        <v>12649.252895999998</v>
      </c>
      <c r="K86" s="3">
        <f>J86*E86</f>
        <v>316231.32239999995</v>
      </c>
      <c r="L86" s="3">
        <v>316231.32</v>
      </c>
      <c r="M86" s="3">
        <f>L86-K86</f>
        <v>-2.3999999393709004E-3</v>
      </c>
      <c r="N86" s="37">
        <f>L86/12/1.302/C86</f>
        <v>20240.099846390167</v>
      </c>
    </row>
    <row r="87" spans="1:14">
      <c r="A87" s="15" t="s">
        <v>37</v>
      </c>
      <c r="B87" s="5" t="s">
        <v>53</v>
      </c>
      <c r="C87" s="7">
        <v>1</v>
      </c>
      <c r="D87" s="7">
        <f>D86</f>
        <v>20240.100000000002</v>
      </c>
      <c r="E87" s="5">
        <v>25</v>
      </c>
      <c r="F87" s="5">
        <v>1974</v>
      </c>
      <c r="G87" s="6">
        <f>C87*F87</f>
        <v>1974</v>
      </c>
      <c r="H87" s="6">
        <f>G87/E87</f>
        <v>78.959999999999994</v>
      </c>
      <c r="I87" s="7">
        <f>D87*12*1.302/1974</f>
        <v>160.19823829787234</v>
      </c>
      <c r="J87" s="51">
        <f>I87*H87</f>
        <v>12649.252895999998</v>
      </c>
      <c r="K87" s="3">
        <f t="shared" ref="K87:K91" si="90">J87*E87</f>
        <v>316231.32239999995</v>
      </c>
      <c r="L87" s="3">
        <v>316231.32</v>
      </c>
      <c r="M87" s="3">
        <f t="shared" ref="M87:M91" si="91">L87-K87</f>
        <v>-2.3999999393709004E-3</v>
      </c>
      <c r="N87" s="37">
        <f t="shared" ref="N87:N91" si="92">L87/12/1.302/C87</f>
        <v>20240.099846390167</v>
      </c>
    </row>
    <row r="88" spans="1:14">
      <c r="A88" s="15" t="s">
        <v>38</v>
      </c>
      <c r="B88" s="5" t="s">
        <v>53</v>
      </c>
      <c r="C88" s="7">
        <v>1</v>
      </c>
      <c r="D88" s="7">
        <v>20240.099999999999</v>
      </c>
      <c r="E88" s="5">
        <v>25</v>
      </c>
      <c r="F88" s="5">
        <v>1974</v>
      </c>
      <c r="G88" s="6">
        <f t="shared" ref="G88:G91" si="93">C88*F88</f>
        <v>1974</v>
      </c>
      <c r="H88" s="6">
        <f t="shared" ref="H88:H91" si="94">G88/E88</f>
        <v>78.959999999999994</v>
      </c>
      <c r="I88" s="7">
        <f t="shared" ref="I88:I91" si="95">D88*12*1.302/1974</f>
        <v>160.19823829787234</v>
      </c>
      <c r="J88" s="51">
        <f t="shared" ref="J88:J91" si="96">I88*H88</f>
        <v>12649.252895999998</v>
      </c>
      <c r="K88" s="3">
        <f t="shared" si="90"/>
        <v>316231.32239999995</v>
      </c>
      <c r="L88" s="3">
        <v>316231.32</v>
      </c>
      <c r="M88" s="3">
        <f t="shared" si="91"/>
        <v>-2.3999999393709004E-3</v>
      </c>
      <c r="N88" s="37">
        <f t="shared" si="92"/>
        <v>20240.099846390167</v>
      </c>
    </row>
    <row r="89" spans="1:14">
      <c r="A89" s="15" t="s">
        <v>40</v>
      </c>
      <c r="B89" s="5" t="s">
        <v>53</v>
      </c>
      <c r="C89" s="7">
        <v>1</v>
      </c>
      <c r="D89" s="7">
        <v>20240.099999999999</v>
      </c>
      <c r="E89" s="5">
        <v>25</v>
      </c>
      <c r="F89" s="5">
        <v>1974</v>
      </c>
      <c r="G89" s="6">
        <f t="shared" si="93"/>
        <v>1974</v>
      </c>
      <c r="H89" s="6">
        <f t="shared" si="94"/>
        <v>78.959999999999994</v>
      </c>
      <c r="I89" s="7">
        <f t="shared" si="95"/>
        <v>160.19823829787234</v>
      </c>
      <c r="J89" s="51">
        <f t="shared" si="96"/>
        <v>12649.252895999998</v>
      </c>
      <c r="K89" s="3">
        <f t="shared" si="90"/>
        <v>316231.32239999995</v>
      </c>
      <c r="L89" s="3">
        <v>316231.32</v>
      </c>
      <c r="M89" s="3">
        <f t="shared" si="91"/>
        <v>-2.3999999393709004E-3</v>
      </c>
      <c r="N89" s="37">
        <f t="shared" si="92"/>
        <v>20240.099846390167</v>
      </c>
    </row>
    <row r="90" spans="1:14">
      <c r="A90" s="15" t="s">
        <v>42</v>
      </c>
      <c r="B90" s="5" t="s">
        <v>53</v>
      </c>
      <c r="C90" s="7">
        <v>1</v>
      </c>
      <c r="D90" s="7">
        <v>20240.099999999999</v>
      </c>
      <c r="E90" s="5">
        <v>25</v>
      </c>
      <c r="F90" s="5">
        <v>1974</v>
      </c>
      <c r="G90" s="6">
        <f t="shared" si="93"/>
        <v>1974</v>
      </c>
      <c r="H90" s="6">
        <f t="shared" si="94"/>
        <v>78.959999999999994</v>
      </c>
      <c r="I90" s="7">
        <f t="shared" si="95"/>
        <v>160.19823829787234</v>
      </c>
      <c r="J90" s="51">
        <f t="shared" si="96"/>
        <v>12649.252895999998</v>
      </c>
      <c r="K90" s="3">
        <f t="shared" si="90"/>
        <v>316231.32239999995</v>
      </c>
      <c r="L90" s="3">
        <v>316231.32</v>
      </c>
      <c r="M90" s="3">
        <f t="shared" si="91"/>
        <v>-2.3999999393709004E-3</v>
      </c>
      <c r="N90" s="37">
        <f t="shared" si="92"/>
        <v>20240.099846390167</v>
      </c>
    </row>
    <row r="91" spans="1:14" ht="15.75" thickBot="1">
      <c r="A91" s="17" t="s">
        <v>43</v>
      </c>
      <c r="B91" s="18" t="s">
        <v>53</v>
      </c>
      <c r="C91" s="52">
        <v>1</v>
      </c>
      <c r="D91" s="52">
        <v>20240.099999999999</v>
      </c>
      <c r="E91" s="18">
        <v>25</v>
      </c>
      <c r="F91" s="18">
        <v>1974</v>
      </c>
      <c r="G91" s="19">
        <f t="shared" si="93"/>
        <v>1974</v>
      </c>
      <c r="H91" s="19">
        <f t="shared" si="94"/>
        <v>78.959999999999994</v>
      </c>
      <c r="I91" s="52">
        <f t="shared" si="95"/>
        <v>160.19823829787234</v>
      </c>
      <c r="J91" s="53">
        <f t="shared" si="96"/>
        <v>12649.252895999998</v>
      </c>
      <c r="K91" s="3">
        <f t="shared" si="90"/>
        <v>316231.32239999995</v>
      </c>
      <c r="L91" s="3">
        <v>316231.32</v>
      </c>
      <c r="M91" s="3">
        <f t="shared" si="91"/>
        <v>-2.3999999393709004E-3</v>
      </c>
      <c r="N91" s="37">
        <f t="shared" si="92"/>
        <v>20240.099846390167</v>
      </c>
    </row>
    <row r="92" spans="1:14" ht="15.75" thickBot="1">
      <c r="A92" s="54"/>
      <c r="B92" s="34"/>
      <c r="C92" s="36"/>
      <c r="D92" s="36"/>
      <c r="E92" s="34"/>
      <c r="F92" s="34"/>
      <c r="G92" s="35"/>
      <c r="H92" s="35"/>
      <c r="I92" s="36"/>
      <c r="J92" s="68"/>
      <c r="K92" s="3"/>
      <c r="L92" s="3"/>
      <c r="M92" s="3"/>
      <c r="N92" s="37"/>
    </row>
    <row r="93" spans="1:14" ht="15.75" thickBot="1">
      <c r="A93" s="59" t="s">
        <v>41</v>
      </c>
      <c r="B93" s="60" t="s">
        <v>53</v>
      </c>
      <c r="C93" s="69">
        <v>1</v>
      </c>
      <c r="D93" s="69">
        <v>20240.099999999999</v>
      </c>
      <c r="E93" s="60">
        <v>25</v>
      </c>
      <c r="F93" s="60">
        <v>1974</v>
      </c>
      <c r="G93" s="63">
        <f t="shared" ref="G93" si="97">C93*F93</f>
        <v>1974</v>
      </c>
      <c r="H93" s="63">
        <f t="shared" ref="H93" si="98">G93/E93</f>
        <v>78.959999999999994</v>
      </c>
      <c r="I93" s="69">
        <f t="shared" ref="I93" si="99">D93*12*1.302/1974</f>
        <v>160.19823829787234</v>
      </c>
      <c r="J93" s="70">
        <f t="shared" ref="J93" si="100">I93*H93</f>
        <v>12649.252895999998</v>
      </c>
      <c r="K93" s="3">
        <f t="shared" ref="K93" si="101">J93*E93</f>
        <v>316231.32239999995</v>
      </c>
      <c r="L93" s="3">
        <v>316231.32</v>
      </c>
      <c r="M93" s="3">
        <f t="shared" ref="M93" si="102">L93-K93</f>
        <v>-2.3999999393709004E-3</v>
      </c>
      <c r="N93" s="37">
        <f t="shared" ref="N93" si="103">L93/12/1.302/C93</f>
        <v>20240.099846390167</v>
      </c>
    </row>
    <row r="94" spans="1:14" ht="15.75" thickBot="1">
      <c r="A94" s="54"/>
      <c r="B94" s="34"/>
      <c r="C94" s="36"/>
      <c r="D94" s="36"/>
      <c r="E94" s="34"/>
      <c r="F94" s="34"/>
      <c r="G94" s="35"/>
      <c r="H94" s="35"/>
      <c r="I94" s="36"/>
      <c r="J94" s="68"/>
      <c r="K94" s="3"/>
      <c r="L94" s="3"/>
      <c r="M94" s="3"/>
      <c r="N94" s="37"/>
    </row>
    <row r="95" spans="1:14">
      <c r="A95" s="11" t="s">
        <v>39</v>
      </c>
      <c r="B95" s="12" t="s">
        <v>53</v>
      </c>
      <c r="C95" s="49">
        <v>0.5</v>
      </c>
      <c r="D95" s="49">
        <v>20240.099999999999</v>
      </c>
      <c r="E95" s="12">
        <v>25</v>
      </c>
      <c r="F95" s="12">
        <v>1974</v>
      </c>
      <c r="G95" s="13">
        <f t="shared" ref="G95:G96" si="104">C95*F95</f>
        <v>987</v>
      </c>
      <c r="H95" s="13">
        <f t="shared" ref="H95:H96" si="105">G95/E95</f>
        <v>39.479999999999997</v>
      </c>
      <c r="I95" s="49">
        <f t="shared" ref="I95:I96" si="106">D95*12*1.302/1974</f>
        <v>160.19823829787234</v>
      </c>
      <c r="J95" s="50">
        <f t="shared" ref="J95:J96" si="107">I95*H95</f>
        <v>6324.6264479999991</v>
      </c>
      <c r="K95" s="3">
        <f t="shared" ref="K95:K96" si="108">J95*E95</f>
        <v>158115.66119999997</v>
      </c>
      <c r="L95" s="3">
        <v>158115.66</v>
      </c>
      <c r="M95" s="3">
        <f t="shared" ref="M95:M96" si="109">L95-K95</f>
        <v>-1.1999999696854502E-3</v>
      </c>
      <c r="N95" s="37">
        <f t="shared" ref="N95:N96" si="110">L95/12/1.302/C95</f>
        <v>20240.099846390167</v>
      </c>
    </row>
    <row r="96" spans="1:14" ht="15.75" thickBot="1">
      <c r="A96" s="17" t="s">
        <v>44</v>
      </c>
      <c r="B96" s="18" t="s">
        <v>53</v>
      </c>
      <c r="C96" s="52">
        <v>0.5</v>
      </c>
      <c r="D96" s="52">
        <v>20240.099999999999</v>
      </c>
      <c r="E96" s="18">
        <v>25</v>
      </c>
      <c r="F96" s="18">
        <v>1974</v>
      </c>
      <c r="G96" s="19">
        <f t="shared" si="104"/>
        <v>987</v>
      </c>
      <c r="H96" s="19">
        <f t="shared" si="105"/>
        <v>39.479999999999997</v>
      </c>
      <c r="I96" s="52">
        <f t="shared" si="106"/>
        <v>160.19823829787234</v>
      </c>
      <c r="J96" s="53">
        <f t="shared" si="107"/>
        <v>6324.6264479999991</v>
      </c>
      <c r="K96" s="3">
        <f t="shared" si="108"/>
        <v>158115.66119999997</v>
      </c>
      <c r="L96" s="3">
        <v>158115.66</v>
      </c>
      <c r="M96" s="3">
        <f t="shared" si="109"/>
        <v>-1.1999999696854502E-3</v>
      </c>
      <c r="N96" s="37">
        <f t="shared" si="110"/>
        <v>20240.099846390167</v>
      </c>
    </row>
    <row r="97" spans="1:14">
      <c r="A97" s="42"/>
      <c r="B97" s="43"/>
      <c r="C97" s="72"/>
      <c r="D97" s="72"/>
      <c r="E97" s="43"/>
      <c r="F97" s="43"/>
      <c r="G97" s="46"/>
      <c r="H97" s="46"/>
      <c r="I97" s="72"/>
      <c r="J97" s="47"/>
      <c r="K97" s="3"/>
      <c r="L97" s="3"/>
      <c r="M97" s="3"/>
      <c r="N97" s="37"/>
    </row>
    <row r="98" spans="1:14">
      <c r="A98" s="42"/>
      <c r="B98" s="43"/>
      <c r="C98" s="72"/>
      <c r="D98" s="72"/>
      <c r="E98" s="43"/>
      <c r="F98" s="43"/>
      <c r="G98" s="46"/>
      <c r="H98" s="46"/>
      <c r="I98" s="72"/>
      <c r="J98" s="47"/>
      <c r="K98" s="3"/>
      <c r="L98" s="3"/>
      <c r="M98" s="3"/>
      <c r="N98" s="37"/>
    </row>
    <row r="99" spans="1:14">
      <c r="A99" s="42"/>
      <c r="B99" s="43"/>
      <c r="C99" s="72"/>
      <c r="D99" s="72"/>
      <c r="E99" s="43"/>
      <c r="F99" s="43"/>
      <c r="G99" s="46"/>
      <c r="H99" s="46"/>
      <c r="I99" s="72"/>
      <c r="J99" s="47"/>
      <c r="K99" s="3"/>
      <c r="L99" s="3"/>
      <c r="M99" s="3"/>
      <c r="N99" s="37"/>
    </row>
    <row r="101" spans="1:14" outlineLevel="1">
      <c r="K101" s="3">
        <f>K7+K8+K9+K10+K11+K12+K14+K16+K17+K23+K24+K25+K26+K27+K28+K30+K32+K33+K39+K40+K41+K42+K43+K44+K46+K48+K49</f>
        <v>176386011.75080898</v>
      </c>
      <c r="L101" s="1">
        <f>2058300+11621464+3509679.83+2479415+748784+11416539.21+3447795.65+3082146+930809.17+10198907.34+3080070.56+2096379+633107.53+5918733.1+1787457.54+1295680.72+391295.06+18170929+5487620.5+4313151+1302571.74+21308502+6435163.7+5128866+1548923.74+19429699+5867769+1439669.76+4767117+5073190+1532103+1222692+369253.44+12835470+3876360.1+3111229+939548</f>
        <v>188856391.68999997</v>
      </c>
    </row>
    <row r="102" spans="1:14" outlineLevel="1"/>
    <row r="103" spans="1:14" outlineLevel="1">
      <c r="C103" s="3">
        <f>C7+C55+C69+C86</f>
        <v>55.78</v>
      </c>
      <c r="D103" s="1">
        <f>4+38.03+10.75+3</f>
        <v>55.78</v>
      </c>
      <c r="J103" s="1">
        <v>1</v>
      </c>
      <c r="K103" s="3">
        <f>K39+K23+K7+K86+K69+K55</f>
        <v>18539332.826310277</v>
      </c>
      <c r="L103" s="3">
        <f>L39+L23+L7+L86+L69+L55</f>
        <v>18539332.829999998</v>
      </c>
      <c r="M103" s="3">
        <f t="shared" ref="M103:M111" si="111">L103-K103</f>
        <v>3.6897212266921997E-3</v>
      </c>
    </row>
    <row r="104" spans="1:14" outlineLevel="1">
      <c r="C104" s="3">
        <f t="shared" ref="C104:C108" si="112">C8+C56+C70+C87</f>
        <v>58.65</v>
      </c>
      <c r="D104" s="1">
        <f>4.5+40.4+10.25+3.5</f>
        <v>58.65</v>
      </c>
      <c r="J104" s="1">
        <v>2</v>
      </c>
      <c r="K104" s="3">
        <f t="shared" ref="K104:L108" si="113">K40+K24+K8+K87+K70+K56</f>
        <v>19097290.023148507</v>
      </c>
      <c r="L104" s="3">
        <f t="shared" si="113"/>
        <v>19097290.030000001</v>
      </c>
      <c r="M104" s="3">
        <f t="shared" si="111"/>
        <v>6.851494312286377E-3</v>
      </c>
    </row>
    <row r="105" spans="1:14" outlineLevel="1">
      <c r="C105" s="3">
        <f t="shared" si="112"/>
        <v>57.14</v>
      </c>
      <c r="D105" s="1">
        <f>4+36.64+12.75+3.75</f>
        <v>57.14</v>
      </c>
      <c r="J105" s="1">
        <v>3</v>
      </c>
      <c r="K105" s="3">
        <f t="shared" si="113"/>
        <v>16158464.43323697</v>
      </c>
      <c r="L105" s="3">
        <f t="shared" si="113"/>
        <v>16158464.429999998</v>
      </c>
      <c r="M105" s="3">
        <f t="shared" si="111"/>
        <v>-3.2369717955589294E-3</v>
      </c>
    </row>
    <row r="106" spans="1:14" outlineLevel="1">
      <c r="C106" s="3">
        <f t="shared" si="112"/>
        <v>82.69</v>
      </c>
      <c r="D106" s="1">
        <f>5.5+56.69+15+5.5</f>
        <v>82.69</v>
      </c>
      <c r="J106" s="1">
        <v>7</v>
      </c>
      <c r="K106" s="3">
        <f t="shared" si="113"/>
        <v>29579272.235593718</v>
      </c>
      <c r="L106" s="3">
        <f t="shared" si="113"/>
        <v>29579272.239999995</v>
      </c>
      <c r="M106" s="3">
        <f t="shared" si="111"/>
        <v>4.4062770903110504E-3</v>
      </c>
    </row>
    <row r="107" spans="1:14" outlineLevel="1">
      <c r="C107" s="3">
        <f t="shared" si="112"/>
        <v>93.960000000000008</v>
      </c>
      <c r="D107" s="1">
        <f>7+65.93+15.03+6</f>
        <v>93.960000000000008</v>
      </c>
      <c r="J107" s="1">
        <v>9</v>
      </c>
      <c r="K107" s="3">
        <f t="shared" si="113"/>
        <v>31834254.753900547</v>
      </c>
      <c r="L107" s="3">
        <f t="shared" si="113"/>
        <v>31834254.759999998</v>
      </c>
      <c r="M107" s="3">
        <f t="shared" si="111"/>
        <v>6.0994513332843781E-3</v>
      </c>
    </row>
    <row r="108" spans="1:14" outlineLevel="1">
      <c r="C108" s="3">
        <f t="shared" si="112"/>
        <v>63.69</v>
      </c>
      <c r="D108" s="1">
        <f>4+40.75+13.94+5</f>
        <v>63.69</v>
      </c>
      <c r="J108" s="1">
        <v>14</v>
      </c>
      <c r="K108" s="3">
        <f t="shared" si="113"/>
        <v>20992607.093398552</v>
      </c>
      <c r="L108" s="3">
        <f t="shared" si="113"/>
        <v>20992607.100000001</v>
      </c>
      <c r="M108" s="3">
        <f t="shared" si="111"/>
        <v>6.6014491021633148E-3</v>
      </c>
    </row>
    <row r="109" spans="1:14" outlineLevel="1">
      <c r="C109" s="3">
        <f>C14+C62+C76+C93</f>
        <v>98.49</v>
      </c>
      <c r="D109" s="1">
        <f>6+71.49+15+6</f>
        <v>98.49</v>
      </c>
      <c r="J109" s="1">
        <v>8</v>
      </c>
      <c r="K109" s="3">
        <f>K14+K30+K46+K60+K76+K93</f>
        <v>35263847.600603595</v>
      </c>
      <c r="L109" s="3">
        <f>L14+L30+L46+L60+L76+L93</f>
        <v>35263847.609999992</v>
      </c>
      <c r="M109" s="3">
        <f t="shared" si="111"/>
        <v>9.3963965773582458E-3</v>
      </c>
    </row>
    <row r="110" spans="1:14" outlineLevel="1">
      <c r="C110" s="3">
        <f>C95+C78+C16</f>
        <v>28.72</v>
      </c>
      <c r="D110" s="1">
        <f>2+19.22+5.5+2</f>
        <v>28.72</v>
      </c>
      <c r="J110" s="1">
        <v>4</v>
      </c>
      <c r="K110" s="3">
        <f>K16+K32+K48+K78+K95</f>
        <v>9493166.4195126519</v>
      </c>
      <c r="L110" s="3">
        <f>L16+L32+L48+L78+L95</f>
        <v>9493166.4199999999</v>
      </c>
      <c r="M110" s="3">
        <f t="shared" si="111"/>
        <v>4.8734806478023529E-4</v>
      </c>
    </row>
    <row r="111" spans="1:14" outlineLevel="1">
      <c r="C111" s="3">
        <f>C96+C79+C17</f>
        <v>25.58</v>
      </c>
      <c r="D111" s="1">
        <f>2.5+16.58+4+2.5</f>
        <v>25.58</v>
      </c>
      <c r="J111" s="1">
        <v>11</v>
      </c>
      <c r="K111" s="3">
        <f>K17+K33+K49+K79+K96</f>
        <v>8440238.4361041598</v>
      </c>
      <c r="L111" s="3">
        <f>L17+L33+L49+L79+L96</f>
        <v>8440238.4399999995</v>
      </c>
      <c r="M111" s="3">
        <f t="shared" si="111"/>
        <v>3.8958396762609482E-3</v>
      </c>
    </row>
  </sheetData>
  <pageMargins left="0.31496062992125984" right="0" top="0.35433070866141736" bottom="0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35"/>
  <sheetViews>
    <sheetView zoomScale="90" zoomScaleNormal="90" workbookViewId="0">
      <pane xSplit="1" ySplit="5" topLeftCell="B192" activePane="bottomRight" state="frozen"/>
      <selection pane="topRight" activeCell="B1" sqref="B1"/>
      <selection pane="bottomLeft" activeCell="A6" sqref="A6"/>
      <selection pane="bottomRight" activeCell="N193" sqref="N193"/>
    </sheetView>
  </sheetViews>
  <sheetFormatPr defaultRowHeight="15"/>
  <cols>
    <col min="1" max="1" width="12.7109375" customWidth="1"/>
    <col min="2" max="2" width="33" style="1" customWidth="1"/>
    <col min="3" max="3" width="11" style="1" customWidth="1"/>
    <col min="4" max="4" width="12.42578125" style="1" customWidth="1"/>
    <col min="5" max="5" width="11.42578125" style="1" customWidth="1"/>
    <col min="6" max="6" width="10.85546875" style="1" customWidth="1"/>
    <col min="7" max="7" width="9.85546875" customWidth="1"/>
    <col min="8" max="8" width="12.7109375" customWidth="1"/>
    <col min="9" max="9" width="10.85546875" style="1" customWidth="1"/>
    <col min="10" max="10" width="11.7109375" style="1" customWidth="1"/>
    <col min="11" max="11" width="10.7109375" style="1" customWidth="1"/>
    <col min="12" max="19" width="9.140625" style="1"/>
  </cols>
  <sheetData>
    <row r="1" spans="1:20" ht="38.25" customHeight="1">
      <c r="A1" s="121" t="s">
        <v>60</v>
      </c>
      <c r="B1" s="121"/>
      <c r="C1" s="121"/>
      <c r="D1" s="121"/>
      <c r="E1" s="121"/>
      <c r="F1" s="121"/>
      <c r="G1" s="121"/>
      <c r="H1" s="121"/>
      <c r="I1" s="121"/>
    </row>
    <row r="2" spans="1:20" ht="12" customHeight="1">
      <c r="A2" s="66"/>
      <c r="B2" s="66"/>
      <c r="C2" s="66"/>
      <c r="D2" s="66"/>
      <c r="E2" s="66"/>
      <c r="F2" s="66"/>
      <c r="G2" s="66"/>
      <c r="H2" s="66"/>
      <c r="I2" s="66"/>
    </row>
    <row r="3" spans="1:20" ht="19.5" thickBot="1">
      <c r="A3" s="33" t="s">
        <v>35</v>
      </c>
      <c r="T3" s="1"/>
    </row>
    <row r="4" spans="1:20" ht="90">
      <c r="A4" s="73" t="s">
        <v>3</v>
      </c>
      <c r="B4" s="24" t="s">
        <v>13</v>
      </c>
      <c r="C4" s="24" t="s">
        <v>18</v>
      </c>
      <c r="D4" s="24" t="s">
        <v>14</v>
      </c>
      <c r="E4" s="24" t="s">
        <v>58</v>
      </c>
      <c r="F4" s="24" t="s">
        <v>59</v>
      </c>
      <c r="G4" s="24" t="s">
        <v>15</v>
      </c>
      <c r="H4" s="24" t="s">
        <v>16</v>
      </c>
      <c r="I4" s="25" t="s">
        <v>10</v>
      </c>
      <c r="J4" s="2"/>
      <c r="K4" s="2"/>
      <c r="L4" s="2"/>
    </row>
    <row r="5" spans="1:20" ht="15.75" thickBot="1">
      <c r="A5" s="38">
        <v>1</v>
      </c>
      <c r="B5" s="9">
        <v>2</v>
      </c>
      <c r="C5" s="9">
        <v>3</v>
      </c>
      <c r="D5" s="9">
        <v>4</v>
      </c>
      <c r="E5" s="9">
        <v>5</v>
      </c>
      <c r="F5" s="9" t="s">
        <v>17</v>
      </c>
      <c r="G5" s="9">
        <v>7</v>
      </c>
      <c r="H5" s="8">
        <v>8</v>
      </c>
      <c r="I5" s="39" t="s">
        <v>19</v>
      </c>
    </row>
    <row r="6" spans="1:20" ht="45">
      <c r="A6" s="11" t="s">
        <v>36</v>
      </c>
      <c r="B6" s="74" t="s">
        <v>55</v>
      </c>
      <c r="C6" s="12" t="s">
        <v>25</v>
      </c>
      <c r="D6" s="12">
        <v>1</v>
      </c>
      <c r="E6" s="12">
        <v>182</v>
      </c>
      <c r="F6" s="30">
        <f>D6/E6</f>
        <v>5.4945054945054949E-3</v>
      </c>
      <c r="G6" s="21">
        <v>1</v>
      </c>
      <c r="H6" s="13">
        <v>37299.72</v>
      </c>
      <c r="I6" s="14">
        <f>F6*H6</f>
        <v>204.9435164835165</v>
      </c>
    </row>
    <row r="7" spans="1:20">
      <c r="A7" s="15"/>
      <c r="B7" s="5" t="s">
        <v>29</v>
      </c>
      <c r="C7" s="5" t="s">
        <v>25</v>
      </c>
      <c r="D7" s="5">
        <v>1</v>
      </c>
      <c r="E7" s="5">
        <v>182</v>
      </c>
      <c r="F7" s="31">
        <f>D7/E7</f>
        <v>5.4945054945054949E-3</v>
      </c>
      <c r="G7" s="20">
        <v>1</v>
      </c>
      <c r="H7" s="6">
        <v>8000</v>
      </c>
      <c r="I7" s="16">
        <f t="shared" ref="I7:I10" si="0">F7*H7</f>
        <v>43.956043956043956</v>
      </c>
    </row>
    <row r="8" spans="1:20">
      <c r="A8" s="15"/>
      <c r="B8" s="5" t="s">
        <v>20</v>
      </c>
      <c r="C8" s="5" t="s">
        <v>21</v>
      </c>
      <c r="D8" s="5">
        <v>30</v>
      </c>
      <c r="E8" s="5">
        <v>182</v>
      </c>
      <c r="F8" s="31">
        <f>D8/E8</f>
        <v>0.16483516483516483</v>
      </c>
      <c r="G8" s="20">
        <v>1</v>
      </c>
      <c r="H8" s="6">
        <v>250</v>
      </c>
      <c r="I8" s="16">
        <f t="shared" ref="I8:I9" si="1">F8*H8</f>
        <v>41.208791208791212</v>
      </c>
    </row>
    <row r="9" spans="1:20">
      <c r="A9" s="15"/>
      <c r="B9" s="5" t="s">
        <v>57</v>
      </c>
      <c r="C9" s="5" t="s">
        <v>25</v>
      </c>
      <c r="D9" s="5">
        <v>1</v>
      </c>
      <c r="E9" s="5">
        <v>182</v>
      </c>
      <c r="F9" s="31">
        <f>D9/E9</f>
        <v>5.4945054945054949E-3</v>
      </c>
      <c r="G9" s="20">
        <v>1</v>
      </c>
      <c r="H9" s="6"/>
      <c r="I9" s="16">
        <f t="shared" si="1"/>
        <v>0</v>
      </c>
    </row>
    <row r="10" spans="1:20">
      <c r="A10" s="15"/>
      <c r="B10" s="5" t="s">
        <v>56</v>
      </c>
      <c r="C10" s="5" t="s">
        <v>25</v>
      </c>
      <c r="D10" s="5">
        <v>1</v>
      </c>
      <c r="E10" s="5">
        <v>182</v>
      </c>
      <c r="F10" s="31">
        <f>D10/E10</f>
        <v>5.4945054945054949E-3</v>
      </c>
      <c r="G10" s="20">
        <v>1</v>
      </c>
      <c r="H10" s="6">
        <v>2000</v>
      </c>
      <c r="I10" s="16">
        <f t="shared" si="0"/>
        <v>10.989010989010989</v>
      </c>
    </row>
    <row r="11" spans="1:20" ht="15.75" thickBot="1">
      <c r="A11" s="17"/>
      <c r="B11" s="18"/>
      <c r="C11" s="18"/>
      <c r="D11" s="18"/>
      <c r="E11" s="18"/>
      <c r="F11" s="40"/>
      <c r="G11" s="41"/>
      <c r="H11" s="19"/>
      <c r="I11" s="48">
        <f>SUM(I6:I10)</f>
        <v>301.09736263736266</v>
      </c>
      <c r="J11" s="77">
        <f>I11*E10</f>
        <v>54799.720000000008</v>
      </c>
      <c r="K11" s="77">
        <f>(138999.3-1000-1000)*0.4</f>
        <v>54799.72</v>
      </c>
      <c r="L11" s="77">
        <f>K11-J11</f>
        <v>0</v>
      </c>
    </row>
    <row r="12" spans="1:20" ht="45">
      <c r="A12" s="11" t="s">
        <v>37</v>
      </c>
      <c r="B12" s="74" t="s">
        <v>55</v>
      </c>
      <c r="C12" s="12" t="s">
        <v>25</v>
      </c>
      <c r="D12" s="12">
        <v>1</v>
      </c>
      <c r="E12" s="12">
        <v>294</v>
      </c>
      <c r="F12" s="30">
        <f>D12/E12</f>
        <v>3.4013605442176869E-3</v>
      </c>
      <c r="G12" s="21">
        <v>1</v>
      </c>
      <c r="H12" s="13">
        <f>22406.96-0.004</f>
        <v>22406.955999999998</v>
      </c>
      <c r="I12" s="14">
        <f>F12*H12</f>
        <v>76.214136054421758</v>
      </c>
    </row>
    <row r="13" spans="1:20">
      <c r="A13" s="15"/>
      <c r="B13" s="5" t="s">
        <v>29</v>
      </c>
      <c r="C13" s="5" t="s">
        <v>25</v>
      </c>
      <c r="D13" s="5">
        <v>1</v>
      </c>
      <c r="E13" s="5">
        <v>294</v>
      </c>
      <c r="F13" s="31">
        <f>D13/E13</f>
        <v>3.4013605442176869E-3</v>
      </c>
      <c r="G13" s="20">
        <v>1</v>
      </c>
      <c r="H13" s="6">
        <v>8000</v>
      </c>
      <c r="I13" s="16">
        <f t="shared" ref="I13:I16" si="2">F13*H13</f>
        <v>27.210884353741495</v>
      </c>
    </row>
    <row r="14" spans="1:20">
      <c r="A14" s="15"/>
      <c r="B14" s="5" t="s">
        <v>20</v>
      </c>
      <c r="C14" s="5" t="s">
        <v>21</v>
      </c>
      <c r="D14" s="5">
        <v>20</v>
      </c>
      <c r="E14" s="5">
        <v>294</v>
      </c>
      <c r="F14" s="31">
        <f>D14/E14</f>
        <v>6.8027210884353748E-2</v>
      </c>
      <c r="G14" s="20">
        <v>1</v>
      </c>
      <c r="H14" s="6">
        <v>250</v>
      </c>
      <c r="I14" s="16">
        <f t="shared" si="2"/>
        <v>17.006802721088437</v>
      </c>
    </row>
    <row r="15" spans="1:20">
      <c r="A15" s="15"/>
      <c r="B15" s="5" t="s">
        <v>57</v>
      </c>
      <c r="C15" s="5" t="s">
        <v>25</v>
      </c>
      <c r="D15" s="5">
        <v>1</v>
      </c>
      <c r="E15" s="5">
        <v>294</v>
      </c>
      <c r="F15" s="31">
        <f>D15/E15</f>
        <v>3.4013605442176869E-3</v>
      </c>
      <c r="G15" s="20">
        <v>1</v>
      </c>
      <c r="H15" s="6"/>
      <c r="I15" s="16">
        <f t="shared" si="2"/>
        <v>0</v>
      </c>
    </row>
    <row r="16" spans="1:20">
      <c r="A16" s="15"/>
      <c r="B16" s="5" t="s">
        <v>56</v>
      </c>
      <c r="C16" s="5" t="s">
        <v>25</v>
      </c>
      <c r="D16" s="5">
        <v>1</v>
      </c>
      <c r="E16" s="5">
        <v>294</v>
      </c>
      <c r="F16" s="31">
        <f>D16/E16</f>
        <v>3.4013605442176869E-3</v>
      </c>
      <c r="G16" s="20">
        <v>1</v>
      </c>
      <c r="H16" s="6">
        <f>20940-13000</f>
        <v>7940</v>
      </c>
      <c r="I16" s="16">
        <f t="shared" si="2"/>
        <v>27.006802721088434</v>
      </c>
    </row>
    <row r="17" spans="1:12" ht="15.75" thickBot="1">
      <c r="A17" s="17"/>
      <c r="B17" s="18"/>
      <c r="C17" s="18"/>
      <c r="D17" s="18"/>
      <c r="E17" s="18"/>
      <c r="F17" s="40"/>
      <c r="G17" s="41"/>
      <c r="H17" s="19"/>
      <c r="I17" s="48">
        <f>SUM(I12:I16)</f>
        <v>147.43862585034012</v>
      </c>
      <c r="J17" s="77">
        <f>I17*E16</f>
        <v>43346.955999999991</v>
      </c>
      <c r="K17" s="77">
        <f>(85192.14-4920)*0.54</f>
        <v>43346.955600000001</v>
      </c>
      <c r="L17" s="77">
        <f>K17-J17</f>
        <v>-3.9999998989515007E-4</v>
      </c>
    </row>
    <row r="18" spans="1:12" ht="45">
      <c r="A18" s="11" t="s">
        <v>38</v>
      </c>
      <c r="B18" s="74" t="s">
        <v>55</v>
      </c>
      <c r="C18" s="12" t="s">
        <v>25</v>
      </c>
      <c r="D18" s="12">
        <v>1</v>
      </c>
      <c r="E18" s="12">
        <v>163</v>
      </c>
      <c r="F18" s="30">
        <f>D18/E18</f>
        <v>6.1349693251533744E-3</v>
      </c>
      <c r="G18" s="21">
        <v>1</v>
      </c>
      <c r="H18" s="13">
        <f>12482.88+0.005</f>
        <v>12482.884999999998</v>
      </c>
      <c r="I18" s="14">
        <f>F18*H18</f>
        <v>76.582116564417163</v>
      </c>
    </row>
    <row r="19" spans="1:12">
      <c r="A19" s="15"/>
      <c r="B19" s="5" t="s">
        <v>29</v>
      </c>
      <c r="C19" s="5" t="s">
        <v>25</v>
      </c>
      <c r="D19" s="5">
        <v>1</v>
      </c>
      <c r="E19" s="5">
        <v>163</v>
      </c>
      <c r="F19" s="31">
        <f>D19/E19</f>
        <v>6.1349693251533744E-3</v>
      </c>
      <c r="G19" s="20">
        <v>1</v>
      </c>
      <c r="H19" s="6">
        <v>5000</v>
      </c>
      <c r="I19" s="16">
        <f t="shared" ref="I19:I22" si="3">F19*H19</f>
        <v>30.674846625766872</v>
      </c>
    </row>
    <row r="20" spans="1:12">
      <c r="A20" s="15"/>
      <c r="B20" s="5" t="s">
        <v>20</v>
      </c>
      <c r="C20" s="5" t="s">
        <v>21</v>
      </c>
      <c r="D20" s="5">
        <v>20</v>
      </c>
      <c r="E20" s="5">
        <v>163</v>
      </c>
      <c r="F20" s="31">
        <f>D20/E20</f>
        <v>0.12269938650306748</v>
      </c>
      <c r="G20" s="20">
        <v>1</v>
      </c>
      <c r="H20" s="6">
        <v>250</v>
      </c>
      <c r="I20" s="16">
        <f t="shared" si="3"/>
        <v>30.674846625766872</v>
      </c>
    </row>
    <row r="21" spans="1:12">
      <c r="A21" s="15"/>
      <c r="B21" s="5" t="s">
        <v>57</v>
      </c>
      <c r="C21" s="5" t="s">
        <v>25</v>
      </c>
      <c r="D21" s="5">
        <v>1</v>
      </c>
      <c r="E21" s="5">
        <v>163</v>
      </c>
      <c r="F21" s="31">
        <f>D21/E21</f>
        <v>6.1349693251533744E-3</v>
      </c>
      <c r="G21" s="20">
        <v>1</v>
      </c>
      <c r="H21" s="6"/>
      <c r="I21" s="16">
        <f t="shared" si="3"/>
        <v>0</v>
      </c>
    </row>
    <row r="22" spans="1:12">
      <c r="A22" s="15"/>
      <c r="B22" s="5" t="s">
        <v>56</v>
      </c>
      <c r="C22" s="5" t="s">
        <v>25</v>
      </c>
      <c r="D22" s="5">
        <v>1</v>
      </c>
      <c r="E22" s="5">
        <v>163</v>
      </c>
      <c r="F22" s="31">
        <f>D22/E22</f>
        <v>6.1349693251533744E-3</v>
      </c>
      <c r="G22" s="20">
        <v>1</v>
      </c>
      <c r="H22" s="6">
        <v>1000</v>
      </c>
      <c r="I22" s="16">
        <f t="shared" si="3"/>
        <v>6.1349693251533743</v>
      </c>
    </row>
    <row r="23" spans="1:12" ht="15.75" thickBot="1">
      <c r="A23" s="17"/>
      <c r="B23" s="18"/>
      <c r="C23" s="18"/>
      <c r="D23" s="18"/>
      <c r="E23" s="18"/>
      <c r="F23" s="40"/>
      <c r="G23" s="41"/>
      <c r="H23" s="19"/>
      <c r="I23" s="48">
        <f>SUM(I18:I22)</f>
        <v>144.06677914110429</v>
      </c>
      <c r="J23" s="77">
        <f>I23*E22</f>
        <v>23482.884999999998</v>
      </c>
      <c r="K23" s="77">
        <f>(60550.63-2261-2378)*0.42</f>
        <v>23482.884599999998</v>
      </c>
      <c r="L23" s="77">
        <f>K23-J23</f>
        <v>-4.0000000080908649E-4</v>
      </c>
    </row>
    <row r="24" spans="1:12" ht="45">
      <c r="A24" s="11" t="s">
        <v>40</v>
      </c>
      <c r="B24" s="74" t="s">
        <v>55</v>
      </c>
      <c r="C24" s="12" t="s">
        <v>25</v>
      </c>
      <c r="D24" s="12">
        <v>1</v>
      </c>
      <c r="E24" s="12">
        <v>335</v>
      </c>
      <c r="F24" s="30">
        <f>D24/E24</f>
        <v>2.9850746268656717E-3</v>
      </c>
      <c r="G24" s="21">
        <v>1</v>
      </c>
      <c r="H24" s="13">
        <v>32845</v>
      </c>
      <c r="I24" s="14">
        <f>F24*H24</f>
        <v>98.044776119402982</v>
      </c>
      <c r="J24" s="77"/>
      <c r="K24" s="77"/>
      <c r="L24" s="77"/>
    </row>
    <row r="25" spans="1:12">
      <c r="A25" s="15"/>
      <c r="B25" s="5" t="s">
        <v>29</v>
      </c>
      <c r="C25" s="5" t="s">
        <v>25</v>
      </c>
      <c r="D25" s="5">
        <v>1</v>
      </c>
      <c r="E25" s="5">
        <v>335</v>
      </c>
      <c r="F25" s="31">
        <f>D25/E25</f>
        <v>2.9850746268656717E-3</v>
      </c>
      <c r="G25" s="20">
        <v>1</v>
      </c>
      <c r="H25" s="6">
        <v>6000</v>
      </c>
      <c r="I25" s="16">
        <f t="shared" ref="I25:I28" si="4">F25*H25</f>
        <v>17.910447761194028</v>
      </c>
      <c r="J25" s="77"/>
      <c r="K25" s="77"/>
      <c r="L25" s="77"/>
    </row>
    <row r="26" spans="1:12">
      <c r="A26" s="15"/>
      <c r="B26" s="5" t="s">
        <v>20</v>
      </c>
      <c r="C26" s="5" t="s">
        <v>21</v>
      </c>
      <c r="D26" s="5">
        <v>30</v>
      </c>
      <c r="E26" s="5">
        <v>335</v>
      </c>
      <c r="F26" s="31">
        <f>D26/E26</f>
        <v>8.9552238805970144E-2</v>
      </c>
      <c r="G26" s="20">
        <v>1</v>
      </c>
      <c r="H26" s="6">
        <v>250</v>
      </c>
      <c r="I26" s="16">
        <f t="shared" si="4"/>
        <v>22.388059701492537</v>
      </c>
      <c r="J26" s="77"/>
      <c r="K26" s="77"/>
      <c r="L26" s="77"/>
    </row>
    <row r="27" spans="1:12">
      <c r="A27" s="15"/>
      <c r="B27" s="5" t="s">
        <v>57</v>
      </c>
      <c r="C27" s="5" t="s">
        <v>25</v>
      </c>
      <c r="D27" s="5">
        <v>1</v>
      </c>
      <c r="E27" s="5">
        <v>335</v>
      </c>
      <c r="F27" s="31">
        <f>D27/E27</f>
        <v>2.9850746268656717E-3</v>
      </c>
      <c r="G27" s="20">
        <v>1</v>
      </c>
      <c r="H27" s="6"/>
      <c r="I27" s="16">
        <f t="shared" si="4"/>
        <v>0</v>
      </c>
      <c r="J27" s="77"/>
      <c r="K27" s="77"/>
      <c r="L27" s="77"/>
    </row>
    <row r="28" spans="1:12">
      <c r="A28" s="15"/>
      <c r="B28" s="5" t="s">
        <v>56</v>
      </c>
      <c r="C28" s="5" t="s">
        <v>25</v>
      </c>
      <c r="D28" s="5">
        <v>1</v>
      </c>
      <c r="E28" s="5">
        <v>335</v>
      </c>
      <c r="F28" s="31">
        <f>D28/E28</f>
        <v>2.9850746268656717E-3</v>
      </c>
      <c r="G28" s="20">
        <v>1</v>
      </c>
      <c r="H28" s="6">
        <v>2000</v>
      </c>
      <c r="I28" s="16">
        <f t="shared" si="4"/>
        <v>5.9701492537313436</v>
      </c>
      <c r="J28" s="77"/>
      <c r="K28" s="77"/>
      <c r="L28" s="77"/>
    </row>
    <row r="29" spans="1:12" ht="15.75" thickBot="1">
      <c r="A29" s="17"/>
      <c r="B29" s="18"/>
      <c r="C29" s="18"/>
      <c r="D29" s="18"/>
      <c r="E29" s="18"/>
      <c r="F29" s="40"/>
      <c r="G29" s="41"/>
      <c r="H29" s="19"/>
      <c r="I29" s="48">
        <f>SUM(I24:I28)</f>
        <v>144.31343283582089</v>
      </c>
      <c r="J29" s="77">
        <f>I29*E28</f>
        <v>48345</v>
      </c>
      <c r="K29" s="77">
        <f>(117650-4810-2965)*0.44</f>
        <v>48345</v>
      </c>
      <c r="L29" s="77">
        <f>K29-J29</f>
        <v>0</v>
      </c>
    </row>
    <row r="30" spans="1:12" ht="45">
      <c r="A30" s="11" t="s">
        <v>42</v>
      </c>
      <c r="B30" s="74" t="s">
        <v>55</v>
      </c>
      <c r="C30" s="12" t="s">
        <v>25</v>
      </c>
      <c r="D30" s="12">
        <v>1</v>
      </c>
      <c r="E30" s="64">
        <v>390</v>
      </c>
      <c r="F30" s="30">
        <f>D30/E30</f>
        <v>2.5641025641025641E-3</v>
      </c>
      <c r="G30" s="21">
        <v>1</v>
      </c>
      <c r="H30" s="13">
        <v>45139.12</v>
      </c>
      <c r="I30" s="14">
        <f>F30*H30</f>
        <v>115.74133333333334</v>
      </c>
    </row>
    <row r="31" spans="1:12">
      <c r="A31" s="15"/>
      <c r="B31" s="5" t="s">
        <v>29</v>
      </c>
      <c r="C31" s="5" t="s">
        <v>25</v>
      </c>
      <c r="D31" s="5">
        <v>1</v>
      </c>
      <c r="E31" s="5">
        <v>390</v>
      </c>
      <c r="F31" s="31">
        <f>D31/E31</f>
        <v>2.5641025641025641E-3</v>
      </c>
      <c r="G31" s="20">
        <v>1</v>
      </c>
      <c r="H31" s="6">
        <v>6000</v>
      </c>
      <c r="I31" s="16">
        <f t="shared" ref="I31:I34" si="5">F31*H31</f>
        <v>15.384615384615385</v>
      </c>
    </row>
    <row r="32" spans="1:12">
      <c r="A32" s="15"/>
      <c r="B32" s="5" t="s">
        <v>20</v>
      </c>
      <c r="C32" s="5" t="s">
        <v>21</v>
      </c>
      <c r="D32" s="5">
        <v>30</v>
      </c>
      <c r="E32" s="5">
        <v>390</v>
      </c>
      <c r="F32" s="31">
        <f>D32/E32</f>
        <v>7.6923076923076927E-2</v>
      </c>
      <c r="G32" s="20">
        <v>1</v>
      </c>
      <c r="H32" s="6">
        <v>25</v>
      </c>
      <c r="I32" s="16">
        <f t="shared" si="5"/>
        <v>1.9230769230769231</v>
      </c>
    </row>
    <row r="33" spans="1:12">
      <c r="A33" s="15"/>
      <c r="B33" s="5" t="s">
        <v>57</v>
      </c>
      <c r="C33" s="5" t="s">
        <v>25</v>
      </c>
      <c r="D33" s="5">
        <v>1</v>
      </c>
      <c r="E33" s="5">
        <v>390</v>
      </c>
      <c r="F33" s="31">
        <f>D33/E33</f>
        <v>2.5641025641025641E-3</v>
      </c>
      <c r="G33" s="20">
        <v>1</v>
      </c>
      <c r="H33" s="6"/>
      <c r="I33" s="16">
        <f t="shared" si="5"/>
        <v>0</v>
      </c>
    </row>
    <row r="34" spans="1:12">
      <c r="A34" s="15"/>
      <c r="B34" s="5" t="s">
        <v>56</v>
      </c>
      <c r="C34" s="5" t="s">
        <v>25</v>
      </c>
      <c r="D34" s="5">
        <v>1</v>
      </c>
      <c r="E34" s="10">
        <v>390</v>
      </c>
      <c r="F34" s="31">
        <f>D34/E34</f>
        <v>2.5641025641025641E-3</v>
      </c>
      <c r="G34" s="20">
        <v>1</v>
      </c>
      <c r="H34" s="6">
        <v>2000</v>
      </c>
      <c r="I34" s="16">
        <f t="shared" si="5"/>
        <v>5.1282051282051286</v>
      </c>
    </row>
    <row r="35" spans="1:12" ht="15.75" thickBot="1">
      <c r="A35" s="17"/>
      <c r="B35" s="18"/>
      <c r="C35" s="18"/>
      <c r="D35" s="18"/>
      <c r="E35" s="18"/>
      <c r="F35" s="40"/>
      <c r="G35" s="41"/>
      <c r="H35" s="19"/>
      <c r="I35" s="48">
        <f>SUM(I30:I34)</f>
        <v>138.17723076923079</v>
      </c>
      <c r="J35" s="77">
        <f>I35*E34</f>
        <v>53889.12000000001</v>
      </c>
      <c r="K35" s="77">
        <f>(119740.26-2590)*0.46</f>
        <v>53889.119599999998</v>
      </c>
      <c r="L35" s="77">
        <f>K35-J35</f>
        <v>-4.0000001172302291E-4</v>
      </c>
    </row>
    <row r="36" spans="1:12" ht="45">
      <c r="A36" s="11" t="s">
        <v>43</v>
      </c>
      <c r="B36" s="74" t="s">
        <v>55</v>
      </c>
      <c r="C36" s="12" t="s">
        <v>25</v>
      </c>
      <c r="D36" s="12">
        <v>1</v>
      </c>
      <c r="E36" s="12">
        <v>265</v>
      </c>
      <c r="F36" s="30">
        <f>D36/E36</f>
        <v>3.7735849056603774E-3</v>
      </c>
      <c r="G36" s="21">
        <v>1</v>
      </c>
      <c r="H36" s="13">
        <v>98790.88</v>
      </c>
      <c r="I36" s="14">
        <f>F36*H36</f>
        <v>372.7957735849057</v>
      </c>
      <c r="J36" s="77"/>
      <c r="K36" s="77"/>
      <c r="L36" s="77"/>
    </row>
    <row r="37" spans="1:12">
      <c r="A37" s="15"/>
      <c r="B37" s="5" t="s">
        <v>29</v>
      </c>
      <c r="C37" s="5" t="s">
        <v>25</v>
      </c>
      <c r="D37" s="5">
        <v>1</v>
      </c>
      <c r="E37" s="5">
        <v>265</v>
      </c>
      <c r="F37" s="31">
        <f>D37/E37</f>
        <v>3.7735849056603774E-3</v>
      </c>
      <c r="G37" s="20">
        <v>1</v>
      </c>
      <c r="H37" s="6">
        <v>9000</v>
      </c>
      <c r="I37" s="16">
        <f t="shared" ref="I37:I40" si="6">F37*H37</f>
        <v>33.962264150943398</v>
      </c>
      <c r="J37" s="77"/>
      <c r="K37" s="77"/>
      <c r="L37" s="77"/>
    </row>
    <row r="38" spans="1:12">
      <c r="A38" s="15"/>
      <c r="B38" s="5" t="s">
        <v>20</v>
      </c>
      <c r="C38" s="5" t="s">
        <v>21</v>
      </c>
      <c r="D38" s="5">
        <v>50</v>
      </c>
      <c r="E38" s="5">
        <v>265</v>
      </c>
      <c r="F38" s="31">
        <f>D38/E38</f>
        <v>0.18867924528301888</v>
      </c>
      <c r="G38" s="20">
        <v>1</v>
      </c>
      <c r="H38" s="6">
        <v>250</v>
      </c>
      <c r="I38" s="16">
        <f t="shared" si="6"/>
        <v>47.169811320754718</v>
      </c>
      <c r="J38" s="77"/>
      <c r="K38" s="77"/>
      <c r="L38" s="77"/>
    </row>
    <row r="39" spans="1:12">
      <c r="A39" s="15"/>
      <c r="B39" s="5" t="s">
        <v>57</v>
      </c>
      <c r="C39" s="5" t="s">
        <v>25</v>
      </c>
      <c r="D39" s="5">
        <v>1</v>
      </c>
      <c r="E39" s="5">
        <v>265</v>
      </c>
      <c r="F39" s="31">
        <f>D39/E39</f>
        <v>3.7735849056603774E-3</v>
      </c>
      <c r="G39" s="20">
        <v>1</v>
      </c>
      <c r="H39" s="6"/>
      <c r="I39" s="16">
        <f t="shared" si="6"/>
        <v>0</v>
      </c>
      <c r="J39" s="77"/>
      <c r="K39" s="77"/>
      <c r="L39" s="77"/>
    </row>
    <row r="40" spans="1:12">
      <c r="A40" s="15"/>
      <c r="B40" s="5" t="s">
        <v>56</v>
      </c>
      <c r="C40" s="5" t="s">
        <v>25</v>
      </c>
      <c r="D40" s="5">
        <v>1</v>
      </c>
      <c r="E40" s="5">
        <v>265</v>
      </c>
      <c r="F40" s="31">
        <f>D40/E40</f>
        <v>3.7735849056603774E-3</v>
      </c>
      <c r="G40" s="20">
        <v>1</v>
      </c>
      <c r="H40" s="6">
        <v>3000</v>
      </c>
      <c r="I40" s="16">
        <f t="shared" si="6"/>
        <v>11.320754716981131</v>
      </c>
      <c r="J40" s="77"/>
      <c r="K40" s="77"/>
      <c r="L40" s="77"/>
    </row>
    <row r="41" spans="1:12" ht="15.75" thickBot="1">
      <c r="A41" s="17"/>
      <c r="B41" s="18"/>
      <c r="C41" s="18"/>
      <c r="D41" s="18"/>
      <c r="E41" s="18"/>
      <c r="F41" s="40"/>
      <c r="G41" s="41"/>
      <c r="H41" s="19"/>
      <c r="I41" s="48">
        <f>SUM(I36:I40)</f>
        <v>465.24860377358493</v>
      </c>
      <c r="J41" s="77">
        <f>I41*E40</f>
        <v>123290.88</v>
      </c>
      <c r="K41" s="77">
        <f>(265210-2420-5934)*0.48</f>
        <v>123290.87999999999</v>
      </c>
      <c r="L41" s="77">
        <f>K41-J41</f>
        <v>0</v>
      </c>
    </row>
    <row r="42" spans="1:12" ht="15.75" thickBot="1">
      <c r="J42" s="77"/>
      <c r="K42" s="77"/>
      <c r="L42" s="77"/>
    </row>
    <row r="43" spans="1:12" ht="45">
      <c r="A43" s="11" t="s">
        <v>41</v>
      </c>
      <c r="B43" s="74" t="s">
        <v>55</v>
      </c>
      <c r="C43" s="12" t="s">
        <v>25</v>
      </c>
      <c r="D43" s="12">
        <v>1</v>
      </c>
      <c r="E43" s="12">
        <v>354</v>
      </c>
      <c r="F43" s="30">
        <f>D43/E43</f>
        <v>2.8248587570621469E-3</v>
      </c>
      <c r="G43" s="21">
        <v>1</v>
      </c>
      <c r="H43" s="13">
        <f>28706.71-0.001</f>
        <v>28706.708999999999</v>
      </c>
      <c r="I43" s="14">
        <f>F43*H43</f>
        <v>81.092398305084743</v>
      </c>
      <c r="J43" s="77"/>
      <c r="K43" s="77"/>
      <c r="L43" s="77"/>
    </row>
    <row r="44" spans="1:12">
      <c r="A44" s="15"/>
      <c r="B44" s="5" t="s">
        <v>29</v>
      </c>
      <c r="C44" s="5" t="s">
        <v>25</v>
      </c>
      <c r="D44" s="5">
        <v>1</v>
      </c>
      <c r="E44" s="5">
        <v>354</v>
      </c>
      <c r="F44" s="31">
        <f>D44/E44</f>
        <v>2.8248587570621469E-3</v>
      </c>
      <c r="G44" s="20">
        <v>1</v>
      </c>
      <c r="H44" s="6">
        <v>8000</v>
      </c>
      <c r="I44" s="16">
        <f t="shared" ref="I44:I47" si="7">F44*H44</f>
        <v>22.598870056497177</v>
      </c>
      <c r="J44" s="77"/>
      <c r="K44" s="77"/>
      <c r="L44" s="77"/>
    </row>
    <row r="45" spans="1:12">
      <c r="A45" s="15"/>
      <c r="B45" s="5" t="s">
        <v>20</v>
      </c>
      <c r="C45" s="5" t="s">
        <v>21</v>
      </c>
      <c r="D45" s="5">
        <v>40</v>
      </c>
      <c r="E45" s="5">
        <v>354</v>
      </c>
      <c r="F45" s="31">
        <f>D45/E45</f>
        <v>0.11299435028248588</v>
      </c>
      <c r="G45" s="20">
        <v>1</v>
      </c>
      <c r="H45" s="6">
        <v>250</v>
      </c>
      <c r="I45" s="16">
        <f t="shared" si="7"/>
        <v>28.248587570621467</v>
      </c>
      <c r="J45" s="77"/>
      <c r="K45" s="77"/>
      <c r="L45" s="77"/>
    </row>
    <row r="46" spans="1:12">
      <c r="A46" s="15"/>
      <c r="B46" s="5" t="s">
        <v>57</v>
      </c>
      <c r="C46" s="5" t="s">
        <v>25</v>
      </c>
      <c r="D46" s="5">
        <v>1</v>
      </c>
      <c r="E46" s="5">
        <v>354</v>
      </c>
      <c r="F46" s="31">
        <f>D46/E46</f>
        <v>2.8248587570621469E-3</v>
      </c>
      <c r="G46" s="20">
        <v>1</v>
      </c>
      <c r="H46" s="6"/>
      <c r="I46" s="16">
        <f t="shared" si="7"/>
        <v>0</v>
      </c>
      <c r="J46" s="77"/>
      <c r="K46" s="77"/>
      <c r="L46" s="77"/>
    </row>
    <row r="47" spans="1:12">
      <c r="A47" s="15"/>
      <c r="B47" s="5" t="s">
        <v>56</v>
      </c>
      <c r="C47" s="5" t="s">
        <v>25</v>
      </c>
      <c r="D47" s="5">
        <v>1</v>
      </c>
      <c r="E47" s="5">
        <v>354</v>
      </c>
      <c r="F47" s="31">
        <f>D47/E47</f>
        <v>2.8248587570621469E-3</v>
      </c>
      <c r="G47" s="20">
        <v>1</v>
      </c>
      <c r="H47" s="6">
        <v>3000</v>
      </c>
      <c r="I47" s="16">
        <f t="shared" si="7"/>
        <v>8.4745762711864412</v>
      </c>
      <c r="J47" s="77"/>
      <c r="K47" s="77"/>
      <c r="L47" s="77"/>
    </row>
    <row r="48" spans="1:12" ht="15.75" thickBot="1">
      <c r="A48" s="17"/>
      <c r="B48" s="18"/>
      <c r="C48" s="18"/>
      <c r="D48" s="18"/>
      <c r="E48" s="18"/>
      <c r="F48" s="40"/>
      <c r="G48" s="41"/>
      <c r="H48" s="19"/>
      <c r="I48" s="48">
        <f>SUM(I43:I47)</f>
        <v>140.41443220338982</v>
      </c>
      <c r="J48" s="77">
        <f>I48*E47</f>
        <v>49706.708999999995</v>
      </c>
      <c r="K48" s="77">
        <f>(133756.1-3588-2715)*0.39</f>
        <v>49706.709000000003</v>
      </c>
      <c r="L48" s="77">
        <f>K48-J48</f>
        <v>0</v>
      </c>
    </row>
    <row r="49" spans="1:20" ht="15.75" thickBot="1"/>
    <row r="50" spans="1:20" ht="45">
      <c r="A50" s="11" t="s">
        <v>39</v>
      </c>
      <c r="B50" s="74" t="s">
        <v>55</v>
      </c>
      <c r="C50" s="12" t="s">
        <v>25</v>
      </c>
      <c r="D50" s="12">
        <v>1</v>
      </c>
      <c r="E50" s="12">
        <v>93</v>
      </c>
      <c r="F50" s="30">
        <f>D50/E50</f>
        <v>1.0752688172043012E-2</v>
      </c>
      <c r="G50" s="21">
        <v>1</v>
      </c>
      <c r="H50" s="13">
        <f>21548.81-0.002</f>
        <v>21548.808000000001</v>
      </c>
      <c r="I50" s="14">
        <f>F50*H50</f>
        <v>231.70761290322582</v>
      </c>
    </row>
    <row r="51" spans="1:20">
      <c r="A51" s="15"/>
      <c r="B51" s="5" t="s">
        <v>29</v>
      </c>
      <c r="C51" s="5" t="s">
        <v>25</v>
      </c>
      <c r="D51" s="5">
        <v>1</v>
      </c>
      <c r="E51" s="5">
        <v>93</v>
      </c>
      <c r="F51" s="31">
        <f>D51/E51</f>
        <v>1.0752688172043012E-2</v>
      </c>
      <c r="G51" s="20">
        <v>1</v>
      </c>
      <c r="H51" s="6">
        <v>5000</v>
      </c>
      <c r="I51" s="16">
        <f t="shared" ref="I51:I54" si="8">F51*H51</f>
        <v>53.763440860215056</v>
      </c>
    </row>
    <row r="52" spans="1:20">
      <c r="A52" s="15"/>
      <c r="B52" s="5" t="s">
        <v>20</v>
      </c>
      <c r="C52" s="5" t="s">
        <v>21</v>
      </c>
      <c r="D52" s="5">
        <v>20</v>
      </c>
      <c r="E52" s="5">
        <v>93</v>
      </c>
      <c r="F52" s="31">
        <f>D52/E52</f>
        <v>0.21505376344086022</v>
      </c>
      <c r="G52" s="20">
        <v>1</v>
      </c>
      <c r="H52" s="6">
        <v>250</v>
      </c>
      <c r="I52" s="16">
        <f t="shared" si="8"/>
        <v>53.763440860215056</v>
      </c>
    </row>
    <row r="53" spans="1:20">
      <c r="A53" s="15"/>
      <c r="B53" s="5" t="s">
        <v>57</v>
      </c>
      <c r="C53" s="5" t="s">
        <v>25</v>
      </c>
      <c r="D53" s="5">
        <v>1</v>
      </c>
      <c r="E53" s="5">
        <v>93</v>
      </c>
      <c r="F53" s="31">
        <f>D53/E53</f>
        <v>1.0752688172043012E-2</v>
      </c>
      <c r="G53" s="20">
        <v>1</v>
      </c>
      <c r="H53" s="6"/>
      <c r="I53" s="16">
        <f t="shared" si="8"/>
        <v>0</v>
      </c>
    </row>
    <row r="54" spans="1:20">
      <c r="A54" s="15"/>
      <c r="B54" s="5" t="s">
        <v>56</v>
      </c>
      <c r="C54" s="5" t="s">
        <v>25</v>
      </c>
      <c r="D54" s="5">
        <v>1</v>
      </c>
      <c r="E54" s="5">
        <v>93</v>
      </c>
      <c r="F54" s="31">
        <f>D54/E54</f>
        <v>1.0752688172043012E-2</v>
      </c>
      <c r="G54" s="20">
        <v>1</v>
      </c>
      <c r="H54" s="6">
        <v>2000</v>
      </c>
      <c r="I54" s="16">
        <f t="shared" si="8"/>
        <v>21.505376344086024</v>
      </c>
    </row>
    <row r="55" spans="1:20" ht="15.75" thickBot="1">
      <c r="A55" s="17"/>
      <c r="B55" s="18"/>
      <c r="C55" s="18"/>
      <c r="D55" s="18"/>
      <c r="E55" s="18"/>
      <c r="F55" s="40"/>
      <c r="G55" s="41"/>
      <c r="H55" s="19"/>
      <c r="I55" s="48">
        <f>SUM(I50:I54)</f>
        <v>360.73987096774192</v>
      </c>
      <c r="J55" s="77">
        <f>I55*E54</f>
        <v>33548.807999999997</v>
      </c>
      <c r="K55" s="77">
        <f>(83382.36-1556)*0.41</f>
        <v>33548.8076</v>
      </c>
      <c r="L55" s="77">
        <f>K55-J55</f>
        <v>-3.9999999717110768E-4</v>
      </c>
    </row>
    <row r="56" spans="1:20" ht="45">
      <c r="A56" s="11" t="s">
        <v>44</v>
      </c>
      <c r="B56" s="74" t="s">
        <v>55</v>
      </c>
      <c r="C56" s="12" t="s">
        <v>25</v>
      </c>
      <c r="D56" s="12">
        <v>1</v>
      </c>
      <c r="E56" s="12">
        <v>106</v>
      </c>
      <c r="F56" s="30">
        <f>D56/E56</f>
        <v>9.433962264150943E-3</v>
      </c>
      <c r="G56" s="21">
        <v>1</v>
      </c>
      <c r="H56" s="13">
        <v>13155</v>
      </c>
      <c r="I56" s="14">
        <f>F56*H56</f>
        <v>124.10377358490565</v>
      </c>
      <c r="J56" s="77"/>
      <c r="K56" s="77"/>
      <c r="L56" s="77"/>
    </row>
    <row r="57" spans="1:20">
      <c r="A57" s="15"/>
      <c r="B57" s="5" t="s">
        <v>29</v>
      </c>
      <c r="C57" s="5" t="s">
        <v>25</v>
      </c>
      <c r="D57" s="5">
        <v>1</v>
      </c>
      <c r="E57" s="5">
        <v>106</v>
      </c>
      <c r="F57" s="31">
        <f>D57/E57</f>
        <v>9.433962264150943E-3</v>
      </c>
      <c r="G57" s="20">
        <v>1</v>
      </c>
      <c r="H57" s="6">
        <v>5000</v>
      </c>
      <c r="I57" s="16">
        <f t="shared" ref="I57:I60" si="9">F57*H57</f>
        <v>47.169811320754718</v>
      </c>
      <c r="J57" s="77"/>
      <c r="K57" s="77"/>
      <c r="L57" s="77"/>
    </row>
    <row r="58" spans="1:20">
      <c r="A58" s="15"/>
      <c r="B58" s="5" t="s">
        <v>20</v>
      </c>
      <c r="C58" s="5" t="s">
        <v>21</v>
      </c>
      <c r="D58" s="5">
        <v>20</v>
      </c>
      <c r="E58" s="5">
        <v>106</v>
      </c>
      <c r="F58" s="31">
        <f>D58/E58</f>
        <v>0.18867924528301888</v>
      </c>
      <c r="G58" s="20">
        <v>1</v>
      </c>
      <c r="H58" s="6">
        <v>250</v>
      </c>
      <c r="I58" s="16">
        <f t="shared" si="9"/>
        <v>47.169811320754718</v>
      </c>
      <c r="J58" s="77"/>
      <c r="K58" s="77"/>
      <c r="L58" s="77"/>
    </row>
    <row r="59" spans="1:20">
      <c r="A59" s="15"/>
      <c r="B59" s="5" t="s">
        <v>57</v>
      </c>
      <c r="C59" s="5" t="s">
        <v>25</v>
      </c>
      <c r="D59" s="5">
        <v>1</v>
      </c>
      <c r="E59" s="5">
        <v>106</v>
      </c>
      <c r="F59" s="31">
        <f>D59/E59</f>
        <v>9.433962264150943E-3</v>
      </c>
      <c r="G59" s="20">
        <v>1</v>
      </c>
      <c r="H59" s="6"/>
      <c r="I59" s="16">
        <f t="shared" si="9"/>
        <v>0</v>
      </c>
      <c r="J59" s="77"/>
      <c r="K59" s="77"/>
      <c r="L59" s="77"/>
    </row>
    <row r="60" spans="1:20">
      <c r="A60" s="15"/>
      <c r="B60" s="5" t="s">
        <v>56</v>
      </c>
      <c r="C60" s="5" t="s">
        <v>25</v>
      </c>
      <c r="D60" s="5">
        <v>1</v>
      </c>
      <c r="E60" s="5">
        <v>106</v>
      </c>
      <c r="F60" s="31">
        <f>D60/E60</f>
        <v>9.433962264150943E-3</v>
      </c>
      <c r="G60" s="20">
        <v>1</v>
      </c>
      <c r="H60" s="6">
        <v>2000</v>
      </c>
      <c r="I60" s="16">
        <f t="shared" si="9"/>
        <v>18.867924528301884</v>
      </c>
      <c r="J60" s="77"/>
      <c r="K60" s="77"/>
      <c r="L60" s="77"/>
    </row>
    <row r="61" spans="1:20" ht="15.75" thickBot="1">
      <c r="A61" s="17"/>
      <c r="B61" s="18"/>
      <c r="C61" s="18"/>
      <c r="D61" s="18"/>
      <c r="E61" s="18"/>
      <c r="F61" s="40"/>
      <c r="G61" s="41"/>
      <c r="H61" s="19"/>
      <c r="I61" s="48">
        <f>SUM(I56:I60)</f>
        <v>237.31132075471697</v>
      </c>
      <c r="J61" s="77">
        <f>I61*E60</f>
        <v>25155</v>
      </c>
      <c r="K61" s="77">
        <f>(50000-1625)*0.52</f>
        <v>25155</v>
      </c>
      <c r="L61" s="77">
        <f>K61-J61</f>
        <v>0</v>
      </c>
    </row>
    <row r="62" spans="1:20">
      <c r="A62" s="42"/>
      <c r="B62" s="43"/>
      <c r="C62" s="43"/>
      <c r="D62" s="43"/>
      <c r="E62" s="43"/>
      <c r="F62" s="44"/>
      <c r="G62" s="45"/>
      <c r="H62" s="46"/>
      <c r="I62" s="47"/>
    </row>
    <row r="63" spans="1:20" ht="19.5" thickBot="1">
      <c r="A63" s="33" t="s">
        <v>45</v>
      </c>
      <c r="T63" s="1"/>
    </row>
    <row r="64" spans="1:20" ht="90">
      <c r="A64" s="73" t="s">
        <v>3</v>
      </c>
      <c r="B64" s="24" t="s">
        <v>13</v>
      </c>
      <c r="C64" s="24" t="s">
        <v>18</v>
      </c>
      <c r="D64" s="24" t="s">
        <v>14</v>
      </c>
      <c r="E64" s="24" t="s">
        <v>58</v>
      </c>
      <c r="F64" s="24" t="s">
        <v>59</v>
      </c>
      <c r="G64" s="24" t="s">
        <v>15</v>
      </c>
      <c r="H64" s="24" t="s">
        <v>16</v>
      </c>
      <c r="I64" s="25" t="s">
        <v>10</v>
      </c>
      <c r="J64" s="2"/>
      <c r="K64" s="2"/>
      <c r="L64" s="2"/>
    </row>
    <row r="65" spans="1:12" ht="15.75" thickBot="1">
      <c r="A65" s="38">
        <v>1</v>
      </c>
      <c r="B65" s="9">
        <v>2</v>
      </c>
      <c r="C65" s="9">
        <v>3</v>
      </c>
      <c r="D65" s="9">
        <v>4</v>
      </c>
      <c r="E65" s="9">
        <v>5</v>
      </c>
      <c r="F65" s="9" t="s">
        <v>17</v>
      </c>
      <c r="G65" s="9">
        <v>7</v>
      </c>
      <c r="H65" s="8">
        <v>8</v>
      </c>
      <c r="I65" s="39" t="s">
        <v>19</v>
      </c>
    </row>
    <row r="66" spans="1:12" ht="45">
      <c r="A66" s="11" t="s">
        <v>36</v>
      </c>
      <c r="B66" s="74" t="s">
        <v>55</v>
      </c>
      <c r="C66" s="12" t="s">
        <v>25</v>
      </c>
      <c r="D66" s="12">
        <v>1</v>
      </c>
      <c r="E66" s="12">
        <v>211</v>
      </c>
      <c r="F66" s="30">
        <f>D66/E66</f>
        <v>4.7393364928909956E-3</v>
      </c>
      <c r="G66" s="21">
        <v>1</v>
      </c>
      <c r="H66" s="13">
        <f>37299.72-0.002</f>
        <v>37299.718000000001</v>
      </c>
      <c r="I66" s="14">
        <f>F66*H66</f>
        <v>176.77591469194314</v>
      </c>
    </row>
    <row r="67" spans="1:12">
      <c r="A67" s="15"/>
      <c r="B67" s="5" t="s">
        <v>29</v>
      </c>
      <c r="C67" s="5" t="s">
        <v>25</v>
      </c>
      <c r="D67" s="5">
        <v>1</v>
      </c>
      <c r="E67" s="5">
        <v>211</v>
      </c>
      <c r="F67" s="31">
        <f>D67/E67</f>
        <v>4.7393364928909956E-3</v>
      </c>
      <c r="G67" s="20">
        <v>1</v>
      </c>
      <c r="H67" s="6">
        <v>8000</v>
      </c>
      <c r="I67" s="16">
        <f t="shared" ref="I67:I70" si="10">F67*H67</f>
        <v>37.914691943127963</v>
      </c>
    </row>
    <row r="68" spans="1:12">
      <c r="A68" s="15"/>
      <c r="B68" s="5" t="s">
        <v>20</v>
      </c>
      <c r="C68" s="5" t="s">
        <v>21</v>
      </c>
      <c r="D68" s="5">
        <v>30</v>
      </c>
      <c r="E68" s="5">
        <v>211</v>
      </c>
      <c r="F68" s="31">
        <f>D68/E68</f>
        <v>0.14218009478672985</v>
      </c>
      <c r="G68" s="20">
        <v>1</v>
      </c>
      <c r="H68" s="6">
        <v>250</v>
      </c>
      <c r="I68" s="16">
        <f t="shared" si="10"/>
        <v>35.545023696682463</v>
      </c>
    </row>
    <row r="69" spans="1:12">
      <c r="A69" s="15"/>
      <c r="B69" s="5" t="s">
        <v>57</v>
      </c>
      <c r="C69" s="5" t="s">
        <v>25</v>
      </c>
      <c r="D69" s="5">
        <v>1</v>
      </c>
      <c r="E69" s="5">
        <v>211</v>
      </c>
      <c r="F69" s="31">
        <f>D69/E69</f>
        <v>4.7393364928909956E-3</v>
      </c>
      <c r="G69" s="20">
        <v>1</v>
      </c>
      <c r="H69" s="6">
        <v>8219.9599999999991</v>
      </c>
      <c r="I69" s="16">
        <f t="shared" si="10"/>
        <v>38.957156398104267</v>
      </c>
    </row>
    <row r="70" spans="1:12">
      <c r="A70" s="15"/>
      <c r="B70" s="5" t="s">
        <v>56</v>
      </c>
      <c r="C70" s="5" t="s">
        <v>25</v>
      </c>
      <c r="D70" s="5">
        <v>1</v>
      </c>
      <c r="E70" s="5">
        <v>211</v>
      </c>
      <c r="F70" s="31">
        <f>D70/E70</f>
        <v>4.7393364928909956E-3</v>
      </c>
      <c r="G70" s="20">
        <v>1</v>
      </c>
      <c r="H70" s="6">
        <v>2000</v>
      </c>
      <c r="I70" s="16">
        <f t="shared" si="10"/>
        <v>9.4786729857819907</v>
      </c>
    </row>
    <row r="71" spans="1:12" ht="15.75" thickBot="1">
      <c r="A71" s="17"/>
      <c r="B71" s="18"/>
      <c r="C71" s="18"/>
      <c r="D71" s="18"/>
      <c r="E71" s="18"/>
      <c r="F71" s="40"/>
      <c r="G71" s="41"/>
      <c r="H71" s="19"/>
      <c r="I71" s="48">
        <f>SUM(I66:I70)</f>
        <v>298.6714597156398</v>
      </c>
      <c r="J71" s="77">
        <f>I71*E70</f>
        <v>63019.678</v>
      </c>
      <c r="K71" s="77">
        <f>(138999.3-1000-1000)*0.46</f>
        <v>63019.678</v>
      </c>
      <c r="L71" s="77">
        <f>K71-J71</f>
        <v>0</v>
      </c>
    </row>
    <row r="72" spans="1:12" ht="45">
      <c r="A72" s="11" t="s">
        <v>37</v>
      </c>
      <c r="B72" s="74" t="s">
        <v>55</v>
      </c>
      <c r="C72" s="12" t="s">
        <v>25</v>
      </c>
      <c r="D72" s="12">
        <v>1</v>
      </c>
      <c r="E72" s="12">
        <v>219</v>
      </c>
      <c r="F72" s="30">
        <f>D72/E72</f>
        <v>4.5662100456621002E-3</v>
      </c>
      <c r="G72" s="21">
        <v>1</v>
      </c>
      <c r="H72" s="13">
        <f>14108.86-0.004</f>
        <v>14108.856</v>
      </c>
      <c r="I72" s="14">
        <f>F72*H72</f>
        <v>64.423999999999992</v>
      </c>
      <c r="J72" s="77"/>
      <c r="K72" s="77"/>
      <c r="L72" s="77"/>
    </row>
    <row r="73" spans="1:12">
      <c r="A73" s="15"/>
      <c r="B73" s="5" t="s">
        <v>29</v>
      </c>
      <c r="C73" s="5" t="s">
        <v>25</v>
      </c>
      <c r="D73" s="5">
        <v>1</v>
      </c>
      <c r="E73" s="5">
        <v>219</v>
      </c>
      <c r="F73" s="31">
        <f>D73/E73</f>
        <v>4.5662100456621002E-3</v>
      </c>
      <c r="G73" s="20">
        <v>1</v>
      </c>
      <c r="H73" s="6">
        <v>8000</v>
      </c>
      <c r="I73" s="16">
        <f t="shared" ref="I73:I76" si="11">F73*H73</f>
        <v>36.529680365296798</v>
      </c>
      <c r="J73" s="77"/>
      <c r="K73" s="77"/>
      <c r="L73" s="77"/>
    </row>
    <row r="74" spans="1:12">
      <c r="A74" s="15"/>
      <c r="B74" s="5" t="s">
        <v>20</v>
      </c>
      <c r="C74" s="5" t="s">
        <v>21</v>
      </c>
      <c r="D74" s="5">
        <v>20</v>
      </c>
      <c r="E74" s="5">
        <v>219</v>
      </c>
      <c r="F74" s="31">
        <f>D74/E74</f>
        <v>9.1324200913242004E-2</v>
      </c>
      <c r="G74" s="20">
        <v>1</v>
      </c>
      <c r="H74" s="6">
        <v>250</v>
      </c>
      <c r="I74" s="16">
        <f t="shared" si="11"/>
        <v>22.831050228310502</v>
      </c>
      <c r="J74" s="77"/>
      <c r="K74" s="77"/>
      <c r="L74" s="77"/>
    </row>
    <row r="75" spans="1:12">
      <c r="A75" s="15"/>
      <c r="B75" s="5" t="s">
        <v>57</v>
      </c>
      <c r="C75" s="5" t="s">
        <v>25</v>
      </c>
      <c r="D75" s="5">
        <v>1</v>
      </c>
      <c r="E75" s="5">
        <v>219</v>
      </c>
      <c r="F75" s="31">
        <f>D75/E75</f>
        <v>4.5662100456621002E-3</v>
      </c>
      <c r="G75" s="20">
        <v>1</v>
      </c>
      <c r="H75" s="6">
        <v>3000</v>
      </c>
      <c r="I75" s="16">
        <f t="shared" si="11"/>
        <v>13.698630136986301</v>
      </c>
      <c r="J75" s="77"/>
      <c r="K75" s="77"/>
      <c r="L75" s="77"/>
    </row>
    <row r="76" spans="1:12">
      <c r="A76" s="15"/>
      <c r="B76" s="5" t="s">
        <v>56</v>
      </c>
      <c r="C76" s="5" t="s">
        <v>25</v>
      </c>
      <c r="D76" s="5">
        <v>1</v>
      </c>
      <c r="E76" s="5">
        <v>219</v>
      </c>
      <c r="F76" s="31">
        <f>D76/E76</f>
        <v>4.5662100456621002E-3</v>
      </c>
      <c r="G76" s="20">
        <v>1</v>
      </c>
      <c r="H76" s="6">
        <v>2000</v>
      </c>
      <c r="I76" s="16">
        <f t="shared" si="11"/>
        <v>9.1324200913241995</v>
      </c>
      <c r="J76" s="77"/>
      <c r="K76" s="77"/>
      <c r="L76" s="77"/>
    </row>
    <row r="77" spans="1:12" ht="15.75" thickBot="1">
      <c r="A77" s="17"/>
      <c r="B77" s="18"/>
      <c r="C77" s="18"/>
      <c r="D77" s="18"/>
      <c r="E77" s="18"/>
      <c r="F77" s="40"/>
      <c r="G77" s="41"/>
      <c r="H77" s="19"/>
      <c r="I77" s="48">
        <f>SUM(I72:I76)</f>
        <v>146.61578082191781</v>
      </c>
      <c r="J77" s="77">
        <f>I77*E76</f>
        <v>32108.856</v>
      </c>
      <c r="K77" s="77">
        <f>(85192.14-4920)*0.4</f>
        <v>32108.856</v>
      </c>
      <c r="L77" s="77">
        <f>K77-J77</f>
        <v>0</v>
      </c>
    </row>
    <row r="78" spans="1:12" ht="45">
      <c r="A78" s="11" t="s">
        <v>38</v>
      </c>
      <c r="B78" s="74" t="s">
        <v>55</v>
      </c>
      <c r="C78" s="12" t="s">
        <v>25</v>
      </c>
      <c r="D78" s="12">
        <v>1</v>
      </c>
      <c r="E78" s="12">
        <v>188</v>
      </c>
      <c r="F78" s="30">
        <f>D78/E78</f>
        <v>5.3191489361702126E-3</v>
      </c>
      <c r="G78" s="21">
        <v>1</v>
      </c>
      <c r="H78" s="13">
        <f>12482.88-0.001</f>
        <v>12482.878999999999</v>
      </c>
      <c r="I78" s="14">
        <f>F78*H78</f>
        <v>66.398292553191482</v>
      </c>
      <c r="J78" s="77"/>
      <c r="K78" s="77"/>
      <c r="L78" s="77"/>
    </row>
    <row r="79" spans="1:12">
      <c r="A79" s="15"/>
      <c r="B79" s="5" t="s">
        <v>29</v>
      </c>
      <c r="C79" s="5" t="s">
        <v>25</v>
      </c>
      <c r="D79" s="5">
        <v>1</v>
      </c>
      <c r="E79" s="5">
        <v>188</v>
      </c>
      <c r="F79" s="31">
        <f>D79/E79</f>
        <v>5.3191489361702126E-3</v>
      </c>
      <c r="G79" s="20">
        <v>1</v>
      </c>
      <c r="H79" s="6">
        <v>5000</v>
      </c>
      <c r="I79" s="16">
        <f t="shared" ref="I79:I82" si="12">F79*H79</f>
        <v>26.595744680851062</v>
      </c>
      <c r="J79" s="77"/>
      <c r="K79" s="77"/>
      <c r="L79" s="77"/>
    </row>
    <row r="80" spans="1:12">
      <c r="A80" s="15"/>
      <c r="B80" s="5" t="s">
        <v>20</v>
      </c>
      <c r="C80" s="5" t="s">
        <v>21</v>
      </c>
      <c r="D80" s="5">
        <v>20</v>
      </c>
      <c r="E80" s="5">
        <v>188</v>
      </c>
      <c r="F80" s="31">
        <f>D80/E80</f>
        <v>0.10638297872340426</v>
      </c>
      <c r="G80" s="20">
        <v>1</v>
      </c>
      <c r="H80" s="6">
        <v>250</v>
      </c>
      <c r="I80" s="16">
        <f t="shared" si="12"/>
        <v>26.595744680851062</v>
      </c>
      <c r="J80" s="77"/>
      <c r="K80" s="77"/>
      <c r="L80" s="77"/>
    </row>
    <row r="81" spans="1:12">
      <c r="A81" s="15"/>
      <c r="B81" s="5" t="s">
        <v>57</v>
      </c>
      <c r="C81" s="5" t="s">
        <v>25</v>
      </c>
      <c r="D81" s="5">
        <v>1</v>
      </c>
      <c r="E81" s="5">
        <v>188</v>
      </c>
      <c r="F81" s="31">
        <f>D81/E81</f>
        <v>5.3191489361702126E-3</v>
      </c>
      <c r="G81" s="20">
        <v>1</v>
      </c>
      <c r="H81" s="6">
        <v>3913.82</v>
      </c>
      <c r="I81" s="16">
        <f t="shared" si="12"/>
        <v>20.818191489361702</v>
      </c>
      <c r="J81" s="77"/>
      <c r="K81" s="77"/>
      <c r="L81" s="77"/>
    </row>
    <row r="82" spans="1:12">
      <c r="A82" s="15"/>
      <c r="B82" s="5" t="s">
        <v>56</v>
      </c>
      <c r="C82" s="5" t="s">
        <v>25</v>
      </c>
      <c r="D82" s="5">
        <v>1</v>
      </c>
      <c r="E82" s="5">
        <v>188</v>
      </c>
      <c r="F82" s="31">
        <f>D82/E82</f>
        <v>5.3191489361702126E-3</v>
      </c>
      <c r="G82" s="20">
        <v>1</v>
      </c>
      <c r="H82" s="6">
        <v>1000</v>
      </c>
      <c r="I82" s="16">
        <f t="shared" si="12"/>
        <v>5.3191489361702127</v>
      </c>
      <c r="J82" s="77"/>
      <c r="K82" s="77"/>
      <c r="L82" s="77"/>
    </row>
    <row r="83" spans="1:12" ht="15.75" thickBot="1">
      <c r="A83" s="17"/>
      <c r="B83" s="18"/>
      <c r="C83" s="18"/>
      <c r="D83" s="18"/>
      <c r="E83" s="18"/>
      <c r="F83" s="40"/>
      <c r="G83" s="41"/>
      <c r="H83" s="19"/>
      <c r="I83" s="48">
        <f>SUM(I78:I82)</f>
        <v>145.72712234042552</v>
      </c>
      <c r="J83" s="77">
        <f>I83*E82</f>
        <v>27396.698999999997</v>
      </c>
      <c r="K83" s="77">
        <f>(60550.63-2261-2378)*0.49</f>
        <v>27396.698699999997</v>
      </c>
      <c r="L83" s="77">
        <f>K83-J83</f>
        <v>-2.9999999969732016E-4</v>
      </c>
    </row>
    <row r="84" spans="1:12" ht="45">
      <c r="A84" s="11" t="s">
        <v>40</v>
      </c>
      <c r="B84" s="74" t="s">
        <v>55</v>
      </c>
      <c r="C84" s="12" t="s">
        <v>25</v>
      </c>
      <c r="D84" s="12">
        <v>1</v>
      </c>
      <c r="E84" s="12">
        <v>370</v>
      </c>
      <c r="F84" s="30">
        <f>D84/E84</f>
        <v>2.7027027027027029E-3</v>
      </c>
      <c r="G84" s="21">
        <v>1</v>
      </c>
      <c r="H84" s="13">
        <v>32845</v>
      </c>
      <c r="I84" s="14">
        <f>F84*H84</f>
        <v>88.770270270270274</v>
      </c>
    </row>
    <row r="85" spans="1:12">
      <c r="A85" s="15"/>
      <c r="B85" s="5" t="s">
        <v>29</v>
      </c>
      <c r="C85" s="5" t="s">
        <v>25</v>
      </c>
      <c r="D85" s="5">
        <v>1</v>
      </c>
      <c r="E85" s="5">
        <v>370</v>
      </c>
      <c r="F85" s="31">
        <f>D85/E85</f>
        <v>2.7027027027027029E-3</v>
      </c>
      <c r="G85" s="20">
        <v>1</v>
      </c>
      <c r="H85" s="6">
        <v>6000</v>
      </c>
      <c r="I85" s="16">
        <f t="shared" ref="I85:I88" si="13">F85*H85</f>
        <v>16.216216216216218</v>
      </c>
    </row>
    <row r="86" spans="1:12">
      <c r="A86" s="15"/>
      <c r="B86" s="5" t="s">
        <v>20</v>
      </c>
      <c r="C86" s="5" t="s">
        <v>21</v>
      </c>
      <c r="D86" s="5">
        <v>30</v>
      </c>
      <c r="E86" s="5">
        <v>370</v>
      </c>
      <c r="F86" s="31">
        <f>D86/E86</f>
        <v>8.1081081081081086E-2</v>
      </c>
      <c r="G86" s="20">
        <v>1</v>
      </c>
      <c r="H86" s="6">
        <v>250</v>
      </c>
      <c r="I86" s="16">
        <f t="shared" si="13"/>
        <v>20.27027027027027</v>
      </c>
    </row>
    <row r="87" spans="1:12">
      <c r="A87" s="15"/>
      <c r="B87" s="5" t="s">
        <v>57</v>
      </c>
      <c r="C87" s="5" t="s">
        <v>25</v>
      </c>
      <c r="D87" s="5">
        <v>1</v>
      </c>
      <c r="E87" s="5">
        <v>370</v>
      </c>
      <c r="F87" s="31">
        <f>D87/E87</f>
        <v>2.7027027027027029E-3</v>
      </c>
      <c r="G87" s="20">
        <v>1</v>
      </c>
      <c r="H87" s="6">
        <v>4395</v>
      </c>
      <c r="I87" s="16">
        <f t="shared" si="13"/>
        <v>11.878378378378379</v>
      </c>
    </row>
    <row r="88" spans="1:12">
      <c r="A88" s="15"/>
      <c r="B88" s="5" t="s">
        <v>56</v>
      </c>
      <c r="C88" s="5" t="s">
        <v>25</v>
      </c>
      <c r="D88" s="5">
        <v>1</v>
      </c>
      <c r="E88" s="5">
        <v>370</v>
      </c>
      <c r="F88" s="31">
        <f>D88/E88</f>
        <v>2.7027027027027029E-3</v>
      </c>
      <c r="G88" s="20">
        <v>1</v>
      </c>
      <c r="H88" s="6">
        <v>2000</v>
      </c>
      <c r="I88" s="16">
        <f t="shared" si="13"/>
        <v>5.4054054054054053</v>
      </c>
    </row>
    <row r="89" spans="1:12" ht="15.75" thickBot="1">
      <c r="A89" s="17"/>
      <c r="B89" s="18"/>
      <c r="C89" s="18"/>
      <c r="D89" s="18"/>
      <c r="E89" s="18"/>
      <c r="F89" s="40"/>
      <c r="G89" s="41"/>
      <c r="H89" s="19"/>
      <c r="I89" s="48">
        <f>SUM(I84:I88)</f>
        <v>142.54054054054055</v>
      </c>
      <c r="J89" s="77">
        <f>I89*E88</f>
        <v>52740</v>
      </c>
      <c r="K89" s="77">
        <f>(117650-4810-2965)*0.48</f>
        <v>52740</v>
      </c>
      <c r="L89" s="77">
        <f>K89-J89</f>
        <v>0</v>
      </c>
    </row>
    <row r="90" spans="1:12" ht="45">
      <c r="A90" s="11" t="s">
        <v>42</v>
      </c>
      <c r="B90" s="74" t="s">
        <v>55</v>
      </c>
      <c r="C90" s="12" t="s">
        <v>25</v>
      </c>
      <c r="D90" s="12">
        <v>1</v>
      </c>
      <c r="E90" s="64">
        <v>370</v>
      </c>
      <c r="F90" s="30">
        <f>D90/E90</f>
        <v>2.7027027027027029E-3</v>
      </c>
      <c r="G90" s="21">
        <v>1</v>
      </c>
      <c r="H90" s="13">
        <f>37229.61+0.002</f>
        <v>37229.612000000001</v>
      </c>
      <c r="I90" s="14">
        <f>F90*H90</f>
        <v>100.62057297297298</v>
      </c>
      <c r="J90" s="77"/>
      <c r="K90" s="77"/>
      <c r="L90" s="77"/>
    </row>
    <row r="91" spans="1:12">
      <c r="A91" s="15"/>
      <c r="B91" s="5" t="s">
        <v>29</v>
      </c>
      <c r="C91" s="5" t="s">
        <v>25</v>
      </c>
      <c r="D91" s="5">
        <v>1</v>
      </c>
      <c r="E91" s="5">
        <v>370</v>
      </c>
      <c r="F91" s="31">
        <f>D91/E91</f>
        <v>2.7027027027027029E-3</v>
      </c>
      <c r="G91" s="20">
        <v>1</v>
      </c>
      <c r="H91" s="6">
        <v>6000</v>
      </c>
      <c r="I91" s="16">
        <f t="shared" ref="I91:I94" si="14">F91*H91</f>
        <v>16.216216216216218</v>
      </c>
      <c r="J91" s="77"/>
      <c r="K91" s="77"/>
      <c r="L91" s="77"/>
    </row>
    <row r="92" spans="1:12">
      <c r="A92" s="15"/>
      <c r="B92" s="5" t="s">
        <v>20</v>
      </c>
      <c r="C92" s="5" t="s">
        <v>21</v>
      </c>
      <c r="D92" s="5">
        <v>30</v>
      </c>
      <c r="E92" s="5">
        <v>370</v>
      </c>
      <c r="F92" s="31">
        <f>D92/E92</f>
        <v>8.1081081081081086E-2</v>
      </c>
      <c r="G92" s="20">
        <v>1</v>
      </c>
      <c r="H92" s="6">
        <v>25</v>
      </c>
      <c r="I92" s="16">
        <f t="shared" si="14"/>
        <v>2.0270270270270272</v>
      </c>
      <c r="J92" s="77"/>
      <c r="K92" s="77"/>
      <c r="L92" s="77"/>
    </row>
    <row r="93" spans="1:12">
      <c r="A93" s="15"/>
      <c r="B93" s="5" t="s">
        <v>57</v>
      </c>
      <c r="C93" s="5" t="s">
        <v>25</v>
      </c>
      <c r="D93" s="5">
        <v>1</v>
      </c>
      <c r="E93" s="5">
        <v>370</v>
      </c>
      <c r="F93" s="31">
        <f>D93/E93</f>
        <v>2.7027027027027029E-3</v>
      </c>
      <c r="G93" s="20">
        <v>1</v>
      </c>
      <c r="H93" s="6">
        <v>4395</v>
      </c>
      <c r="I93" s="16">
        <f t="shared" si="14"/>
        <v>11.878378378378379</v>
      </c>
      <c r="J93" s="77"/>
      <c r="K93" s="77"/>
      <c r="L93" s="77"/>
    </row>
    <row r="94" spans="1:12">
      <c r="A94" s="15"/>
      <c r="B94" s="5" t="s">
        <v>56</v>
      </c>
      <c r="C94" s="5" t="s">
        <v>25</v>
      </c>
      <c r="D94" s="5">
        <v>1</v>
      </c>
      <c r="E94" s="5">
        <v>370</v>
      </c>
      <c r="F94" s="31">
        <f>D94/E94</f>
        <v>2.7027027027027029E-3</v>
      </c>
      <c r="G94" s="20">
        <v>1</v>
      </c>
      <c r="H94" s="6">
        <v>2000</v>
      </c>
      <c r="I94" s="16">
        <f t="shared" si="14"/>
        <v>5.4054054054054053</v>
      </c>
      <c r="J94" s="77"/>
      <c r="K94" s="77"/>
      <c r="L94" s="77"/>
    </row>
    <row r="95" spans="1:12" ht="15.75" thickBot="1">
      <c r="A95" s="17"/>
      <c r="B95" s="18"/>
      <c r="C95" s="18"/>
      <c r="D95" s="18"/>
      <c r="E95" s="18"/>
      <c r="F95" s="40"/>
      <c r="G95" s="41"/>
      <c r="H95" s="19"/>
      <c r="I95" s="48">
        <f>SUM(I90:I94)</f>
        <v>136.14760000000004</v>
      </c>
      <c r="J95" s="77">
        <f>I95*E94</f>
        <v>50374.612000000016</v>
      </c>
      <c r="K95" s="77">
        <f>(119740.26-2590)*0.43</f>
        <v>50374.611799999999</v>
      </c>
      <c r="L95" s="77">
        <f>K95-J95</f>
        <v>-2.0000001677544788E-4</v>
      </c>
    </row>
    <row r="96" spans="1:12" ht="45">
      <c r="A96" s="11" t="s">
        <v>43</v>
      </c>
      <c r="B96" s="74" t="s">
        <v>55</v>
      </c>
      <c r="C96" s="12" t="s">
        <v>25</v>
      </c>
      <c r="D96" s="12">
        <v>1</v>
      </c>
      <c r="E96" s="12">
        <v>244</v>
      </c>
      <c r="F96" s="30">
        <f>D96/E96</f>
        <v>4.0983606557377051E-3</v>
      </c>
      <c r="G96" s="21">
        <v>1</v>
      </c>
      <c r="H96" s="13">
        <v>76516.639999999999</v>
      </c>
      <c r="I96" s="14">
        <f>F96*H96</f>
        <v>313.59278688524591</v>
      </c>
      <c r="J96" s="77"/>
      <c r="K96" s="77"/>
      <c r="L96" s="77"/>
    </row>
    <row r="97" spans="1:12">
      <c r="A97" s="15"/>
      <c r="B97" s="5" t="s">
        <v>29</v>
      </c>
      <c r="C97" s="5" t="s">
        <v>25</v>
      </c>
      <c r="D97" s="5">
        <v>1</v>
      </c>
      <c r="E97" s="5">
        <v>244</v>
      </c>
      <c r="F97" s="31">
        <f>D97/E97</f>
        <v>4.0983606557377051E-3</v>
      </c>
      <c r="G97" s="20">
        <v>1</v>
      </c>
      <c r="H97" s="6">
        <v>9000</v>
      </c>
      <c r="I97" s="16">
        <f t="shared" ref="I97:I100" si="15">F97*H97</f>
        <v>36.885245901639344</v>
      </c>
      <c r="J97" s="77"/>
      <c r="K97" s="77"/>
      <c r="L97" s="77"/>
    </row>
    <row r="98" spans="1:12">
      <c r="A98" s="15"/>
      <c r="B98" s="5" t="s">
        <v>20</v>
      </c>
      <c r="C98" s="5" t="s">
        <v>21</v>
      </c>
      <c r="D98" s="5">
        <v>50</v>
      </c>
      <c r="E98" s="5">
        <v>244</v>
      </c>
      <c r="F98" s="31">
        <f>D98/E98</f>
        <v>0.20491803278688525</v>
      </c>
      <c r="G98" s="20">
        <v>1</v>
      </c>
      <c r="H98" s="6">
        <v>250</v>
      </c>
      <c r="I98" s="16">
        <f t="shared" si="15"/>
        <v>51.229508196721312</v>
      </c>
      <c r="J98" s="77"/>
      <c r="K98" s="77"/>
      <c r="L98" s="77"/>
    </row>
    <row r="99" spans="1:12">
      <c r="A99" s="15"/>
      <c r="B99" s="5" t="s">
        <v>57</v>
      </c>
      <c r="C99" s="5" t="s">
        <v>25</v>
      </c>
      <c r="D99" s="5">
        <v>1</v>
      </c>
      <c r="E99" s="5">
        <v>244</v>
      </c>
      <c r="F99" s="31">
        <f>D99/E99</f>
        <v>4.0983606557377051E-3</v>
      </c>
      <c r="G99" s="20">
        <v>1</v>
      </c>
      <c r="H99" s="6">
        <v>12000</v>
      </c>
      <c r="I99" s="16">
        <f t="shared" si="15"/>
        <v>49.180327868852459</v>
      </c>
      <c r="J99" s="77"/>
      <c r="K99" s="77"/>
      <c r="L99" s="77"/>
    </row>
    <row r="100" spans="1:12">
      <c r="A100" s="15"/>
      <c r="B100" s="5" t="s">
        <v>56</v>
      </c>
      <c r="C100" s="5" t="s">
        <v>25</v>
      </c>
      <c r="D100" s="5">
        <v>1</v>
      </c>
      <c r="E100" s="5">
        <v>244</v>
      </c>
      <c r="F100" s="31">
        <f>D100/E100</f>
        <v>4.0983606557377051E-3</v>
      </c>
      <c r="G100" s="20">
        <v>1</v>
      </c>
      <c r="H100" s="6">
        <v>3000</v>
      </c>
      <c r="I100" s="16">
        <f t="shared" si="15"/>
        <v>12.295081967213115</v>
      </c>
      <c r="J100" s="77"/>
      <c r="K100" s="77"/>
      <c r="L100" s="77"/>
    </row>
    <row r="101" spans="1:12" ht="15.75" thickBot="1">
      <c r="A101" s="17"/>
      <c r="B101" s="18"/>
      <c r="C101" s="18"/>
      <c r="D101" s="18"/>
      <c r="E101" s="18"/>
      <c r="F101" s="40"/>
      <c r="G101" s="41"/>
      <c r="H101" s="19"/>
      <c r="I101" s="48">
        <f>SUM(I96:I100)</f>
        <v>463.18295081967216</v>
      </c>
      <c r="J101" s="77">
        <f>I101*E100</f>
        <v>113016.64</v>
      </c>
      <c r="K101" s="77">
        <f>(265210-2420-5934)*0.44</f>
        <v>113016.64</v>
      </c>
      <c r="L101" s="77">
        <f>K101-J101</f>
        <v>0</v>
      </c>
    </row>
    <row r="102" spans="1:12" ht="15.75" thickBot="1">
      <c r="J102" s="77"/>
      <c r="K102" s="77"/>
      <c r="L102" s="77"/>
    </row>
    <row r="103" spans="1:12" ht="45">
      <c r="A103" s="11" t="s">
        <v>41</v>
      </c>
      <c r="B103" s="74" t="s">
        <v>55</v>
      </c>
      <c r="C103" s="12" t="s">
        <v>25</v>
      </c>
      <c r="D103" s="12">
        <v>1</v>
      </c>
      <c r="E103" s="12">
        <v>433</v>
      </c>
      <c r="F103" s="30">
        <f>D103/E103</f>
        <v>2.3094688221709007E-3</v>
      </c>
      <c r="G103" s="21">
        <v>1</v>
      </c>
      <c r="H103" s="13">
        <f>28706.71-0.002</f>
        <v>28706.707999999999</v>
      </c>
      <c r="I103" s="14">
        <f>F103*H103</f>
        <v>66.297247113163962</v>
      </c>
      <c r="J103" s="77"/>
      <c r="K103" s="77"/>
      <c r="L103" s="77"/>
    </row>
    <row r="104" spans="1:12">
      <c r="A104" s="15"/>
      <c r="B104" s="5" t="s">
        <v>29</v>
      </c>
      <c r="C104" s="5" t="s">
        <v>25</v>
      </c>
      <c r="D104" s="5">
        <v>1</v>
      </c>
      <c r="E104" s="5">
        <v>433</v>
      </c>
      <c r="F104" s="31">
        <f>D104/E104</f>
        <v>2.3094688221709007E-3</v>
      </c>
      <c r="G104" s="20">
        <v>1</v>
      </c>
      <c r="H104" s="6">
        <v>8000</v>
      </c>
      <c r="I104" s="16">
        <f t="shared" ref="I104:I107" si="16">F104*H104</f>
        <v>18.475750577367204</v>
      </c>
      <c r="J104" s="77"/>
      <c r="K104" s="77"/>
      <c r="L104" s="77"/>
    </row>
    <row r="105" spans="1:12">
      <c r="A105" s="15"/>
      <c r="B105" s="5" t="s">
        <v>20</v>
      </c>
      <c r="C105" s="5" t="s">
        <v>21</v>
      </c>
      <c r="D105" s="5">
        <v>40</v>
      </c>
      <c r="E105" s="5">
        <v>433</v>
      </c>
      <c r="F105" s="31">
        <f>D105/E105</f>
        <v>9.237875288683603E-2</v>
      </c>
      <c r="G105" s="20">
        <v>1</v>
      </c>
      <c r="H105" s="6">
        <v>250</v>
      </c>
      <c r="I105" s="16">
        <f t="shared" si="16"/>
        <v>23.094688221709006</v>
      </c>
      <c r="J105" s="77"/>
      <c r="K105" s="77"/>
      <c r="L105" s="77"/>
    </row>
    <row r="106" spans="1:12">
      <c r="A106" s="15"/>
      <c r="B106" s="5" t="s">
        <v>57</v>
      </c>
      <c r="C106" s="5" t="s">
        <v>25</v>
      </c>
      <c r="D106" s="5">
        <v>1</v>
      </c>
      <c r="E106" s="5">
        <v>433</v>
      </c>
      <c r="F106" s="31">
        <f>D106/E106</f>
        <v>2.3094688221709007E-3</v>
      </c>
      <c r="G106" s="20">
        <v>1</v>
      </c>
      <c r="H106" s="6">
        <v>11470.78</v>
      </c>
      <c r="I106" s="16">
        <f t="shared" si="16"/>
        <v>26.491408775981526</v>
      </c>
      <c r="J106" s="77"/>
      <c r="K106" s="77"/>
      <c r="L106" s="77"/>
    </row>
    <row r="107" spans="1:12">
      <c r="A107" s="15"/>
      <c r="B107" s="5" t="s">
        <v>56</v>
      </c>
      <c r="C107" s="5" t="s">
        <v>25</v>
      </c>
      <c r="D107" s="5">
        <v>1</v>
      </c>
      <c r="E107" s="5">
        <v>433</v>
      </c>
      <c r="F107" s="31">
        <f>D107/E107</f>
        <v>2.3094688221709007E-3</v>
      </c>
      <c r="G107" s="20">
        <v>1</v>
      </c>
      <c r="H107" s="6">
        <v>3000</v>
      </c>
      <c r="I107" s="16">
        <f t="shared" si="16"/>
        <v>6.9284064665127021</v>
      </c>
      <c r="J107" s="77"/>
      <c r="K107" s="77"/>
      <c r="L107" s="77"/>
    </row>
    <row r="108" spans="1:12" ht="15.75" thickBot="1">
      <c r="A108" s="17"/>
      <c r="B108" s="18"/>
      <c r="C108" s="18"/>
      <c r="D108" s="18"/>
      <c r="E108" s="18"/>
      <c r="F108" s="40"/>
      <c r="G108" s="41"/>
      <c r="H108" s="19"/>
      <c r="I108" s="48">
        <f>SUM(I103:I107)</f>
        <v>141.28750115473443</v>
      </c>
      <c r="J108" s="77">
        <f>I108*E107</f>
        <v>61177.488000000005</v>
      </c>
      <c r="K108" s="77">
        <f>(133756.1-3588-2715)*0.48</f>
        <v>61177.487999999998</v>
      </c>
      <c r="L108" s="77">
        <f>K108-J108</f>
        <v>0</v>
      </c>
    </row>
    <row r="109" spans="1:12" ht="15.75" thickBot="1">
      <c r="J109" s="77"/>
      <c r="K109" s="77"/>
      <c r="L109" s="77"/>
    </row>
    <row r="110" spans="1:12" ht="45">
      <c r="A110" s="11" t="s">
        <v>39</v>
      </c>
      <c r="B110" s="74" t="s">
        <v>55</v>
      </c>
      <c r="C110" s="12" t="s">
        <v>25</v>
      </c>
      <c r="D110" s="12">
        <v>1</v>
      </c>
      <c r="E110" s="12">
        <v>103</v>
      </c>
      <c r="F110" s="30">
        <f>D110/E110</f>
        <v>9.7087378640776691E-3</v>
      </c>
      <c r="G110" s="21">
        <v>1</v>
      </c>
      <c r="H110" s="13">
        <v>21548.81</v>
      </c>
      <c r="I110" s="14">
        <f>F110*H110</f>
        <v>209.21174757281554</v>
      </c>
      <c r="J110" s="77"/>
      <c r="K110" s="77"/>
      <c r="L110" s="77"/>
    </row>
    <row r="111" spans="1:12">
      <c r="A111" s="15"/>
      <c r="B111" s="5" t="s">
        <v>29</v>
      </c>
      <c r="C111" s="5" t="s">
        <v>25</v>
      </c>
      <c r="D111" s="5">
        <v>1</v>
      </c>
      <c r="E111" s="5">
        <v>103</v>
      </c>
      <c r="F111" s="31">
        <f>D111/E111</f>
        <v>9.7087378640776691E-3</v>
      </c>
      <c r="G111" s="20">
        <v>1</v>
      </c>
      <c r="H111" s="6">
        <v>5000</v>
      </c>
      <c r="I111" s="16">
        <f t="shared" ref="I111:I114" si="17">F111*H111</f>
        <v>48.543689320388346</v>
      </c>
      <c r="J111" s="77"/>
      <c r="K111" s="77"/>
      <c r="L111" s="77"/>
    </row>
    <row r="112" spans="1:12">
      <c r="A112" s="15"/>
      <c r="B112" s="5" t="s">
        <v>20</v>
      </c>
      <c r="C112" s="5" t="s">
        <v>21</v>
      </c>
      <c r="D112" s="5">
        <v>20</v>
      </c>
      <c r="E112" s="5">
        <v>103</v>
      </c>
      <c r="F112" s="31">
        <f>D112/E112</f>
        <v>0.1941747572815534</v>
      </c>
      <c r="G112" s="20">
        <v>1</v>
      </c>
      <c r="H112" s="6">
        <v>250</v>
      </c>
      <c r="I112" s="16">
        <f t="shared" si="17"/>
        <v>48.543689320388346</v>
      </c>
      <c r="J112" s="77"/>
      <c r="K112" s="77"/>
      <c r="L112" s="77"/>
    </row>
    <row r="113" spans="1:20">
      <c r="A113" s="15"/>
      <c r="B113" s="5" t="s">
        <v>57</v>
      </c>
      <c r="C113" s="5" t="s">
        <v>25</v>
      </c>
      <c r="D113" s="5">
        <v>1</v>
      </c>
      <c r="E113" s="5">
        <v>103</v>
      </c>
      <c r="F113" s="31">
        <f>D113/E113</f>
        <v>9.7087378640776691E-3</v>
      </c>
      <c r="G113" s="20">
        <v>1</v>
      </c>
      <c r="H113" s="6">
        <v>3273.0520000000001</v>
      </c>
      <c r="I113" s="16">
        <f t="shared" si="17"/>
        <v>31.777203883495144</v>
      </c>
      <c r="J113" s="77"/>
      <c r="K113" s="77"/>
      <c r="L113" s="77"/>
    </row>
    <row r="114" spans="1:20">
      <c r="A114" s="15"/>
      <c r="B114" s="5" t="s">
        <v>56</v>
      </c>
      <c r="C114" s="5" t="s">
        <v>25</v>
      </c>
      <c r="D114" s="5">
        <v>1</v>
      </c>
      <c r="E114" s="5">
        <v>103</v>
      </c>
      <c r="F114" s="31">
        <f>D114/E114</f>
        <v>9.7087378640776691E-3</v>
      </c>
      <c r="G114" s="20">
        <v>1</v>
      </c>
      <c r="H114" s="6">
        <v>2000</v>
      </c>
      <c r="I114" s="16">
        <f t="shared" si="17"/>
        <v>19.417475728155338</v>
      </c>
      <c r="J114" s="77"/>
      <c r="K114" s="77"/>
      <c r="L114" s="77"/>
    </row>
    <row r="115" spans="1:20" ht="15.75" thickBot="1">
      <c r="A115" s="17"/>
      <c r="B115" s="18"/>
      <c r="C115" s="18"/>
      <c r="D115" s="18"/>
      <c r="E115" s="18"/>
      <c r="F115" s="40"/>
      <c r="G115" s="41"/>
      <c r="H115" s="19"/>
      <c r="I115" s="48">
        <f>SUM(I110:I114)</f>
        <v>357.4938058252427</v>
      </c>
      <c r="J115" s="77">
        <f>I115*E114</f>
        <v>36821.862000000001</v>
      </c>
      <c r="K115" s="77">
        <f>(83382.36-1556)*0.45</f>
        <v>36821.862000000001</v>
      </c>
      <c r="L115" s="77">
        <f>K115-J115</f>
        <v>0</v>
      </c>
    </row>
    <row r="116" spans="1:20" ht="45">
      <c r="A116" s="11" t="s">
        <v>44</v>
      </c>
      <c r="B116" s="74" t="s">
        <v>55</v>
      </c>
      <c r="C116" s="12" t="s">
        <v>25</v>
      </c>
      <c r="D116" s="12">
        <v>1</v>
      </c>
      <c r="E116" s="12">
        <v>115</v>
      </c>
      <c r="F116" s="30">
        <f>D116/E116</f>
        <v>8.6956521739130436E-3</v>
      </c>
      <c r="G116" s="21">
        <v>1</v>
      </c>
      <c r="H116" s="13">
        <v>11220</v>
      </c>
      <c r="I116" s="14">
        <f>F116*H116</f>
        <v>97.565217391304344</v>
      </c>
      <c r="J116" s="77"/>
      <c r="K116" s="77"/>
      <c r="L116" s="77"/>
    </row>
    <row r="117" spans="1:20">
      <c r="A117" s="15"/>
      <c r="B117" s="5" t="s">
        <v>29</v>
      </c>
      <c r="C117" s="5" t="s">
        <v>25</v>
      </c>
      <c r="D117" s="5">
        <v>1</v>
      </c>
      <c r="E117" s="5">
        <v>115</v>
      </c>
      <c r="F117" s="31">
        <f>D117/E117</f>
        <v>8.6956521739130436E-3</v>
      </c>
      <c r="G117" s="20">
        <v>1</v>
      </c>
      <c r="H117" s="6">
        <v>3000</v>
      </c>
      <c r="I117" s="16">
        <f t="shared" ref="I117:I120" si="18">F117*H117</f>
        <v>26.086956521739129</v>
      </c>
      <c r="J117" s="77"/>
      <c r="K117" s="77"/>
      <c r="L117" s="77"/>
    </row>
    <row r="118" spans="1:20">
      <c r="A118" s="15"/>
      <c r="B118" s="5" t="s">
        <v>20</v>
      </c>
      <c r="C118" s="5" t="s">
        <v>21</v>
      </c>
      <c r="D118" s="5">
        <v>20</v>
      </c>
      <c r="E118" s="5">
        <v>115</v>
      </c>
      <c r="F118" s="31">
        <f>D118/E118</f>
        <v>0.17391304347826086</v>
      </c>
      <c r="G118" s="20">
        <v>1</v>
      </c>
      <c r="H118" s="6">
        <v>250</v>
      </c>
      <c r="I118" s="16">
        <f t="shared" si="18"/>
        <v>43.478260869565219</v>
      </c>
      <c r="J118" s="77"/>
      <c r="K118" s="77"/>
      <c r="L118" s="77"/>
    </row>
    <row r="119" spans="1:20">
      <c r="A119" s="15"/>
      <c r="B119" s="5" t="s">
        <v>57</v>
      </c>
      <c r="C119" s="5" t="s">
        <v>25</v>
      </c>
      <c r="D119" s="5">
        <v>1</v>
      </c>
      <c r="E119" s="5">
        <v>115</v>
      </c>
      <c r="F119" s="31">
        <f>D119/E119</f>
        <v>8.6956521739130436E-3</v>
      </c>
      <c r="G119" s="20">
        <v>1</v>
      </c>
      <c r="H119" s="6">
        <v>2000</v>
      </c>
      <c r="I119" s="16">
        <f t="shared" si="18"/>
        <v>17.391304347826086</v>
      </c>
      <c r="J119" s="77"/>
      <c r="K119" s="77"/>
      <c r="L119" s="77"/>
    </row>
    <row r="120" spans="1:20">
      <c r="A120" s="15"/>
      <c r="B120" s="5" t="s">
        <v>56</v>
      </c>
      <c r="C120" s="5" t="s">
        <v>25</v>
      </c>
      <c r="D120" s="5">
        <v>1</v>
      </c>
      <c r="E120" s="5">
        <v>115</v>
      </c>
      <c r="F120" s="31">
        <f>D120/E120</f>
        <v>8.6956521739130436E-3</v>
      </c>
      <c r="G120" s="20">
        <v>1</v>
      </c>
      <c r="H120" s="6">
        <v>2000</v>
      </c>
      <c r="I120" s="16">
        <f t="shared" si="18"/>
        <v>17.391304347826086</v>
      </c>
      <c r="J120" s="77"/>
      <c r="K120" s="77"/>
      <c r="L120" s="77"/>
    </row>
    <row r="121" spans="1:20" ht="15.75" thickBot="1">
      <c r="A121" s="17"/>
      <c r="B121" s="18"/>
      <c r="C121" s="18"/>
      <c r="D121" s="18"/>
      <c r="E121" s="18"/>
      <c r="F121" s="40"/>
      <c r="G121" s="41"/>
      <c r="H121" s="19"/>
      <c r="I121" s="48">
        <f>SUM(I116:I120)</f>
        <v>201.91304347826087</v>
      </c>
      <c r="J121" s="77">
        <f>I121*E120</f>
        <v>23220</v>
      </c>
      <c r="K121" s="77">
        <f>(50000-1625)*0.48</f>
        <v>23220</v>
      </c>
      <c r="L121" s="77">
        <f>K121-J121</f>
        <v>0</v>
      </c>
    </row>
    <row r="122" spans="1:20">
      <c r="J122" s="77"/>
      <c r="K122" s="77"/>
      <c r="L122" s="77"/>
    </row>
    <row r="123" spans="1:20" ht="19.5" thickBot="1">
      <c r="A123" s="33" t="s">
        <v>46</v>
      </c>
      <c r="J123" s="77"/>
      <c r="K123" s="77"/>
      <c r="L123" s="77"/>
      <c r="T123" s="1"/>
    </row>
    <row r="124" spans="1:20" ht="90">
      <c r="A124" s="73" t="s">
        <v>3</v>
      </c>
      <c r="B124" s="24" t="s">
        <v>13</v>
      </c>
      <c r="C124" s="24" t="s">
        <v>18</v>
      </c>
      <c r="D124" s="24" t="s">
        <v>14</v>
      </c>
      <c r="E124" s="24" t="s">
        <v>58</v>
      </c>
      <c r="F124" s="24" t="s">
        <v>59</v>
      </c>
      <c r="G124" s="24" t="s">
        <v>15</v>
      </c>
      <c r="H124" s="24" t="s">
        <v>16</v>
      </c>
      <c r="I124" s="25" t="s">
        <v>10</v>
      </c>
      <c r="J124" s="78"/>
      <c r="K124" s="78"/>
      <c r="L124" s="78"/>
    </row>
    <row r="125" spans="1:20" ht="15.75" thickBot="1">
      <c r="A125" s="38">
        <v>1</v>
      </c>
      <c r="B125" s="9">
        <v>2</v>
      </c>
      <c r="C125" s="9">
        <v>3</v>
      </c>
      <c r="D125" s="9">
        <v>4</v>
      </c>
      <c r="E125" s="9">
        <v>5</v>
      </c>
      <c r="F125" s="9" t="s">
        <v>17</v>
      </c>
      <c r="G125" s="9">
        <v>7</v>
      </c>
      <c r="H125" s="8">
        <v>8</v>
      </c>
      <c r="I125" s="39" t="s">
        <v>19</v>
      </c>
      <c r="J125" s="77"/>
      <c r="K125" s="77"/>
      <c r="L125" s="77"/>
    </row>
    <row r="126" spans="1:20" ht="45">
      <c r="A126" s="11" t="s">
        <v>36</v>
      </c>
      <c r="B126" s="74" t="s">
        <v>55</v>
      </c>
      <c r="C126" s="12" t="s">
        <v>25</v>
      </c>
      <c r="D126" s="12">
        <v>1</v>
      </c>
      <c r="E126" s="12">
        <v>61</v>
      </c>
      <c r="F126" s="30">
        <f t="shared" ref="F126:F131" si="19">D126/E126</f>
        <v>1.6393442622950821E-2</v>
      </c>
      <c r="G126" s="21">
        <v>1</v>
      </c>
      <c r="H126" s="13">
        <f>3679.9+0.002</f>
        <v>3679.902</v>
      </c>
      <c r="I126" s="14">
        <f>F126*H126</f>
        <v>60.326262295081968</v>
      </c>
      <c r="J126" s="77"/>
      <c r="K126" s="77"/>
      <c r="L126" s="77"/>
    </row>
    <row r="127" spans="1:20">
      <c r="A127" s="15"/>
      <c r="B127" s="5" t="s">
        <v>29</v>
      </c>
      <c r="C127" s="5" t="s">
        <v>25</v>
      </c>
      <c r="D127" s="5">
        <v>1</v>
      </c>
      <c r="E127" s="5">
        <v>61</v>
      </c>
      <c r="F127" s="31">
        <f t="shared" si="19"/>
        <v>1.6393442622950821E-2</v>
      </c>
      <c r="G127" s="20">
        <v>1</v>
      </c>
      <c r="H127" s="6">
        <v>5000</v>
      </c>
      <c r="I127" s="16">
        <f t="shared" ref="I127:I131" si="20">F127*H127</f>
        <v>81.967213114754102</v>
      </c>
      <c r="J127" s="77"/>
      <c r="K127" s="77"/>
      <c r="L127" s="77"/>
    </row>
    <row r="128" spans="1:20">
      <c r="A128" s="15"/>
      <c r="B128" s="5" t="s">
        <v>20</v>
      </c>
      <c r="C128" s="5" t="s">
        <v>21</v>
      </c>
      <c r="D128" s="5">
        <v>30</v>
      </c>
      <c r="E128" s="5">
        <v>61</v>
      </c>
      <c r="F128" s="31">
        <f t="shared" si="19"/>
        <v>0.49180327868852458</v>
      </c>
      <c r="G128" s="20">
        <v>1</v>
      </c>
      <c r="H128" s="6">
        <v>250</v>
      </c>
      <c r="I128" s="16">
        <f t="shared" si="20"/>
        <v>122.95081967213115</v>
      </c>
      <c r="J128" s="77"/>
      <c r="K128" s="77"/>
      <c r="L128" s="77"/>
    </row>
    <row r="129" spans="1:12">
      <c r="A129" s="15"/>
      <c r="B129" s="5" t="s">
        <v>57</v>
      </c>
      <c r="C129" s="5" t="s">
        <v>25</v>
      </c>
      <c r="D129" s="5">
        <v>1</v>
      </c>
      <c r="E129" s="5">
        <v>61</v>
      </c>
      <c r="F129" s="31">
        <f t="shared" si="19"/>
        <v>1.6393442622950821E-2</v>
      </c>
      <c r="G129" s="20">
        <v>1</v>
      </c>
      <c r="H129" s="6">
        <v>2000</v>
      </c>
      <c r="I129" s="16">
        <f t="shared" si="20"/>
        <v>32.786885245901644</v>
      </c>
      <c r="J129" s="77"/>
      <c r="K129" s="77"/>
      <c r="L129" s="77"/>
    </row>
    <row r="130" spans="1:12">
      <c r="A130" s="15"/>
      <c r="B130" s="5" t="s">
        <v>61</v>
      </c>
      <c r="C130" s="5" t="s">
        <v>25</v>
      </c>
      <c r="D130" s="5">
        <v>1</v>
      </c>
      <c r="E130" s="5">
        <v>61</v>
      </c>
      <c r="F130" s="31">
        <f t="shared" si="19"/>
        <v>1.6393442622950821E-2</v>
      </c>
      <c r="G130" s="20">
        <v>1</v>
      </c>
      <c r="H130" s="6">
        <v>18016</v>
      </c>
      <c r="I130" s="16">
        <f t="shared" si="20"/>
        <v>295.34426229508199</v>
      </c>
      <c r="J130" s="77"/>
      <c r="K130" s="77"/>
      <c r="L130" s="77"/>
    </row>
    <row r="131" spans="1:12">
      <c r="A131" s="15"/>
      <c r="B131" s="5" t="s">
        <v>56</v>
      </c>
      <c r="C131" s="5" t="s">
        <v>25</v>
      </c>
      <c r="D131" s="5">
        <v>1</v>
      </c>
      <c r="E131" s="5">
        <v>61</v>
      </c>
      <c r="F131" s="31">
        <f t="shared" si="19"/>
        <v>1.6393442622950821E-2</v>
      </c>
      <c r="G131" s="20">
        <v>1</v>
      </c>
      <c r="H131" s="6">
        <v>1000</v>
      </c>
      <c r="I131" s="16">
        <f t="shared" si="20"/>
        <v>16.393442622950822</v>
      </c>
      <c r="J131" s="77"/>
      <c r="K131" s="77"/>
      <c r="L131" s="77"/>
    </row>
    <row r="132" spans="1:12" ht="15.75" thickBot="1">
      <c r="A132" s="17"/>
      <c r="B132" s="18"/>
      <c r="C132" s="18"/>
      <c r="D132" s="18"/>
      <c r="E132" s="18"/>
      <c r="F132" s="40"/>
      <c r="G132" s="41"/>
      <c r="H132" s="19"/>
      <c r="I132" s="48">
        <f>SUM(I126:I131)</f>
        <v>609.76888524590174</v>
      </c>
      <c r="J132" s="77">
        <f>I132*E131</f>
        <v>37195.902000000009</v>
      </c>
      <c r="K132" s="77">
        <f>(138999.3-1000-1000)*0.14+18016</f>
        <v>37195.902000000002</v>
      </c>
      <c r="L132" s="77">
        <f>K132-J132</f>
        <v>0</v>
      </c>
    </row>
    <row r="133" spans="1:12" ht="45">
      <c r="A133" s="11" t="s">
        <v>37</v>
      </c>
      <c r="B133" s="74" t="s">
        <v>55</v>
      </c>
      <c r="C133" s="12" t="s">
        <v>25</v>
      </c>
      <c r="D133" s="12">
        <v>1</v>
      </c>
      <c r="E133" s="12">
        <v>34</v>
      </c>
      <c r="F133" s="30">
        <f>D133/E133</f>
        <v>2.9411764705882353E-2</v>
      </c>
      <c r="G133" s="21">
        <v>1</v>
      </c>
      <c r="H133" s="13"/>
      <c r="I133" s="14">
        <f>F133*H133</f>
        <v>0</v>
      </c>
      <c r="J133" s="77"/>
      <c r="K133" s="77"/>
      <c r="L133" s="77"/>
    </row>
    <row r="134" spans="1:12">
      <c r="A134" s="15"/>
      <c r="B134" s="5" t="s">
        <v>29</v>
      </c>
      <c r="C134" s="5" t="s">
        <v>25</v>
      </c>
      <c r="D134" s="5">
        <v>1</v>
      </c>
      <c r="E134" s="5">
        <v>34</v>
      </c>
      <c r="F134" s="31">
        <f>D134/E134</f>
        <v>2.9411764705882353E-2</v>
      </c>
      <c r="G134" s="20">
        <v>1</v>
      </c>
      <c r="H134" s="6">
        <f>3566.33-0.002</f>
        <v>3566.328</v>
      </c>
      <c r="I134" s="16">
        <f t="shared" ref="I134:I137" si="21">F134*H134</f>
        <v>104.892</v>
      </c>
      <c r="J134" s="77"/>
      <c r="K134" s="77"/>
      <c r="L134" s="77"/>
    </row>
    <row r="135" spans="1:12">
      <c r="A135" s="15"/>
      <c r="B135" s="5" t="s">
        <v>20</v>
      </c>
      <c r="C135" s="5" t="s">
        <v>21</v>
      </c>
      <c r="D135" s="5">
        <v>5</v>
      </c>
      <c r="E135" s="5">
        <v>34</v>
      </c>
      <c r="F135" s="31">
        <f>D135/E135</f>
        <v>0.14705882352941177</v>
      </c>
      <c r="G135" s="20">
        <v>1</v>
      </c>
      <c r="H135" s="6">
        <v>250</v>
      </c>
      <c r="I135" s="16">
        <f t="shared" si="21"/>
        <v>36.764705882352942</v>
      </c>
      <c r="J135" s="77"/>
      <c r="K135" s="77"/>
      <c r="L135" s="77"/>
    </row>
    <row r="136" spans="1:12">
      <c r="A136" s="15"/>
      <c r="B136" s="5" t="s">
        <v>61</v>
      </c>
      <c r="C136" s="5" t="s">
        <v>25</v>
      </c>
      <c r="D136" s="5">
        <v>1</v>
      </c>
      <c r="E136" s="5">
        <v>34</v>
      </c>
      <c r="F136" s="31">
        <f>D136/E136</f>
        <v>2.9411764705882353E-2</v>
      </c>
      <c r="G136" s="20">
        <v>1</v>
      </c>
      <c r="H136" s="6">
        <v>8840</v>
      </c>
      <c r="I136" s="16">
        <f t="shared" si="21"/>
        <v>260</v>
      </c>
      <c r="J136" s="77"/>
      <c r="K136" s="77"/>
      <c r="L136" s="77"/>
    </row>
    <row r="137" spans="1:12">
      <c r="A137" s="15"/>
      <c r="B137" s="5" t="s">
        <v>56</v>
      </c>
      <c r="C137" s="5" t="s">
        <v>25</v>
      </c>
      <c r="D137" s="5">
        <v>1</v>
      </c>
      <c r="E137" s="5">
        <v>34</v>
      </c>
      <c r="F137" s="31">
        <f>D137/E137</f>
        <v>2.9411764705882353E-2</v>
      </c>
      <c r="G137" s="20">
        <v>1</v>
      </c>
      <c r="H137" s="6"/>
      <c r="I137" s="16">
        <f t="shared" si="21"/>
        <v>0</v>
      </c>
      <c r="J137" s="77"/>
      <c r="K137" s="77"/>
      <c r="L137" s="77"/>
    </row>
    <row r="138" spans="1:12" ht="15.75" thickBot="1">
      <c r="A138" s="17"/>
      <c r="B138" s="18"/>
      <c r="C138" s="18"/>
      <c r="D138" s="18"/>
      <c r="E138" s="18"/>
      <c r="F138" s="40"/>
      <c r="G138" s="41"/>
      <c r="H138" s="19"/>
      <c r="I138" s="48">
        <f>SUM(I133:I137)</f>
        <v>401.65670588235292</v>
      </c>
      <c r="J138" s="77">
        <f>I138*E137</f>
        <v>13656.328</v>
      </c>
      <c r="K138" s="77">
        <f>(85192.14-4920)*0.06+8840</f>
        <v>13656.328399999999</v>
      </c>
      <c r="L138" s="77">
        <f>K138-J138</f>
        <v>3.9999999899009708E-4</v>
      </c>
    </row>
    <row r="139" spans="1:12" ht="45">
      <c r="A139" s="11" t="s">
        <v>38</v>
      </c>
      <c r="B139" s="74" t="s">
        <v>55</v>
      </c>
      <c r="C139" s="12" t="s">
        <v>25</v>
      </c>
      <c r="D139" s="12">
        <v>1</v>
      </c>
      <c r="E139" s="12">
        <v>35</v>
      </c>
      <c r="F139" s="30">
        <f>D139/E139</f>
        <v>2.8571428571428571E-2</v>
      </c>
      <c r="G139" s="21">
        <v>1</v>
      </c>
      <c r="H139" s="13"/>
      <c r="I139" s="14">
        <f>F139*H139</f>
        <v>0</v>
      </c>
    </row>
    <row r="140" spans="1:12">
      <c r="A140" s="15"/>
      <c r="B140" s="5" t="s">
        <v>29</v>
      </c>
      <c r="C140" s="5" t="s">
        <v>25</v>
      </c>
      <c r="D140" s="5">
        <v>1</v>
      </c>
      <c r="E140" s="5">
        <v>35</v>
      </c>
      <c r="F140" s="31">
        <f>D140/E140</f>
        <v>2.8571428571428571E-2</v>
      </c>
      <c r="G140" s="20">
        <v>1</v>
      </c>
      <c r="H140" s="6">
        <f>2532.05-0.003</f>
        <v>2532.047</v>
      </c>
      <c r="I140" s="16">
        <f t="shared" ref="I140:I143" si="22">F140*H140</f>
        <v>72.344200000000001</v>
      </c>
    </row>
    <row r="141" spans="1:12">
      <c r="A141" s="15"/>
      <c r="B141" s="5" t="s">
        <v>20</v>
      </c>
      <c r="C141" s="5" t="s">
        <v>21</v>
      </c>
      <c r="D141" s="5">
        <v>10</v>
      </c>
      <c r="E141" s="5">
        <v>35</v>
      </c>
      <c r="F141" s="31">
        <f>D141/E141</f>
        <v>0.2857142857142857</v>
      </c>
      <c r="G141" s="20">
        <v>1</v>
      </c>
      <c r="H141" s="6">
        <v>250</v>
      </c>
      <c r="I141" s="16">
        <f t="shared" si="22"/>
        <v>71.428571428571431</v>
      </c>
    </row>
    <row r="142" spans="1:12">
      <c r="A142" s="15"/>
      <c r="B142" s="5" t="s">
        <v>61</v>
      </c>
      <c r="C142" s="5" t="s">
        <v>25</v>
      </c>
      <c r="D142" s="5">
        <v>1</v>
      </c>
      <c r="E142" s="5">
        <v>35</v>
      </c>
      <c r="F142" s="31">
        <f>D142/E142</f>
        <v>2.8571428571428571E-2</v>
      </c>
      <c r="G142" s="20">
        <v>1</v>
      </c>
      <c r="H142" s="6">
        <v>14000</v>
      </c>
      <c r="I142" s="16">
        <f t="shared" si="22"/>
        <v>400</v>
      </c>
    </row>
    <row r="143" spans="1:12">
      <c r="A143" s="15"/>
      <c r="B143" s="5" t="s">
        <v>56</v>
      </c>
      <c r="C143" s="5" t="s">
        <v>25</v>
      </c>
      <c r="D143" s="5">
        <v>1</v>
      </c>
      <c r="E143" s="5">
        <v>35</v>
      </c>
      <c r="F143" s="31">
        <f>D143/E143</f>
        <v>2.8571428571428571E-2</v>
      </c>
      <c r="G143" s="20">
        <v>1</v>
      </c>
      <c r="H143" s="6"/>
      <c r="I143" s="16">
        <f t="shared" si="22"/>
        <v>0</v>
      </c>
    </row>
    <row r="144" spans="1:12" ht="15.75" thickBot="1">
      <c r="A144" s="17"/>
      <c r="B144" s="18"/>
      <c r="C144" s="18"/>
      <c r="D144" s="18"/>
      <c r="E144" s="18"/>
      <c r="F144" s="40"/>
      <c r="G144" s="41"/>
      <c r="H144" s="19"/>
      <c r="I144" s="48">
        <f>SUM(I139:I143)</f>
        <v>543.77277142857145</v>
      </c>
      <c r="J144" s="77">
        <f>I144*E143</f>
        <v>19032.047000000002</v>
      </c>
      <c r="K144" s="77">
        <f>(60550.63-2261-2378)*0.09+14000</f>
        <v>19032.046699999999</v>
      </c>
      <c r="L144" s="77">
        <f>K144-J144</f>
        <v>-3.0000000333529897E-4</v>
      </c>
    </row>
    <row r="145" spans="1:12" ht="45">
      <c r="A145" s="11" t="s">
        <v>40</v>
      </c>
      <c r="B145" s="74" t="s">
        <v>55</v>
      </c>
      <c r="C145" s="12" t="s">
        <v>25</v>
      </c>
      <c r="D145" s="12">
        <v>1</v>
      </c>
      <c r="E145" s="12">
        <v>60</v>
      </c>
      <c r="F145" s="30">
        <f>D145/E145</f>
        <v>1.6666666666666666E-2</v>
      </c>
      <c r="G145" s="21">
        <v>1</v>
      </c>
      <c r="H145" s="13"/>
      <c r="I145" s="14">
        <f>F145*H145</f>
        <v>0</v>
      </c>
      <c r="J145" s="77"/>
      <c r="K145" s="77"/>
      <c r="L145" s="77"/>
    </row>
    <row r="146" spans="1:12">
      <c r="A146" s="15"/>
      <c r="B146" s="5" t="s">
        <v>29</v>
      </c>
      <c r="C146" s="5" t="s">
        <v>25</v>
      </c>
      <c r="D146" s="5">
        <v>1</v>
      </c>
      <c r="E146" s="5">
        <v>60</v>
      </c>
      <c r="F146" s="31">
        <f>D146/E146</f>
        <v>1.6666666666666666E-2</v>
      </c>
      <c r="G146" s="20">
        <v>1</v>
      </c>
      <c r="H146" s="6">
        <v>6000</v>
      </c>
      <c r="I146" s="16">
        <f t="shared" ref="I146:I149" si="23">F146*H146</f>
        <v>100</v>
      </c>
      <c r="J146" s="77"/>
      <c r="K146" s="77"/>
      <c r="L146" s="77"/>
    </row>
    <row r="147" spans="1:12">
      <c r="A147" s="15"/>
      <c r="B147" s="5" t="s">
        <v>20</v>
      </c>
      <c r="C147" s="5" t="s">
        <v>21</v>
      </c>
      <c r="D147" s="5">
        <v>10</v>
      </c>
      <c r="E147" s="5">
        <v>60</v>
      </c>
      <c r="F147" s="31">
        <f>D147/E147</f>
        <v>0.16666666666666666</v>
      </c>
      <c r="G147" s="20">
        <v>1</v>
      </c>
      <c r="H147" s="6">
        <v>250</v>
      </c>
      <c r="I147" s="16">
        <f t="shared" si="23"/>
        <v>41.666666666666664</v>
      </c>
      <c r="J147" s="77"/>
      <c r="K147" s="77"/>
      <c r="L147" s="77"/>
    </row>
    <row r="148" spans="1:12">
      <c r="A148" s="15"/>
      <c r="B148" s="5" t="s">
        <v>61</v>
      </c>
      <c r="C148" s="5" t="s">
        <v>25</v>
      </c>
      <c r="D148" s="5">
        <v>1</v>
      </c>
      <c r="E148" s="5">
        <v>60</v>
      </c>
      <c r="F148" s="31">
        <f>D148/E148</f>
        <v>1.6666666666666666E-2</v>
      </c>
      <c r="G148" s="20">
        <v>1</v>
      </c>
      <c r="H148" s="6">
        <v>35000</v>
      </c>
      <c r="I148" s="16">
        <f t="shared" si="23"/>
        <v>583.33333333333337</v>
      </c>
      <c r="J148" s="77"/>
      <c r="K148" s="77"/>
      <c r="L148" s="77"/>
    </row>
    <row r="149" spans="1:12">
      <c r="A149" s="15"/>
      <c r="B149" s="5" t="s">
        <v>56</v>
      </c>
      <c r="C149" s="5" t="s">
        <v>25</v>
      </c>
      <c r="D149" s="5">
        <v>1</v>
      </c>
      <c r="E149" s="5">
        <v>60</v>
      </c>
      <c r="F149" s="31">
        <f>D149/E149</f>
        <v>1.6666666666666666E-2</v>
      </c>
      <c r="G149" s="20">
        <v>1</v>
      </c>
      <c r="H149" s="6">
        <v>290</v>
      </c>
      <c r="I149" s="16">
        <f t="shared" si="23"/>
        <v>4.833333333333333</v>
      </c>
      <c r="J149" s="77"/>
      <c r="K149" s="77"/>
      <c r="L149" s="77"/>
    </row>
    <row r="150" spans="1:12" ht="15.75" thickBot="1">
      <c r="A150" s="17"/>
      <c r="B150" s="18"/>
      <c r="C150" s="18"/>
      <c r="D150" s="18"/>
      <c r="E150" s="18"/>
      <c r="F150" s="40"/>
      <c r="G150" s="41"/>
      <c r="H150" s="19"/>
      <c r="I150" s="48">
        <f>SUM(I145:I149)</f>
        <v>729.83333333333337</v>
      </c>
      <c r="J150" s="77">
        <f>I150*E149</f>
        <v>43790</v>
      </c>
      <c r="K150" s="77">
        <f>(117650-4810-2965)*0.08+35000</f>
        <v>43790</v>
      </c>
      <c r="L150" s="77">
        <f>K150-J150</f>
        <v>0</v>
      </c>
    </row>
    <row r="151" spans="1:12" ht="45">
      <c r="A151" s="11" t="s">
        <v>42</v>
      </c>
      <c r="B151" s="74" t="s">
        <v>55</v>
      </c>
      <c r="C151" s="12" t="s">
        <v>25</v>
      </c>
      <c r="D151" s="12">
        <v>1</v>
      </c>
      <c r="E151" s="64">
        <v>92</v>
      </c>
      <c r="F151" s="30">
        <f>D151/E151</f>
        <v>1.0869565217391304E-2</v>
      </c>
      <c r="G151" s="21">
        <v>1</v>
      </c>
      <c r="H151" s="13">
        <v>2000</v>
      </c>
      <c r="I151" s="14">
        <f>F151*H151</f>
        <v>21.739130434782609</v>
      </c>
      <c r="J151" s="77"/>
      <c r="K151" s="77"/>
      <c r="L151" s="77"/>
    </row>
    <row r="152" spans="1:12">
      <c r="A152" s="15"/>
      <c r="B152" s="5" t="s">
        <v>29</v>
      </c>
      <c r="C152" s="5" t="s">
        <v>25</v>
      </c>
      <c r="D152" s="5">
        <v>1</v>
      </c>
      <c r="E152" s="5">
        <v>92</v>
      </c>
      <c r="F152" s="31">
        <f>D152/E152</f>
        <v>1.0869565217391304E-2</v>
      </c>
      <c r="G152" s="20">
        <v>1</v>
      </c>
      <c r="H152" s="6">
        <v>6000</v>
      </c>
      <c r="I152" s="16">
        <f t="shared" ref="I152:I155" si="24">F152*H152</f>
        <v>65.217391304347828</v>
      </c>
      <c r="J152" s="77"/>
      <c r="K152" s="77"/>
      <c r="L152" s="77"/>
    </row>
    <row r="153" spans="1:12">
      <c r="A153" s="15"/>
      <c r="B153" s="5" t="s">
        <v>20</v>
      </c>
      <c r="C153" s="5" t="s">
        <v>21</v>
      </c>
      <c r="D153" s="5">
        <v>15</v>
      </c>
      <c r="E153" s="5">
        <v>92</v>
      </c>
      <c r="F153" s="31">
        <f>D153/E153</f>
        <v>0.16304347826086957</v>
      </c>
      <c r="G153" s="20">
        <v>1</v>
      </c>
      <c r="H153" s="6">
        <v>25</v>
      </c>
      <c r="I153" s="16">
        <f t="shared" si="24"/>
        <v>4.0760869565217392</v>
      </c>
      <c r="J153" s="77"/>
      <c r="K153" s="77"/>
      <c r="L153" s="77"/>
    </row>
    <row r="154" spans="1:12">
      <c r="A154" s="15"/>
      <c r="B154" s="5" t="s">
        <v>57</v>
      </c>
      <c r="C154" s="5" t="s">
        <v>25</v>
      </c>
      <c r="D154" s="5">
        <v>1</v>
      </c>
      <c r="E154" s="5">
        <v>92</v>
      </c>
      <c r="F154" s="31">
        <f>D154/E154</f>
        <v>1.0869565217391304E-2</v>
      </c>
      <c r="G154" s="20">
        <v>1</v>
      </c>
      <c r="H154" s="6">
        <f>4511.52+0.009</f>
        <v>4511.5290000000005</v>
      </c>
      <c r="I154" s="16">
        <f t="shared" si="24"/>
        <v>49.038358695652178</v>
      </c>
      <c r="J154" s="77"/>
      <c r="K154" s="77"/>
      <c r="L154" s="77"/>
    </row>
    <row r="155" spans="1:12">
      <c r="A155" s="15"/>
      <c r="B155" s="5" t="s">
        <v>61</v>
      </c>
      <c r="C155" s="5" t="s">
        <v>25</v>
      </c>
      <c r="D155" s="5">
        <v>1</v>
      </c>
      <c r="E155" s="5">
        <v>92</v>
      </c>
      <c r="F155" s="31">
        <f>D155/E155</f>
        <v>1.0869565217391304E-2</v>
      </c>
      <c r="G155" s="20">
        <v>1</v>
      </c>
      <c r="H155" s="6">
        <v>59200</v>
      </c>
      <c r="I155" s="16">
        <f t="shared" si="24"/>
        <v>643.47826086956525</v>
      </c>
      <c r="J155" s="77"/>
      <c r="K155" s="77"/>
      <c r="L155" s="77"/>
    </row>
    <row r="156" spans="1:12" ht="15.75" thickBot="1">
      <c r="A156" s="17"/>
      <c r="B156" s="18"/>
      <c r="C156" s="18"/>
      <c r="D156" s="18"/>
      <c r="E156" s="18"/>
      <c r="F156" s="40"/>
      <c r="G156" s="41"/>
      <c r="H156" s="19"/>
      <c r="I156" s="48">
        <f>SUM(I151:I155)</f>
        <v>783.54922826086954</v>
      </c>
      <c r="J156" s="77">
        <f>I156*E155</f>
        <v>72086.528999999995</v>
      </c>
      <c r="K156" s="77">
        <f>(119740.26-2590)*0.11+59200</f>
        <v>72086.528600000005</v>
      </c>
      <c r="L156" s="77">
        <f>K156-J156</f>
        <v>-3.9999998989515007E-4</v>
      </c>
    </row>
    <row r="157" spans="1:12" ht="45">
      <c r="A157" s="11" t="s">
        <v>43</v>
      </c>
      <c r="B157" s="74" t="s">
        <v>55</v>
      </c>
      <c r="C157" s="12" t="s">
        <v>25</v>
      </c>
      <c r="D157" s="12">
        <v>1</v>
      </c>
      <c r="E157" s="12">
        <v>40</v>
      </c>
      <c r="F157" s="30">
        <f>D157/E157</f>
        <v>2.5000000000000001E-2</v>
      </c>
      <c r="G157" s="21">
        <v>1</v>
      </c>
      <c r="H157" s="13">
        <v>3000</v>
      </c>
      <c r="I157" s="14">
        <f>F157*H157</f>
        <v>75</v>
      </c>
      <c r="J157" s="77"/>
      <c r="K157" s="77"/>
      <c r="L157" s="77"/>
    </row>
    <row r="158" spans="1:12">
      <c r="A158" s="15"/>
      <c r="B158" s="5" t="s">
        <v>29</v>
      </c>
      <c r="C158" s="5" t="s">
        <v>25</v>
      </c>
      <c r="D158" s="5">
        <v>1</v>
      </c>
      <c r="E158" s="5">
        <v>40</v>
      </c>
      <c r="F158" s="31">
        <f>D158/E158</f>
        <v>2.5000000000000001E-2</v>
      </c>
      <c r="G158" s="20">
        <v>1</v>
      </c>
      <c r="H158" s="6">
        <v>9000</v>
      </c>
      <c r="I158" s="16">
        <f t="shared" ref="I158:I161" si="25">F158*H158</f>
        <v>225</v>
      </c>
      <c r="J158" s="77"/>
      <c r="K158" s="77"/>
      <c r="L158" s="77"/>
    </row>
    <row r="159" spans="1:12">
      <c r="A159" s="15"/>
      <c r="B159" s="5" t="s">
        <v>20</v>
      </c>
      <c r="C159" s="5" t="s">
        <v>21</v>
      </c>
      <c r="D159" s="5">
        <v>10</v>
      </c>
      <c r="E159" s="5">
        <v>40</v>
      </c>
      <c r="F159" s="31">
        <f>D159/E159</f>
        <v>0.25</v>
      </c>
      <c r="G159" s="20">
        <v>1</v>
      </c>
      <c r="H159" s="6">
        <v>250</v>
      </c>
      <c r="I159" s="16">
        <f t="shared" si="25"/>
        <v>62.5</v>
      </c>
      <c r="J159" s="77"/>
      <c r="K159" s="77"/>
      <c r="L159" s="77"/>
    </row>
    <row r="160" spans="1:12">
      <c r="A160" s="15"/>
      <c r="B160" s="5" t="s">
        <v>57</v>
      </c>
      <c r="C160" s="5" t="s">
        <v>25</v>
      </c>
      <c r="D160" s="5">
        <v>1</v>
      </c>
      <c r="E160" s="5">
        <v>40</v>
      </c>
      <c r="F160" s="31">
        <f>D160/E160</f>
        <v>2.5000000000000001E-2</v>
      </c>
      <c r="G160" s="20">
        <v>1</v>
      </c>
      <c r="H160" s="6">
        <v>6048.48</v>
      </c>
      <c r="I160" s="16">
        <f t="shared" si="25"/>
        <v>151.21199999999999</v>
      </c>
      <c r="J160" s="77"/>
      <c r="K160" s="77"/>
      <c r="L160" s="77"/>
    </row>
    <row r="161" spans="1:12">
      <c r="A161" s="15"/>
      <c r="B161" s="5" t="s">
        <v>61</v>
      </c>
      <c r="C161" s="5" t="s">
        <v>25</v>
      </c>
      <c r="D161" s="5">
        <v>1</v>
      </c>
      <c r="E161" s="5">
        <v>40</v>
      </c>
      <c r="F161" s="31">
        <f>D161/E161</f>
        <v>2.5000000000000001E-2</v>
      </c>
      <c r="G161" s="20">
        <v>1</v>
      </c>
      <c r="H161" s="6">
        <v>40000</v>
      </c>
      <c r="I161" s="16">
        <f t="shared" si="25"/>
        <v>1000</v>
      </c>
      <c r="J161" s="77"/>
      <c r="K161" s="77"/>
      <c r="L161" s="77"/>
    </row>
    <row r="162" spans="1:12" ht="15.75" thickBot="1">
      <c r="A162" s="17"/>
      <c r="B162" s="18"/>
      <c r="C162" s="18"/>
      <c r="D162" s="18"/>
      <c r="E162" s="18"/>
      <c r="F162" s="40"/>
      <c r="G162" s="41"/>
      <c r="H162" s="19"/>
      <c r="I162" s="48">
        <f>SUM(I157:I161)</f>
        <v>1513.712</v>
      </c>
      <c r="J162" s="77">
        <f>I162*E161</f>
        <v>60548.479999999996</v>
      </c>
      <c r="K162" s="77">
        <f>(265210-2420-5934)*0.08+40000</f>
        <v>60548.479999999996</v>
      </c>
      <c r="L162" s="77">
        <f>K162-J162</f>
        <v>0</v>
      </c>
    </row>
    <row r="163" spans="1:12" ht="15.75" thickBot="1"/>
    <row r="164" spans="1:12" ht="45">
      <c r="A164" s="11" t="s">
        <v>41</v>
      </c>
      <c r="B164" s="74" t="s">
        <v>55</v>
      </c>
      <c r="C164" s="12" t="s">
        <v>25</v>
      </c>
      <c r="D164" s="12">
        <v>1</v>
      </c>
      <c r="E164" s="12">
        <v>114</v>
      </c>
      <c r="F164" s="30">
        <f>D164/E164</f>
        <v>8.771929824561403E-3</v>
      </c>
      <c r="G164" s="21">
        <v>1</v>
      </c>
      <c r="H164" s="13">
        <v>1000</v>
      </c>
      <c r="I164" s="14">
        <f>F164*H164</f>
        <v>8.7719298245614024</v>
      </c>
    </row>
    <row r="165" spans="1:12">
      <c r="A165" s="15"/>
      <c r="B165" s="5" t="s">
        <v>29</v>
      </c>
      <c r="C165" s="5" t="s">
        <v>25</v>
      </c>
      <c r="D165" s="5">
        <v>1</v>
      </c>
      <c r="E165" s="5">
        <v>114</v>
      </c>
      <c r="F165" s="31">
        <f>D165/E165</f>
        <v>8.771929824561403E-3</v>
      </c>
      <c r="G165" s="20">
        <v>1</v>
      </c>
      <c r="H165" s="6">
        <v>8000</v>
      </c>
      <c r="I165" s="16">
        <f t="shared" ref="I165:I168" si="26">F165*H165</f>
        <v>70.175438596491219</v>
      </c>
    </row>
    <row r="166" spans="1:12">
      <c r="A166" s="15"/>
      <c r="B166" s="5" t="s">
        <v>20</v>
      </c>
      <c r="C166" s="5" t="s">
        <v>21</v>
      </c>
      <c r="D166" s="5">
        <v>15</v>
      </c>
      <c r="E166" s="5">
        <v>114</v>
      </c>
      <c r="F166" s="31">
        <f>D166/E166</f>
        <v>0.13157894736842105</v>
      </c>
      <c r="G166" s="20">
        <v>1</v>
      </c>
      <c r="H166" s="6">
        <v>250</v>
      </c>
      <c r="I166" s="16">
        <f t="shared" si="26"/>
        <v>32.89473684210526</v>
      </c>
    </row>
    <row r="167" spans="1:12">
      <c r="A167" s="15"/>
      <c r="B167" s="5" t="s">
        <v>57</v>
      </c>
      <c r="C167" s="5" t="s">
        <v>25</v>
      </c>
      <c r="D167" s="5">
        <v>1</v>
      </c>
      <c r="E167" s="5">
        <v>114</v>
      </c>
      <c r="F167" s="31">
        <f>D167/E167</f>
        <v>8.771929824561403E-3</v>
      </c>
      <c r="G167" s="20">
        <v>1</v>
      </c>
      <c r="H167" s="6">
        <f>3818.9+0.003</f>
        <v>3818.9030000000002</v>
      </c>
      <c r="I167" s="16">
        <f t="shared" si="26"/>
        <v>33.499149122807019</v>
      </c>
    </row>
    <row r="168" spans="1:12">
      <c r="A168" s="15"/>
      <c r="B168" s="5" t="s">
        <v>61</v>
      </c>
      <c r="C168" s="5" t="s">
        <v>25</v>
      </c>
      <c r="D168" s="5">
        <v>1</v>
      </c>
      <c r="E168" s="5">
        <v>114</v>
      </c>
      <c r="F168" s="31">
        <f>D168/E168</f>
        <v>8.771929824561403E-3</v>
      </c>
      <c r="G168" s="20">
        <v>1</v>
      </c>
      <c r="H168" s="6">
        <v>35000</v>
      </c>
      <c r="I168" s="16">
        <f t="shared" si="26"/>
        <v>307.01754385964909</v>
      </c>
    </row>
    <row r="169" spans="1:12" ht="15.75" thickBot="1">
      <c r="A169" s="17"/>
      <c r="B169" s="18"/>
      <c r="C169" s="18"/>
      <c r="D169" s="18"/>
      <c r="E169" s="18"/>
      <c r="F169" s="40"/>
      <c r="G169" s="41"/>
      <c r="H169" s="19"/>
      <c r="I169" s="48">
        <f>SUM(I164:I168)</f>
        <v>452.35879824561403</v>
      </c>
      <c r="J169" s="77">
        <f>I169*E168</f>
        <v>51568.902999999998</v>
      </c>
      <c r="K169" s="77">
        <f>(133756.1-3588-2715)*0.13+35000</f>
        <v>51568.903000000006</v>
      </c>
      <c r="L169" s="77">
        <f>K169-J169</f>
        <v>0</v>
      </c>
    </row>
    <row r="170" spans="1:12" ht="15.75" thickBot="1">
      <c r="J170" s="77"/>
      <c r="K170" s="77"/>
      <c r="L170" s="77"/>
    </row>
    <row r="171" spans="1:12" ht="45">
      <c r="A171" s="11" t="s">
        <v>39</v>
      </c>
      <c r="B171" s="74" t="s">
        <v>55</v>
      </c>
      <c r="C171" s="12" t="s">
        <v>25</v>
      </c>
      <c r="D171" s="12">
        <v>1</v>
      </c>
      <c r="E171" s="12">
        <v>33</v>
      </c>
      <c r="F171" s="30">
        <f>D171/E171</f>
        <v>3.0303030303030304E-2</v>
      </c>
      <c r="G171" s="21">
        <v>1</v>
      </c>
      <c r="H171" s="13"/>
      <c r="I171" s="14">
        <f>F171*H171</f>
        <v>0</v>
      </c>
      <c r="J171" s="77"/>
      <c r="K171" s="77"/>
      <c r="L171" s="77"/>
    </row>
    <row r="172" spans="1:12">
      <c r="A172" s="15"/>
      <c r="B172" s="5" t="s">
        <v>29</v>
      </c>
      <c r="C172" s="5" t="s">
        <v>25</v>
      </c>
      <c r="D172" s="5">
        <v>1</v>
      </c>
      <c r="E172" s="5">
        <v>33</v>
      </c>
      <c r="F172" s="31">
        <f>D172/E172</f>
        <v>3.0303030303030304E-2</v>
      </c>
      <c r="G172" s="20">
        <v>1</v>
      </c>
      <c r="H172" s="6">
        <v>5000</v>
      </c>
      <c r="I172" s="16">
        <f t="shared" ref="I172:I175" si="27">F172*H172</f>
        <v>151.51515151515153</v>
      </c>
      <c r="J172" s="77"/>
      <c r="K172" s="77"/>
      <c r="L172" s="77"/>
    </row>
    <row r="173" spans="1:12">
      <c r="A173" s="15"/>
      <c r="B173" s="5" t="s">
        <v>20</v>
      </c>
      <c r="C173" s="5" t="s">
        <v>21</v>
      </c>
      <c r="D173" s="5">
        <v>20</v>
      </c>
      <c r="E173" s="5">
        <v>33</v>
      </c>
      <c r="F173" s="31">
        <f>D173/E173</f>
        <v>0.60606060606060608</v>
      </c>
      <c r="G173" s="20">
        <v>1</v>
      </c>
      <c r="H173" s="6">
        <v>250</v>
      </c>
      <c r="I173" s="16">
        <f t="shared" si="27"/>
        <v>151.51515151515153</v>
      </c>
      <c r="J173" s="77"/>
      <c r="K173" s="77"/>
      <c r="L173" s="77"/>
    </row>
    <row r="174" spans="1:12">
      <c r="A174" s="15"/>
      <c r="B174" s="5" t="s">
        <v>57</v>
      </c>
      <c r="C174" s="5" t="s">
        <v>25</v>
      </c>
      <c r="D174" s="5">
        <v>1</v>
      </c>
      <c r="E174" s="5">
        <v>33</v>
      </c>
      <c r="F174" s="31">
        <f>D174/E174</f>
        <v>3.0303030303030304E-2</v>
      </c>
      <c r="G174" s="20">
        <v>1</v>
      </c>
      <c r="H174" s="6">
        <v>1455.69</v>
      </c>
      <c r="I174" s="16">
        <f t="shared" si="27"/>
        <v>44.111818181818187</v>
      </c>
      <c r="J174" s="77"/>
      <c r="K174" s="77"/>
      <c r="L174" s="77"/>
    </row>
    <row r="175" spans="1:12">
      <c r="A175" s="15"/>
      <c r="B175" s="5" t="s">
        <v>61</v>
      </c>
      <c r="C175" s="5" t="s">
        <v>25</v>
      </c>
      <c r="D175" s="5">
        <v>1</v>
      </c>
      <c r="E175" s="5">
        <v>33</v>
      </c>
      <c r="F175" s="31">
        <f>D175/E175</f>
        <v>3.0303030303030304E-2</v>
      </c>
      <c r="G175" s="20">
        <v>1</v>
      </c>
      <c r="H175" s="6">
        <v>6000</v>
      </c>
      <c r="I175" s="16">
        <f t="shared" si="27"/>
        <v>181.81818181818181</v>
      </c>
      <c r="J175" s="77"/>
      <c r="K175" s="77"/>
      <c r="L175" s="77"/>
    </row>
    <row r="176" spans="1:12" ht="15.75" thickBot="1">
      <c r="A176" s="17"/>
      <c r="B176" s="18"/>
      <c r="C176" s="18"/>
      <c r="D176" s="18"/>
      <c r="E176" s="18"/>
      <c r="F176" s="40"/>
      <c r="G176" s="41"/>
      <c r="H176" s="19"/>
      <c r="I176" s="48">
        <f>SUM(I171:I175)</f>
        <v>528.96030303030307</v>
      </c>
      <c r="J176" s="77">
        <f>I176*E175</f>
        <v>17455.690000000002</v>
      </c>
      <c r="K176" s="77">
        <f>(83382.36-1556)*0.14+6000</f>
        <v>17455.690399999999</v>
      </c>
      <c r="L176" s="77">
        <f>K176-J176</f>
        <v>3.9999999717110768E-4</v>
      </c>
    </row>
    <row r="177" spans="1:20" ht="45">
      <c r="A177" s="11" t="s">
        <v>44</v>
      </c>
      <c r="B177" s="74" t="s">
        <v>55</v>
      </c>
      <c r="C177" s="12" t="s">
        <v>25</v>
      </c>
      <c r="D177" s="12">
        <v>1</v>
      </c>
      <c r="E177" s="12"/>
      <c r="F177" s="30" t="e">
        <f>D177/E177</f>
        <v>#DIV/0!</v>
      </c>
      <c r="G177" s="21">
        <v>1</v>
      </c>
      <c r="H177" s="13"/>
      <c r="I177" s="14" t="e">
        <f>F177*H177</f>
        <v>#DIV/0!</v>
      </c>
      <c r="J177" s="77"/>
      <c r="K177" s="77"/>
      <c r="L177" s="77"/>
    </row>
    <row r="178" spans="1:20">
      <c r="A178" s="15"/>
      <c r="B178" s="5" t="s">
        <v>29</v>
      </c>
      <c r="C178" s="5" t="s">
        <v>25</v>
      </c>
      <c r="D178" s="5">
        <v>1</v>
      </c>
      <c r="E178" s="5"/>
      <c r="F178" s="31" t="e">
        <f>D178/E178</f>
        <v>#DIV/0!</v>
      </c>
      <c r="G178" s="20">
        <v>1</v>
      </c>
      <c r="H178" s="6"/>
      <c r="I178" s="16" t="e">
        <f t="shared" ref="I178:I181" si="28">F178*H178</f>
        <v>#DIV/0!</v>
      </c>
      <c r="J178" s="77"/>
      <c r="K178" s="77"/>
      <c r="L178" s="77"/>
    </row>
    <row r="179" spans="1:20">
      <c r="A179" s="15"/>
      <c r="B179" s="5" t="s">
        <v>20</v>
      </c>
      <c r="C179" s="5" t="s">
        <v>21</v>
      </c>
      <c r="D179" s="5">
        <v>20</v>
      </c>
      <c r="E179" s="5"/>
      <c r="F179" s="31" t="e">
        <f>D179/E179</f>
        <v>#DIV/0!</v>
      </c>
      <c r="G179" s="20">
        <v>1</v>
      </c>
      <c r="H179" s="6"/>
      <c r="I179" s="16" t="e">
        <f t="shared" si="28"/>
        <v>#DIV/0!</v>
      </c>
      <c r="J179" s="77"/>
      <c r="K179" s="77"/>
      <c r="L179" s="77"/>
    </row>
    <row r="180" spans="1:20">
      <c r="A180" s="15"/>
      <c r="B180" s="5" t="s">
        <v>57</v>
      </c>
      <c r="C180" s="5" t="s">
        <v>25</v>
      </c>
      <c r="D180" s="5">
        <v>1</v>
      </c>
      <c r="E180" s="5"/>
      <c r="F180" s="31" t="e">
        <f>D180/E180</f>
        <v>#DIV/0!</v>
      </c>
      <c r="G180" s="20">
        <v>1</v>
      </c>
      <c r="H180" s="6"/>
      <c r="I180" s="16" t="e">
        <f t="shared" si="28"/>
        <v>#DIV/0!</v>
      </c>
      <c r="J180" s="77"/>
      <c r="K180" s="77"/>
      <c r="L180" s="77"/>
    </row>
    <row r="181" spans="1:20">
      <c r="A181" s="15"/>
      <c r="B181" s="5" t="s">
        <v>56</v>
      </c>
      <c r="C181" s="5" t="s">
        <v>25</v>
      </c>
      <c r="D181" s="5">
        <v>1</v>
      </c>
      <c r="E181" s="5"/>
      <c r="F181" s="31" t="e">
        <f>D181/E181</f>
        <v>#DIV/0!</v>
      </c>
      <c r="G181" s="20">
        <v>1</v>
      </c>
      <c r="H181" s="6"/>
      <c r="I181" s="16" t="e">
        <f t="shared" si="28"/>
        <v>#DIV/0!</v>
      </c>
      <c r="J181" s="77"/>
      <c r="K181" s="77"/>
      <c r="L181" s="77"/>
    </row>
    <row r="182" spans="1:20" ht="15.75" thickBot="1">
      <c r="A182" s="17"/>
      <c r="B182" s="18"/>
      <c r="C182" s="18"/>
      <c r="D182" s="18"/>
      <c r="E182" s="18"/>
      <c r="F182" s="40"/>
      <c r="G182" s="41"/>
      <c r="H182" s="19"/>
      <c r="I182" s="48" t="e">
        <f>SUM(I177:I181)</f>
        <v>#DIV/0!</v>
      </c>
      <c r="J182" s="77">
        <v>0</v>
      </c>
      <c r="K182" s="77">
        <v>0</v>
      </c>
      <c r="L182" s="77">
        <f>K182-J182</f>
        <v>0</v>
      </c>
    </row>
    <row r="184" spans="1:20" ht="19.5" thickBot="1">
      <c r="A184" s="33" t="s">
        <v>50</v>
      </c>
      <c r="T184" s="1"/>
    </row>
    <row r="185" spans="1:20" ht="90">
      <c r="A185" s="73" t="s">
        <v>3</v>
      </c>
      <c r="B185" s="24" t="s">
        <v>13</v>
      </c>
      <c r="C185" s="24" t="s">
        <v>18</v>
      </c>
      <c r="D185" s="24" t="s">
        <v>14</v>
      </c>
      <c r="E185" s="24" t="s">
        <v>58</v>
      </c>
      <c r="F185" s="24" t="s">
        <v>59</v>
      </c>
      <c r="G185" s="24" t="s">
        <v>15</v>
      </c>
      <c r="H185" s="24" t="s">
        <v>16</v>
      </c>
      <c r="I185" s="25" t="s">
        <v>10</v>
      </c>
      <c r="J185" s="2"/>
      <c r="K185" s="2"/>
      <c r="L185" s="2"/>
    </row>
    <row r="186" spans="1:20" ht="15.75" thickBot="1">
      <c r="A186" s="38">
        <v>1</v>
      </c>
      <c r="B186" s="9">
        <v>2</v>
      </c>
      <c r="C186" s="9">
        <v>3</v>
      </c>
      <c r="D186" s="9">
        <v>4</v>
      </c>
      <c r="E186" s="9">
        <v>5</v>
      </c>
      <c r="F186" s="9" t="s">
        <v>17</v>
      </c>
      <c r="G186" s="9">
        <v>7</v>
      </c>
      <c r="H186" s="8">
        <v>8</v>
      </c>
      <c r="I186" s="39" t="s">
        <v>19</v>
      </c>
    </row>
    <row r="187" spans="1:20">
      <c r="A187" s="11" t="s">
        <v>37</v>
      </c>
      <c r="B187" s="12" t="s">
        <v>29</v>
      </c>
      <c r="C187" s="12" t="s">
        <v>25</v>
      </c>
      <c r="D187" s="12">
        <v>1</v>
      </c>
      <c r="E187" s="12">
        <v>185</v>
      </c>
      <c r="F187" s="30">
        <f>D187/E187</f>
        <v>5.4054054054054057E-3</v>
      </c>
      <c r="G187" s="21">
        <v>1</v>
      </c>
      <c r="H187" s="13">
        <v>2000</v>
      </c>
      <c r="I187" s="14">
        <f t="shared" ref="I187" si="29">F187*H187</f>
        <v>10.810810810810811</v>
      </c>
      <c r="J187" s="3">
        <f>I187*E187</f>
        <v>2000</v>
      </c>
      <c r="K187" s="3">
        <v>2000</v>
      </c>
    </row>
    <row r="188" spans="1:20">
      <c r="A188" s="15" t="s">
        <v>38</v>
      </c>
      <c r="B188" s="5" t="s">
        <v>29</v>
      </c>
      <c r="C188" s="5" t="s">
        <v>25</v>
      </c>
      <c r="D188" s="5">
        <v>1</v>
      </c>
      <c r="E188" s="5">
        <v>220</v>
      </c>
      <c r="F188" s="31">
        <f t="shared" ref="F188:F192" si="30">D188/E188</f>
        <v>4.5454545454545452E-3</v>
      </c>
      <c r="G188" s="20">
        <v>1</v>
      </c>
      <c r="H188" s="6">
        <v>2378</v>
      </c>
      <c r="I188" s="16">
        <f t="shared" ref="I188:I192" si="31">F188*H188</f>
        <v>10.809090909090909</v>
      </c>
      <c r="J188" s="3">
        <f t="shared" ref="J188:J192" si="32">I188*E188</f>
        <v>2378</v>
      </c>
      <c r="K188" s="3">
        <v>2378</v>
      </c>
    </row>
    <row r="189" spans="1:20">
      <c r="A189" s="15" t="s">
        <v>40</v>
      </c>
      <c r="B189" s="5" t="s">
        <v>29</v>
      </c>
      <c r="C189" s="5" t="s">
        <v>25</v>
      </c>
      <c r="D189" s="5">
        <v>1</v>
      </c>
      <c r="E189" s="5">
        <v>445</v>
      </c>
      <c r="F189" s="31">
        <f t="shared" si="30"/>
        <v>2.2471910112359553E-3</v>
      </c>
      <c r="G189" s="20">
        <v>1</v>
      </c>
      <c r="H189" s="6">
        <v>4810</v>
      </c>
      <c r="I189" s="16">
        <f t="shared" si="31"/>
        <v>10.808988764044944</v>
      </c>
      <c r="J189" s="3">
        <f t="shared" si="32"/>
        <v>4810</v>
      </c>
      <c r="K189" s="3">
        <v>4810</v>
      </c>
    </row>
    <row r="190" spans="1:20" ht="15.75" thickBot="1">
      <c r="A190" s="17" t="s">
        <v>43</v>
      </c>
      <c r="B190" s="18" t="s">
        <v>29</v>
      </c>
      <c r="C190" s="18" t="s">
        <v>25</v>
      </c>
      <c r="D190" s="18">
        <v>1</v>
      </c>
      <c r="E190" s="18">
        <v>549</v>
      </c>
      <c r="F190" s="40">
        <f t="shared" si="30"/>
        <v>1.8214936247723133E-3</v>
      </c>
      <c r="G190" s="41">
        <v>1</v>
      </c>
      <c r="H190" s="19">
        <v>5934</v>
      </c>
      <c r="I190" s="75">
        <f t="shared" si="31"/>
        <v>10.808743169398907</v>
      </c>
      <c r="J190" s="3">
        <f t="shared" si="32"/>
        <v>5934</v>
      </c>
      <c r="K190" s="3">
        <v>5934</v>
      </c>
    </row>
    <row r="191" spans="1:20" ht="15.75" thickBot="1">
      <c r="A191" s="54"/>
      <c r="B191" s="34"/>
      <c r="C191" s="34"/>
      <c r="D191" s="34"/>
      <c r="E191" s="34"/>
      <c r="F191" s="56"/>
      <c r="G191" s="57"/>
      <c r="H191" s="35"/>
      <c r="I191" s="55"/>
      <c r="J191" s="3">
        <f t="shared" si="32"/>
        <v>0</v>
      </c>
      <c r="K191" s="3"/>
    </row>
    <row r="192" spans="1:20" ht="15.75" thickBot="1">
      <c r="A192" s="59" t="s">
        <v>41</v>
      </c>
      <c r="B192" s="60" t="s">
        <v>29</v>
      </c>
      <c r="C192" s="60" t="s">
        <v>25</v>
      </c>
      <c r="D192" s="60">
        <v>1</v>
      </c>
      <c r="E192" s="60">
        <v>332</v>
      </c>
      <c r="F192" s="61">
        <f t="shared" si="30"/>
        <v>3.0120481927710845E-3</v>
      </c>
      <c r="G192" s="62">
        <v>1</v>
      </c>
      <c r="H192" s="63">
        <v>3588</v>
      </c>
      <c r="I192" s="76">
        <f t="shared" si="31"/>
        <v>10.807228915662652</v>
      </c>
      <c r="J192" s="3">
        <f t="shared" si="32"/>
        <v>3588.0000000000005</v>
      </c>
      <c r="K192" s="3">
        <v>3588</v>
      </c>
    </row>
    <row r="194" spans="1:20" ht="19.5" thickBot="1">
      <c r="A194" s="33" t="s">
        <v>51</v>
      </c>
      <c r="T194" s="1"/>
    </row>
    <row r="195" spans="1:20" ht="90">
      <c r="A195" s="73" t="s">
        <v>3</v>
      </c>
      <c r="B195" s="24" t="s">
        <v>13</v>
      </c>
      <c r="C195" s="24" t="s">
        <v>18</v>
      </c>
      <c r="D195" s="24" t="s">
        <v>14</v>
      </c>
      <c r="E195" s="24" t="s">
        <v>58</v>
      </c>
      <c r="F195" s="24" t="s">
        <v>59</v>
      </c>
      <c r="G195" s="24" t="s">
        <v>15</v>
      </c>
      <c r="H195" s="24" t="s">
        <v>16</v>
      </c>
      <c r="I195" s="25" t="s">
        <v>10</v>
      </c>
      <c r="J195" s="2"/>
      <c r="K195" s="2"/>
      <c r="L195" s="2"/>
    </row>
    <row r="196" spans="1:20" ht="15.75" thickBot="1">
      <c r="A196" s="38">
        <v>1</v>
      </c>
      <c r="B196" s="9">
        <v>2</v>
      </c>
      <c r="C196" s="9">
        <v>3</v>
      </c>
      <c r="D196" s="9">
        <v>4</v>
      </c>
      <c r="E196" s="9">
        <v>5</v>
      </c>
      <c r="F196" s="9" t="s">
        <v>17</v>
      </c>
      <c r="G196" s="9">
        <v>7</v>
      </c>
      <c r="H196" s="8">
        <v>8</v>
      </c>
      <c r="I196" s="39" t="s">
        <v>19</v>
      </c>
    </row>
    <row r="197" spans="1:20">
      <c r="A197" s="11" t="s">
        <v>36</v>
      </c>
      <c r="B197" s="12" t="s">
        <v>29</v>
      </c>
      <c r="C197" s="12" t="s">
        <v>25</v>
      </c>
      <c r="D197" s="12">
        <v>1</v>
      </c>
      <c r="E197" s="12">
        <v>88</v>
      </c>
      <c r="F197" s="30">
        <f t="shared" ref="F197:F207" si="33">D197/E197</f>
        <v>1.1363636363636364E-2</v>
      </c>
      <c r="G197" s="21">
        <v>1</v>
      </c>
      <c r="H197" s="13">
        <v>1000</v>
      </c>
      <c r="I197" s="14">
        <f t="shared" ref="I197:I207" si="34">F197*H197</f>
        <v>11.363636363636363</v>
      </c>
      <c r="J197" s="3">
        <f>I197*E197</f>
        <v>1000</v>
      </c>
      <c r="K197" s="3">
        <v>1000</v>
      </c>
    </row>
    <row r="198" spans="1:20">
      <c r="A198" s="15" t="s">
        <v>37</v>
      </c>
      <c r="B198" s="5" t="s">
        <v>29</v>
      </c>
      <c r="C198" s="5" t="s">
        <v>25</v>
      </c>
      <c r="D198" s="5">
        <v>1</v>
      </c>
      <c r="E198" s="5">
        <v>169</v>
      </c>
      <c r="F198" s="31">
        <f t="shared" si="33"/>
        <v>5.9171597633136093E-3</v>
      </c>
      <c r="G198" s="20">
        <v>1</v>
      </c>
      <c r="H198" s="6">
        <v>1920</v>
      </c>
      <c r="I198" s="16">
        <f t="shared" si="34"/>
        <v>11.36094674556213</v>
      </c>
      <c r="J198" s="3">
        <f t="shared" ref="J198:J207" si="35">I198*E198</f>
        <v>1920</v>
      </c>
      <c r="K198" s="3">
        <v>1920</v>
      </c>
    </row>
    <row r="199" spans="1:20">
      <c r="A199" s="15" t="s">
        <v>38</v>
      </c>
      <c r="B199" s="5" t="s">
        <v>29</v>
      </c>
      <c r="C199" s="5" t="s">
        <v>25</v>
      </c>
      <c r="D199" s="5">
        <v>1</v>
      </c>
      <c r="E199" s="5">
        <v>111</v>
      </c>
      <c r="F199" s="31">
        <f t="shared" si="33"/>
        <v>9.0090090090090089E-3</v>
      </c>
      <c r="G199" s="20">
        <v>1</v>
      </c>
      <c r="H199" s="6">
        <v>1261</v>
      </c>
      <c r="I199" s="16">
        <f t="shared" si="34"/>
        <v>11.36036036036036</v>
      </c>
      <c r="J199" s="3">
        <f t="shared" si="35"/>
        <v>1261</v>
      </c>
      <c r="K199" s="3">
        <v>1261</v>
      </c>
    </row>
    <row r="200" spans="1:20">
      <c r="A200" s="15" t="s">
        <v>40</v>
      </c>
      <c r="B200" s="5" t="s">
        <v>29</v>
      </c>
      <c r="C200" s="5" t="s">
        <v>25</v>
      </c>
      <c r="D200" s="5">
        <v>1</v>
      </c>
      <c r="E200" s="5">
        <v>173</v>
      </c>
      <c r="F200" s="31">
        <f t="shared" si="33"/>
        <v>5.7803468208092483E-3</v>
      </c>
      <c r="G200" s="20">
        <v>1</v>
      </c>
      <c r="H200" s="6">
        <v>1965</v>
      </c>
      <c r="I200" s="16">
        <f t="shared" si="34"/>
        <v>11.358381502890174</v>
      </c>
      <c r="J200" s="3">
        <f t="shared" si="35"/>
        <v>1965</v>
      </c>
      <c r="K200" s="3">
        <v>1965</v>
      </c>
    </row>
    <row r="201" spans="1:20">
      <c r="A201" s="15" t="s">
        <v>42</v>
      </c>
      <c r="B201" s="5" t="s">
        <v>29</v>
      </c>
      <c r="C201" s="5" t="s">
        <v>25</v>
      </c>
      <c r="D201" s="5">
        <v>1</v>
      </c>
      <c r="E201" s="5">
        <v>140</v>
      </c>
      <c r="F201" s="31">
        <f t="shared" si="33"/>
        <v>7.1428571428571426E-3</v>
      </c>
      <c r="G201" s="20">
        <v>1</v>
      </c>
      <c r="H201" s="6">
        <v>1590</v>
      </c>
      <c r="I201" s="16">
        <f t="shared" si="34"/>
        <v>11.357142857142858</v>
      </c>
      <c r="J201" s="3">
        <f t="shared" si="35"/>
        <v>1590</v>
      </c>
      <c r="K201" s="3">
        <v>1590</v>
      </c>
    </row>
    <row r="202" spans="1:20" ht="15.75" thickBot="1">
      <c r="A202" s="17" t="s">
        <v>43</v>
      </c>
      <c r="B202" s="18" t="s">
        <v>29</v>
      </c>
      <c r="C202" s="18" t="s">
        <v>25</v>
      </c>
      <c r="D202" s="18">
        <v>1</v>
      </c>
      <c r="E202" s="18">
        <v>125</v>
      </c>
      <c r="F202" s="40">
        <f t="shared" si="33"/>
        <v>8.0000000000000002E-3</v>
      </c>
      <c r="G202" s="41">
        <v>1</v>
      </c>
      <c r="H202" s="19">
        <v>1420</v>
      </c>
      <c r="I202" s="75">
        <f t="shared" si="34"/>
        <v>11.36</v>
      </c>
      <c r="J202" s="3">
        <f t="shared" si="35"/>
        <v>1420</v>
      </c>
      <c r="K202" s="3">
        <v>1420</v>
      </c>
    </row>
    <row r="203" spans="1:20" ht="15.75" thickBot="1">
      <c r="A203" s="54"/>
      <c r="B203" s="34"/>
      <c r="C203" s="34"/>
      <c r="D203" s="34"/>
      <c r="E203" s="34"/>
      <c r="F203" s="56"/>
      <c r="G203" s="57"/>
      <c r="H203" s="35"/>
      <c r="I203" s="55"/>
      <c r="J203" s="3">
        <f t="shared" si="35"/>
        <v>0</v>
      </c>
      <c r="K203" s="3"/>
    </row>
    <row r="204" spans="1:20" ht="15.75" thickBot="1">
      <c r="A204" s="59" t="s">
        <v>41</v>
      </c>
      <c r="B204" s="60" t="s">
        <v>29</v>
      </c>
      <c r="C204" s="60" t="s">
        <v>25</v>
      </c>
      <c r="D204" s="60">
        <v>1</v>
      </c>
      <c r="E204" s="60">
        <v>151</v>
      </c>
      <c r="F204" s="61">
        <f t="shared" si="33"/>
        <v>6.6225165562913907E-3</v>
      </c>
      <c r="G204" s="62">
        <v>1</v>
      </c>
      <c r="H204" s="63">
        <v>1715</v>
      </c>
      <c r="I204" s="76">
        <f t="shared" si="34"/>
        <v>11.357615894039736</v>
      </c>
      <c r="J204" s="3">
        <f t="shared" si="35"/>
        <v>1715</v>
      </c>
      <c r="K204" s="3">
        <v>1715</v>
      </c>
    </row>
    <row r="205" spans="1:20" ht="15.75" thickBot="1">
      <c r="A205" s="54"/>
      <c r="B205" s="34"/>
      <c r="C205" s="34"/>
      <c r="D205" s="34"/>
      <c r="E205" s="34"/>
      <c r="F205" s="56"/>
      <c r="G205" s="57"/>
      <c r="H205" s="35"/>
      <c r="I205" s="55"/>
      <c r="J205" s="3">
        <f t="shared" si="35"/>
        <v>0</v>
      </c>
      <c r="K205" s="3"/>
    </row>
    <row r="206" spans="1:20">
      <c r="A206" s="11" t="s">
        <v>39</v>
      </c>
      <c r="B206" s="12" t="s">
        <v>29</v>
      </c>
      <c r="C206" s="12" t="s">
        <v>25</v>
      </c>
      <c r="D206" s="12">
        <v>1</v>
      </c>
      <c r="E206" s="12">
        <v>49</v>
      </c>
      <c r="F206" s="30">
        <f t="shared" si="33"/>
        <v>2.0408163265306121E-2</v>
      </c>
      <c r="G206" s="21">
        <v>1</v>
      </c>
      <c r="H206" s="13">
        <v>556</v>
      </c>
      <c r="I206" s="14">
        <f t="shared" si="34"/>
        <v>11.346938775510203</v>
      </c>
      <c r="J206" s="3">
        <f t="shared" si="35"/>
        <v>556</v>
      </c>
      <c r="K206" s="3">
        <v>556</v>
      </c>
    </row>
    <row r="207" spans="1:20" ht="15.75" thickBot="1">
      <c r="A207" s="17" t="s">
        <v>44</v>
      </c>
      <c r="B207" s="18" t="s">
        <v>29</v>
      </c>
      <c r="C207" s="18" t="s">
        <v>25</v>
      </c>
      <c r="D207" s="18">
        <v>1</v>
      </c>
      <c r="E207" s="18">
        <v>55</v>
      </c>
      <c r="F207" s="40">
        <f t="shared" si="33"/>
        <v>1.8181818181818181E-2</v>
      </c>
      <c r="G207" s="41">
        <v>1</v>
      </c>
      <c r="H207" s="19">
        <v>625</v>
      </c>
      <c r="I207" s="75">
        <f t="shared" si="34"/>
        <v>11.363636363636363</v>
      </c>
      <c r="J207" s="3">
        <f t="shared" si="35"/>
        <v>625</v>
      </c>
      <c r="K207" s="3">
        <v>625</v>
      </c>
    </row>
    <row r="209" spans="1:20" ht="19.5" thickBot="1">
      <c r="A209" s="33" t="s">
        <v>34</v>
      </c>
      <c r="T209" s="1"/>
    </row>
    <row r="210" spans="1:20" ht="90">
      <c r="A210" s="73" t="s">
        <v>3</v>
      </c>
      <c r="B210" s="24" t="s">
        <v>13</v>
      </c>
      <c r="C210" s="24" t="s">
        <v>18</v>
      </c>
      <c r="D210" s="24" t="s">
        <v>14</v>
      </c>
      <c r="E210" s="24" t="s">
        <v>58</v>
      </c>
      <c r="F210" s="24" t="s">
        <v>59</v>
      </c>
      <c r="G210" s="24" t="s">
        <v>15</v>
      </c>
      <c r="H210" s="24" t="s">
        <v>16</v>
      </c>
      <c r="I210" s="25" t="s">
        <v>10</v>
      </c>
      <c r="J210" s="2"/>
      <c r="K210" s="2"/>
      <c r="L210" s="2"/>
    </row>
    <row r="211" spans="1:20" ht="15.75" thickBot="1">
      <c r="A211" s="38">
        <v>1</v>
      </c>
      <c r="B211" s="9">
        <v>2</v>
      </c>
      <c r="C211" s="9">
        <v>3</v>
      </c>
      <c r="D211" s="9">
        <v>4</v>
      </c>
      <c r="E211" s="9">
        <v>5</v>
      </c>
      <c r="F211" s="9" t="s">
        <v>17</v>
      </c>
      <c r="G211" s="9">
        <v>7</v>
      </c>
      <c r="H211" s="8">
        <v>8</v>
      </c>
      <c r="I211" s="39" t="s">
        <v>19</v>
      </c>
    </row>
    <row r="212" spans="1:20">
      <c r="A212" s="11" t="s">
        <v>36</v>
      </c>
      <c r="B212" s="12" t="s">
        <v>29</v>
      </c>
      <c r="C212" s="12" t="s">
        <v>25</v>
      </c>
      <c r="D212" s="12">
        <v>1</v>
      </c>
      <c r="E212" s="12">
        <v>25</v>
      </c>
      <c r="F212" s="30">
        <f t="shared" ref="F212:F222" si="36">D212/E212</f>
        <v>0.04</v>
      </c>
      <c r="G212" s="21">
        <v>1</v>
      </c>
      <c r="H212" s="13">
        <v>1000</v>
      </c>
      <c r="I212" s="14">
        <f t="shared" ref="I212:I222" si="37">F212*H212</f>
        <v>40</v>
      </c>
      <c r="J212" s="1">
        <f>I212*E212</f>
        <v>1000</v>
      </c>
      <c r="K212" s="1">
        <v>1000</v>
      </c>
    </row>
    <row r="213" spans="1:20">
      <c r="A213" s="15" t="s">
        <v>37</v>
      </c>
      <c r="B213" s="5" t="s">
        <v>29</v>
      </c>
      <c r="C213" s="5" t="s">
        <v>25</v>
      </c>
      <c r="D213" s="5">
        <v>1</v>
      </c>
      <c r="E213" s="5">
        <v>25</v>
      </c>
      <c r="F213" s="31">
        <f t="shared" si="36"/>
        <v>0.04</v>
      </c>
      <c r="G213" s="20">
        <v>1</v>
      </c>
      <c r="H213" s="6">
        <v>1000</v>
      </c>
      <c r="I213" s="16">
        <f t="shared" si="37"/>
        <v>40</v>
      </c>
      <c r="J213" s="1">
        <f t="shared" ref="J213:J222" si="38">I213*E213</f>
        <v>1000</v>
      </c>
      <c r="K213" s="1">
        <v>1000</v>
      </c>
    </row>
    <row r="214" spans="1:20">
      <c r="A214" s="15" t="s">
        <v>38</v>
      </c>
      <c r="B214" s="5" t="s">
        <v>29</v>
      </c>
      <c r="C214" s="5" t="s">
        <v>25</v>
      </c>
      <c r="D214" s="5">
        <v>1</v>
      </c>
      <c r="E214" s="5">
        <v>25</v>
      </c>
      <c r="F214" s="31">
        <f t="shared" si="36"/>
        <v>0.04</v>
      </c>
      <c r="G214" s="20">
        <v>1</v>
      </c>
      <c r="H214" s="6">
        <v>1000</v>
      </c>
      <c r="I214" s="16">
        <f t="shared" si="37"/>
        <v>40</v>
      </c>
      <c r="J214" s="1">
        <f t="shared" si="38"/>
        <v>1000</v>
      </c>
      <c r="K214" s="1">
        <v>1000</v>
      </c>
    </row>
    <row r="215" spans="1:20">
      <c r="A215" s="15" t="s">
        <v>40</v>
      </c>
      <c r="B215" s="5" t="s">
        <v>29</v>
      </c>
      <c r="C215" s="5" t="s">
        <v>25</v>
      </c>
      <c r="D215" s="5">
        <v>1</v>
      </c>
      <c r="E215" s="5">
        <v>25</v>
      </c>
      <c r="F215" s="31">
        <f t="shared" si="36"/>
        <v>0.04</v>
      </c>
      <c r="G215" s="20">
        <v>1</v>
      </c>
      <c r="H215" s="6">
        <v>1000</v>
      </c>
      <c r="I215" s="16">
        <f t="shared" si="37"/>
        <v>40</v>
      </c>
      <c r="J215" s="1">
        <f t="shared" si="38"/>
        <v>1000</v>
      </c>
      <c r="K215" s="1">
        <v>1000</v>
      </c>
    </row>
    <row r="216" spans="1:20">
      <c r="A216" s="15" t="s">
        <v>42</v>
      </c>
      <c r="B216" s="5" t="s">
        <v>29</v>
      </c>
      <c r="C216" s="5" t="s">
        <v>25</v>
      </c>
      <c r="D216" s="5">
        <v>1</v>
      </c>
      <c r="E216" s="5">
        <v>25</v>
      </c>
      <c r="F216" s="31">
        <f t="shared" si="36"/>
        <v>0.04</v>
      </c>
      <c r="G216" s="20">
        <v>1</v>
      </c>
      <c r="H216" s="6">
        <v>1000</v>
      </c>
      <c r="I216" s="16">
        <f t="shared" si="37"/>
        <v>40</v>
      </c>
      <c r="J216" s="1">
        <f t="shared" si="38"/>
        <v>1000</v>
      </c>
      <c r="K216" s="1">
        <v>1000</v>
      </c>
    </row>
    <row r="217" spans="1:20" ht="15.75" thickBot="1">
      <c r="A217" s="17" t="s">
        <v>43</v>
      </c>
      <c r="B217" s="18" t="s">
        <v>29</v>
      </c>
      <c r="C217" s="18" t="s">
        <v>25</v>
      </c>
      <c r="D217" s="18">
        <v>1</v>
      </c>
      <c r="E217" s="18">
        <v>25</v>
      </c>
      <c r="F217" s="40">
        <f t="shared" si="36"/>
        <v>0.04</v>
      </c>
      <c r="G217" s="41">
        <v>1</v>
      </c>
      <c r="H217" s="19">
        <v>1000</v>
      </c>
      <c r="I217" s="75">
        <f t="shared" si="37"/>
        <v>40</v>
      </c>
      <c r="J217" s="1">
        <f t="shared" si="38"/>
        <v>1000</v>
      </c>
      <c r="K217" s="1">
        <v>1000</v>
      </c>
    </row>
    <row r="218" spans="1:20" ht="15.75" thickBot="1">
      <c r="A218" s="54"/>
      <c r="B218" s="34"/>
      <c r="C218" s="34"/>
      <c r="D218" s="34"/>
      <c r="E218" s="34"/>
      <c r="F218" s="56"/>
      <c r="G218" s="57"/>
      <c r="H218" s="35"/>
      <c r="I218" s="55"/>
      <c r="J218" s="1">
        <f t="shared" si="38"/>
        <v>0</v>
      </c>
    </row>
    <row r="219" spans="1:20" ht="15.75" thickBot="1">
      <c r="A219" s="59" t="s">
        <v>41</v>
      </c>
      <c r="B219" s="60" t="s">
        <v>29</v>
      </c>
      <c r="C219" s="60" t="s">
        <v>25</v>
      </c>
      <c r="D219" s="60">
        <v>1</v>
      </c>
      <c r="E219" s="60">
        <v>25</v>
      </c>
      <c r="F219" s="61">
        <f t="shared" si="36"/>
        <v>0.04</v>
      </c>
      <c r="G219" s="62">
        <v>1</v>
      </c>
      <c r="H219" s="63">
        <v>1000</v>
      </c>
      <c r="I219" s="76">
        <f t="shared" si="37"/>
        <v>40</v>
      </c>
      <c r="J219" s="1">
        <f t="shared" si="38"/>
        <v>1000</v>
      </c>
      <c r="K219" s="1">
        <v>1000</v>
      </c>
    </row>
    <row r="220" spans="1:20" ht="15.75" thickBot="1">
      <c r="A220" s="54"/>
      <c r="B220" s="34"/>
      <c r="C220" s="34"/>
      <c r="D220" s="34"/>
      <c r="E220" s="34"/>
      <c r="F220" s="56"/>
      <c r="G220" s="57"/>
      <c r="H220" s="35"/>
      <c r="I220" s="55"/>
      <c r="J220" s="1">
        <f t="shared" si="38"/>
        <v>0</v>
      </c>
    </row>
    <row r="221" spans="1:20">
      <c r="A221" s="11" t="s">
        <v>39</v>
      </c>
      <c r="B221" s="12" t="s">
        <v>29</v>
      </c>
      <c r="C221" s="12" t="s">
        <v>25</v>
      </c>
      <c r="D221" s="12">
        <v>1</v>
      </c>
      <c r="E221" s="12">
        <v>25</v>
      </c>
      <c r="F221" s="30">
        <f t="shared" si="36"/>
        <v>0.04</v>
      </c>
      <c r="G221" s="21">
        <v>1</v>
      </c>
      <c r="H221" s="13">
        <v>1000</v>
      </c>
      <c r="I221" s="14">
        <f t="shared" si="37"/>
        <v>40</v>
      </c>
      <c r="J221" s="1">
        <f t="shared" si="38"/>
        <v>1000</v>
      </c>
      <c r="K221" s="1">
        <v>1000</v>
      </c>
    </row>
    <row r="222" spans="1:20" ht="15.75" thickBot="1">
      <c r="A222" s="17" t="s">
        <v>44</v>
      </c>
      <c r="B222" s="18" t="s">
        <v>29</v>
      </c>
      <c r="C222" s="18" t="s">
        <v>25</v>
      </c>
      <c r="D222" s="18">
        <v>1</v>
      </c>
      <c r="E222" s="18">
        <v>25</v>
      </c>
      <c r="F222" s="40">
        <f t="shared" si="36"/>
        <v>0.04</v>
      </c>
      <c r="G222" s="41">
        <v>1</v>
      </c>
      <c r="H222" s="19">
        <v>1000</v>
      </c>
      <c r="I222" s="75">
        <f t="shared" si="37"/>
        <v>40</v>
      </c>
      <c r="J222" s="1">
        <f t="shared" si="38"/>
        <v>1000</v>
      </c>
      <c r="K222" s="1">
        <v>1000</v>
      </c>
    </row>
    <row r="227" spans="9:12">
      <c r="I227" s="1">
        <v>1</v>
      </c>
      <c r="J227" s="77">
        <f>J11+J71+J132+J197+J212</f>
        <v>157015.30000000002</v>
      </c>
      <c r="K227" s="77">
        <f>K11+K71+K132+K197+K212</f>
        <v>157015.29999999999</v>
      </c>
      <c r="L227" s="77">
        <f>K227-J227</f>
        <v>0</v>
      </c>
    </row>
    <row r="228" spans="9:12">
      <c r="I228" s="1">
        <v>2</v>
      </c>
      <c r="J228" s="77">
        <f>J17+J77+J138+J187+J198+J213</f>
        <v>94032.139999999985</v>
      </c>
      <c r="K228" s="77">
        <f>K17+K77+K138+K187+K198+K213</f>
        <v>94032.14</v>
      </c>
      <c r="L228" s="77">
        <f t="shared" ref="L228:L235" si="39">K228-J228</f>
        <v>0</v>
      </c>
    </row>
    <row r="229" spans="9:12">
      <c r="I229" s="1">
        <v>3</v>
      </c>
      <c r="J229" s="77">
        <f>J214+J199+J188+J144+J83+J23</f>
        <v>74550.630999999994</v>
      </c>
      <c r="K229" s="77">
        <f>K23+K83+K144+K188+K199+K214</f>
        <v>74550.63</v>
      </c>
      <c r="L229" s="77">
        <f t="shared" si="39"/>
        <v>-9.9999998928979039E-4</v>
      </c>
    </row>
    <row r="230" spans="9:12">
      <c r="I230" s="1">
        <v>7</v>
      </c>
      <c r="J230" s="77">
        <f>J29+J89+J150+J189+J200+J215</f>
        <v>152650</v>
      </c>
      <c r="K230" s="77">
        <f>K29+K89+K150+K189+K200+K215</f>
        <v>152650</v>
      </c>
      <c r="L230" s="77">
        <f t="shared" si="39"/>
        <v>0</v>
      </c>
    </row>
    <row r="231" spans="9:12">
      <c r="I231" s="1">
        <v>9</v>
      </c>
      <c r="J231" s="77">
        <f>J35+J95+J156+J201+J216</f>
        <v>178940.261</v>
      </c>
      <c r="K231" s="77">
        <f>K35+K95+K156+K201+K216</f>
        <v>178940.26</v>
      </c>
      <c r="L231" s="77">
        <f t="shared" si="39"/>
        <v>-9.9999998928979039E-4</v>
      </c>
    </row>
    <row r="232" spans="9:12">
      <c r="I232" s="1">
        <v>14</v>
      </c>
      <c r="J232" s="77">
        <f>J217+J202+J190+J162+J101+J41</f>
        <v>305210</v>
      </c>
      <c r="K232" s="77">
        <f>K217+K202+K190+K162+K101+K41</f>
        <v>305210</v>
      </c>
      <c r="L232" s="77">
        <f t="shared" si="39"/>
        <v>0</v>
      </c>
    </row>
    <row r="233" spans="9:12">
      <c r="I233" s="1">
        <v>8</v>
      </c>
      <c r="J233" s="77">
        <f>J219+J204+J192+J169+J108+J48</f>
        <v>168756.1</v>
      </c>
      <c r="K233" s="77">
        <f>K219+K204+K192+K169+K108+K48</f>
        <v>168756.1</v>
      </c>
      <c r="L233" s="77">
        <f t="shared" si="39"/>
        <v>0</v>
      </c>
    </row>
    <row r="234" spans="9:12">
      <c r="I234" s="1">
        <v>4</v>
      </c>
      <c r="J234" s="77">
        <f>J221+J206+J176+J115+J55</f>
        <v>89382.36</v>
      </c>
      <c r="K234" s="77">
        <f>K221+K206+K176+K115+K55</f>
        <v>89382.36</v>
      </c>
      <c r="L234" s="77">
        <f t="shared" si="39"/>
        <v>0</v>
      </c>
    </row>
    <row r="235" spans="9:12">
      <c r="I235" s="1">
        <v>11</v>
      </c>
      <c r="J235" s="77">
        <f>J222+J207+J182+J121+J61</f>
        <v>50000</v>
      </c>
      <c r="K235" s="77">
        <f>K222+K207+K182+K121+K61</f>
        <v>50000</v>
      </c>
      <c r="L235" s="77">
        <f t="shared" si="39"/>
        <v>0</v>
      </c>
    </row>
  </sheetData>
  <mergeCells count="1">
    <mergeCell ref="A1:I1"/>
  </mergeCells>
  <pageMargins left="0.51181102362204722" right="0.11811023622047245" top="0.35433070866141736" bottom="0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8"/>
  <sheetViews>
    <sheetView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F10" sqref="F10"/>
    </sheetView>
  </sheetViews>
  <sheetFormatPr defaultRowHeight="15"/>
  <cols>
    <col min="1" max="1" width="15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2.5703125" customWidth="1"/>
    <col min="8" max="8" width="14.5703125" customWidth="1"/>
    <col min="9" max="9" width="10.85546875" style="1" customWidth="1"/>
    <col min="10" max="18" width="9.140625" style="1"/>
  </cols>
  <sheetData>
    <row r="1" spans="1:11" ht="38.25" customHeight="1">
      <c r="A1" s="121" t="s">
        <v>64</v>
      </c>
      <c r="B1" s="121"/>
      <c r="C1" s="121"/>
      <c r="D1" s="121"/>
      <c r="E1" s="121"/>
      <c r="F1" s="121"/>
      <c r="G1" s="121"/>
      <c r="H1" s="121"/>
      <c r="I1" s="121"/>
    </row>
    <row r="2" spans="1:11" ht="18.75" customHeight="1">
      <c r="A2" s="79"/>
      <c r="B2" s="79"/>
      <c r="C2" s="79"/>
      <c r="D2" s="79"/>
      <c r="E2" s="79"/>
      <c r="F2" s="79"/>
      <c r="G2" s="79"/>
      <c r="H2" s="79"/>
      <c r="I2" s="79"/>
    </row>
    <row r="3" spans="1:11" ht="18.75">
      <c r="A3" s="82" t="s">
        <v>65</v>
      </c>
      <c r="B3" s="83"/>
      <c r="C3" s="83"/>
      <c r="D3" s="83"/>
      <c r="E3" s="83"/>
      <c r="F3" s="83"/>
      <c r="G3" s="84"/>
      <c r="H3" s="84"/>
      <c r="I3" s="83"/>
    </row>
    <row r="4" spans="1:11" ht="15.75" thickBot="1">
      <c r="A4" s="84"/>
      <c r="B4" s="83"/>
      <c r="C4" s="83"/>
      <c r="D4" s="83"/>
      <c r="E4" s="83"/>
      <c r="F4" s="83"/>
      <c r="G4" s="84"/>
      <c r="H4" s="85" t="s">
        <v>32</v>
      </c>
      <c r="I4" s="83"/>
    </row>
    <row r="5" spans="1:11" ht="75">
      <c r="A5" s="86" t="s">
        <v>3</v>
      </c>
      <c r="B5" s="87" t="s">
        <v>13</v>
      </c>
      <c r="C5" s="87" t="s">
        <v>18</v>
      </c>
      <c r="D5" s="87" t="s">
        <v>14</v>
      </c>
      <c r="E5" s="87" t="s">
        <v>58</v>
      </c>
      <c r="F5" s="87" t="s">
        <v>59</v>
      </c>
      <c r="G5" s="87" t="s">
        <v>15</v>
      </c>
      <c r="H5" s="87" t="s">
        <v>16</v>
      </c>
      <c r="I5" s="88" t="s">
        <v>10</v>
      </c>
      <c r="J5" s="2"/>
      <c r="K5" s="2"/>
    </row>
    <row r="6" spans="1:11" ht="15.75" thickBot="1">
      <c r="A6" s="89">
        <v>1</v>
      </c>
      <c r="B6" s="90">
        <v>2</v>
      </c>
      <c r="C6" s="90">
        <v>3</v>
      </c>
      <c r="D6" s="90">
        <v>4</v>
      </c>
      <c r="E6" s="90">
        <v>5</v>
      </c>
      <c r="F6" s="90" t="s">
        <v>17</v>
      </c>
      <c r="G6" s="90">
        <v>7</v>
      </c>
      <c r="H6" s="91">
        <v>8</v>
      </c>
      <c r="I6" s="92" t="s">
        <v>19</v>
      </c>
    </row>
    <row r="7" spans="1:11" s="1" customFormat="1">
      <c r="A7" s="93" t="s">
        <v>36</v>
      </c>
      <c r="B7" s="94" t="s">
        <v>31</v>
      </c>
      <c r="C7" s="94" t="s">
        <v>25</v>
      </c>
      <c r="D7" s="94">
        <v>1</v>
      </c>
      <c r="E7" s="94">
        <v>50</v>
      </c>
      <c r="F7" s="95">
        <f>D7/E7</f>
        <v>0.02</v>
      </c>
      <c r="G7" s="96">
        <v>1</v>
      </c>
      <c r="H7" s="97">
        <v>104370</v>
      </c>
      <c r="I7" s="98">
        <f t="shared" ref="I7:I12" si="0">F7*H7</f>
        <v>2087.4</v>
      </c>
    </row>
    <row r="8" spans="1:11" s="1" customFormat="1">
      <c r="A8" s="99" t="s">
        <v>37</v>
      </c>
      <c r="B8" s="100" t="s">
        <v>31</v>
      </c>
      <c r="C8" s="100" t="s">
        <v>25</v>
      </c>
      <c r="D8" s="100">
        <v>1</v>
      </c>
      <c r="E8" s="101">
        <v>80</v>
      </c>
      <c r="F8" s="102">
        <f t="shared" ref="F8:F12" si="1">D8/E8</f>
        <v>1.2500000000000001E-2</v>
      </c>
      <c r="G8" s="103">
        <v>1</v>
      </c>
      <c r="H8" s="104">
        <v>166992</v>
      </c>
      <c r="I8" s="105">
        <f t="shared" si="0"/>
        <v>2087.4</v>
      </c>
    </row>
    <row r="9" spans="1:11" s="1" customFormat="1">
      <c r="A9" s="99" t="s">
        <v>38</v>
      </c>
      <c r="B9" s="100" t="s">
        <v>31</v>
      </c>
      <c r="C9" s="100" t="s">
        <v>25</v>
      </c>
      <c r="D9" s="100">
        <v>1</v>
      </c>
      <c r="E9" s="101">
        <v>40</v>
      </c>
      <c r="F9" s="102">
        <f t="shared" si="1"/>
        <v>2.5000000000000001E-2</v>
      </c>
      <c r="G9" s="103">
        <v>1</v>
      </c>
      <c r="H9" s="104">
        <v>83496</v>
      </c>
      <c r="I9" s="105">
        <f t="shared" si="0"/>
        <v>2087.4</v>
      </c>
    </row>
    <row r="10" spans="1:11" s="1" customFormat="1">
      <c r="A10" s="99" t="s">
        <v>40</v>
      </c>
      <c r="B10" s="100" t="s">
        <v>31</v>
      </c>
      <c r="C10" s="100" t="s">
        <v>25</v>
      </c>
      <c r="D10" s="100">
        <v>1</v>
      </c>
      <c r="E10" s="101">
        <v>110</v>
      </c>
      <c r="F10" s="102">
        <f t="shared" si="1"/>
        <v>9.0909090909090905E-3</v>
      </c>
      <c r="G10" s="103">
        <v>1</v>
      </c>
      <c r="H10" s="104">
        <v>229614</v>
      </c>
      <c r="I10" s="105">
        <f t="shared" si="0"/>
        <v>2087.4</v>
      </c>
    </row>
    <row r="11" spans="1:11" s="1" customFormat="1">
      <c r="A11" s="99" t="s">
        <v>42</v>
      </c>
      <c r="B11" s="100" t="s">
        <v>31</v>
      </c>
      <c r="C11" s="100" t="s">
        <v>25</v>
      </c>
      <c r="D11" s="100">
        <v>1</v>
      </c>
      <c r="E11" s="101">
        <v>115</v>
      </c>
      <c r="F11" s="102">
        <f t="shared" si="1"/>
        <v>8.6956521739130436E-3</v>
      </c>
      <c r="G11" s="103">
        <v>1</v>
      </c>
      <c r="H11" s="104">
        <v>240051</v>
      </c>
      <c r="I11" s="105">
        <f t="shared" si="0"/>
        <v>2087.4</v>
      </c>
    </row>
    <row r="12" spans="1:11" s="1" customFormat="1" ht="15.75" thickBot="1">
      <c r="A12" s="106" t="s">
        <v>43</v>
      </c>
      <c r="B12" s="107" t="s">
        <v>31</v>
      </c>
      <c r="C12" s="107" t="s">
        <v>25</v>
      </c>
      <c r="D12" s="107">
        <v>1</v>
      </c>
      <c r="E12" s="107">
        <v>115</v>
      </c>
      <c r="F12" s="108">
        <f t="shared" si="1"/>
        <v>8.6956521739130436E-3</v>
      </c>
      <c r="G12" s="109">
        <v>1</v>
      </c>
      <c r="H12" s="110">
        <v>240051</v>
      </c>
      <c r="I12" s="111">
        <f t="shared" si="0"/>
        <v>2087.4</v>
      </c>
    </row>
    <row r="13" spans="1:11" ht="15.75" thickBot="1">
      <c r="A13" s="84"/>
      <c r="B13" s="83"/>
      <c r="C13" s="83"/>
      <c r="D13" s="83"/>
      <c r="E13" s="83"/>
      <c r="F13" s="83"/>
      <c r="G13" s="84"/>
      <c r="H13" s="84"/>
      <c r="I13" s="83"/>
    </row>
    <row r="14" spans="1:11" s="1" customFormat="1" ht="15.75" thickBot="1">
      <c r="A14" s="112" t="s">
        <v>41</v>
      </c>
      <c r="B14" s="113" t="s">
        <v>31</v>
      </c>
      <c r="C14" s="113" t="s">
        <v>25</v>
      </c>
      <c r="D14" s="113">
        <v>1</v>
      </c>
      <c r="E14" s="113">
        <v>65</v>
      </c>
      <c r="F14" s="114">
        <f t="shared" ref="F14" si="2">D14/E14</f>
        <v>1.5384615384615385E-2</v>
      </c>
      <c r="G14" s="115">
        <v>1</v>
      </c>
      <c r="H14" s="116">
        <v>135681</v>
      </c>
      <c r="I14" s="117">
        <f t="shared" ref="I14" si="3">F14*H14</f>
        <v>2087.4</v>
      </c>
    </row>
    <row r="15" spans="1:11" ht="15.75" thickBot="1">
      <c r="A15" s="118"/>
      <c r="B15" s="83"/>
      <c r="C15" s="83"/>
      <c r="D15" s="83"/>
      <c r="E15" s="83"/>
      <c r="F15" s="83"/>
      <c r="G15" s="84"/>
      <c r="H15" s="84"/>
      <c r="I15" s="83"/>
    </row>
    <row r="16" spans="1:11">
      <c r="A16" s="93" t="s">
        <v>39</v>
      </c>
      <c r="B16" s="94" t="s">
        <v>31</v>
      </c>
      <c r="C16" s="94" t="s">
        <v>25</v>
      </c>
      <c r="D16" s="94">
        <v>1</v>
      </c>
      <c r="E16" s="119">
        <v>40</v>
      </c>
      <c r="F16" s="95">
        <f t="shared" ref="F16:F17" si="4">D16/E16</f>
        <v>2.5000000000000001E-2</v>
      </c>
      <c r="G16" s="96">
        <v>1</v>
      </c>
      <c r="H16" s="120">
        <v>83496</v>
      </c>
      <c r="I16" s="98">
        <f t="shared" ref="I16:I17" si="5">F16*H16</f>
        <v>2087.4</v>
      </c>
    </row>
    <row r="17" spans="1:9" ht="15.75" thickBot="1">
      <c r="A17" s="106" t="s">
        <v>44</v>
      </c>
      <c r="B17" s="107" t="s">
        <v>31</v>
      </c>
      <c r="C17" s="107" t="s">
        <v>25</v>
      </c>
      <c r="D17" s="107">
        <v>1</v>
      </c>
      <c r="E17" s="107">
        <v>40</v>
      </c>
      <c r="F17" s="108">
        <f t="shared" si="4"/>
        <v>2.5000000000000001E-2</v>
      </c>
      <c r="G17" s="109">
        <v>1</v>
      </c>
      <c r="H17" s="110">
        <v>83496</v>
      </c>
      <c r="I17" s="111">
        <f t="shared" si="5"/>
        <v>2087.4</v>
      </c>
    </row>
    <row r="18" spans="1:9">
      <c r="E18" s="1">
        <f>E17+E16+E14+E12+E11+E10+E9+E8+E7</f>
        <v>655</v>
      </c>
    </row>
  </sheetData>
  <mergeCells count="1">
    <mergeCell ref="A1:I1"/>
  </mergeCells>
  <pageMargins left="0.70866141732283472" right="0.70866141732283472" top="0.74803149606299213" bottom="0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1"/>
  <sheetViews>
    <sheetView workbookViewId="0">
      <pane xSplit="1" ySplit="6" topLeftCell="B152" activePane="bottomRight" state="frozen"/>
      <selection pane="topRight" activeCell="B1" sqref="B1"/>
      <selection pane="bottomLeft" activeCell="A7" sqref="A7"/>
      <selection pane="bottomRight" activeCell="E138" sqref="E138"/>
    </sheetView>
  </sheetViews>
  <sheetFormatPr defaultRowHeight="15" outlineLevelRow="1"/>
  <cols>
    <col min="1" max="1" width="16.7109375" customWidth="1"/>
    <col min="2" max="2" width="20.14062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4.5703125" customWidth="1"/>
    <col min="8" max="8" width="10.85546875" style="1" customWidth="1"/>
    <col min="9" max="9" width="11.85546875" style="1" customWidth="1"/>
    <col min="10" max="10" width="10.7109375" style="1" customWidth="1"/>
    <col min="11" max="11" width="9.42578125" style="1" bestFit="1" customWidth="1"/>
    <col min="12" max="18" width="9.140625" style="1"/>
  </cols>
  <sheetData>
    <row r="1" spans="1:20" ht="18.75">
      <c r="A1" s="122" t="s">
        <v>33</v>
      </c>
      <c r="B1" s="122"/>
      <c r="C1" s="122"/>
      <c r="D1" s="122"/>
      <c r="E1" s="122"/>
      <c r="F1" s="122"/>
      <c r="G1" s="122"/>
      <c r="H1" s="122"/>
    </row>
    <row r="2" spans="1:20" ht="18.75">
      <c r="A2" s="65"/>
      <c r="B2" s="65"/>
      <c r="C2" s="65"/>
      <c r="D2" s="65"/>
      <c r="E2" s="65"/>
      <c r="F2" s="65"/>
      <c r="G2" s="65"/>
      <c r="H2" s="65"/>
    </row>
    <row r="3" spans="1:20" ht="18.75">
      <c r="A3" s="33" t="s">
        <v>35</v>
      </c>
      <c r="H3"/>
      <c r="S3" s="1"/>
      <c r="T3" s="1"/>
    </row>
    <row r="4" spans="1:20" ht="15.75" thickBot="1">
      <c r="G4" s="58" t="s">
        <v>32</v>
      </c>
    </row>
    <row r="5" spans="1:20" ht="45">
      <c r="A5" s="23" t="s">
        <v>3</v>
      </c>
      <c r="B5" s="24" t="s">
        <v>22</v>
      </c>
      <c r="C5" s="24" t="s">
        <v>18</v>
      </c>
      <c r="D5" s="24" t="s">
        <v>23</v>
      </c>
      <c r="E5" s="24" t="s">
        <v>58</v>
      </c>
      <c r="F5" s="24" t="s">
        <v>59</v>
      </c>
      <c r="G5" s="24" t="s">
        <v>26</v>
      </c>
      <c r="H5" s="25" t="s">
        <v>10</v>
      </c>
      <c r="I5" s="2" t="s">
        <v>47</v>
      </c>
      <c r="J5" s="2" t="s">
        <v>62</v>
      </c>
      <c r="K5" s="2"/>
    </row>
    <row r="6" spans="1:20" ht="15.75" thickBot="1">
      <c r="A6" s="26">
        <v>1</v>
      </c>
      <c r="B6" s="27">
        <v>2</v>
      </c>
      <c r="C6" s="27">
        <v>3</v>
      </c>
      <c r="D6" s="27">
        <v>4</v>
      </c>
      <c r="E6" s="27">
        <v>5</v>
      </c>
      <c r="F6" s="27" t="s">
        <v>17</v>
      </c>
      <c r="G6" s="28">
        <v>8</v>
      </c>
      <c r="H6" s="29" t="s">
        <v>19</v>
      </c>
    </row>
    <row r="7" spans="1:20">
      <c r="A7" s="11" t="s">
        <v>36</v>
      </c>
      <c r="B7" s="12" t="s">
        <v>24</v>
      </c>
      <c r="C7" s="12" t="s">
        <v>25</v>
      </c>
      <c r="D7" s="12">
        <v>1</v>
      </c>
      <c r="E7" s="12">
        <v>182</v>
      </c>
      <c r="F7" s="32">
        <f>D7/E7</f>
        <v>5.4945054945054949E-3</v>
      </c>
      <c r="G7" s="13">
        <f>219814.02*0.4</f>
        <v>87925.608000000007</v>
      </c>
      <c r="H7" s="14">
        <f>F7*G7</f>
        <v>483.10773626373634</v>
      </c>
      <c r="I7" s="77">
        <f>H7*E7</f>
        <v>87925.608000000007</v>
      </c>
      <c r="J7" s="77"/>
    </row>
    <row r="8" spans="1:20" s="1" customFormat="1">
      <c r="A8" s="15"/>
      <c r="B8" s="5" t="s">
        <v>27</v>
      </c>
      <c r="C8" s="5"/>
      <c r="D8" s="5">
        <v>14</v>
      </c>
      <c r="E8" s="10">
        <v>182</v>
      </c>
      <c r="F8" s="31">
        <f t="shared" ref="F8:F9" si="0">D8/E8</f>
        <v>7.6923076923076927E-2</v>
      </c>
      <c r="G8" s="6">
        <v>672</v>
      </c>
      <c r="H8" s="16">
        <f>F8*G8</f>
        <v>51.692307692307693</v>
      </c>
      <c r="I8" s="77">
        <f t="shared" ref="I8:I9" si="1">H8*E8</f>
        <v>9408</v>
      </c>
      <c r="J8" s="77">
        <f>(13200+10320)*0.4</f>
        <v>9408</v>
      </c>
    </row>
    <row r="9" spans="1:20" s="1" customFormat="1">
      <c r="A9" s="15"/>
      <c r="B9" s="5" t="s">
        <v>30</v>
      </c>
      <c r="C9" s="10" t="s">
        <v>25</v>
      </c>
      <c r="D9" s="5">
        <v>1</v>
      </c>
      <c r="E9" s="10">
        <v>182</v>
      </c>
      <c r="F9" s="31">
        <f t="shared" si="0"/>
        <v>5.4945054945054949E-3</v>
      </c>
      <c r="G9" s="6">
        <f>(15000+12000)*0.4</f>
        <v>10800</v>
      </c>
      <c r="H9" s="16">
        <f>F9*G9</f>
        <v>59.340659340659343</v>
      </c>
      <c r="I9" s="77">
        <f t="shared" si="1"/>
        <v>10800</v>
      </c>
      <c r="J9" s="77"/>
    </row>
    <row r="10" spans="1:20" s="1" customFormat="1" ht="15.75" thickBot="1">
      <c r="A10" s="17"/>
      <c r="B10" s="18"/>
      <c r="C10" s="18"/>
      <c r="D10" s="18"/>
      <c r="E10" s="18"/>
      <c r="F10" s="18"/>
      <c r="G10" s="22"/>
      <c r="H10" s="80">
        <f>SUM(H7:H9)</f>
        <v>594.14070329670346</v>
      </c>
      <c r="I10" s="77">
        <f>H10*E9</f>
        <v>108133.60800000004</v>
      </c>
      <c r="J10" s="77"/>
    </row>
    <row r="11" spans="1:20">
      <c r="A11" s="11" t="s">
        <v>37</v>
      </c>
      <c r="B11" s="12" t="s">
        <v>24</v>
      </c>
      <c r="C11" s="12" t="s">
        <v>25</v>
      </c>
      <c r="D11" s="12">
        <v>1</v>
      </c>
      <c r="E11" s="12">
        <v>294</v>
      </c>
      <c r="F11" s="32">
        <f>D11/E11</f>
        <v>3.4013605442176869E-3</v>
      </c>
      <c r="G11" s="13">
        <f>253768.08*0.54</f>
        <v>137034.76320000002</v>
      </c>
      <c r="H11" s="14">
        <f>F11*G11</f>
        <v>466.10463673469394</v>
      </c>
      <c r="I11" s="77">
        <f>H11*E11</f>
        <v>137034.76320000002</v>
      </c>
      <c r="J11" s="77"/>
    </row>
    <row r="12" spans="1:20" s="1" customFormat="1">
      <c r="A12" s="15"/>
      <c r="B12" s="5" t="s">
        <v>27</v>
      </c>
      <c r="C12" s="5"/>
      <c r="D12" s="5">
        <v>27</v>
      </c>
      <c r="E12" s="10">
        <v>294</v>
      </c>
      <c r="F12" s="31">
        <f t="shared" ref="F12:F13" si="2">D12/E12</f>
        <v>9.1836734693877556E-2</v>
      </c>
      <c r="G12" s="6">
        <v>684</v>
      </c>
      <c r="H12" s="16">
        <f>F12*G12</f>
        <v>62.816326530612251</v>
      </c>
      <c r="I12" s="77">
        <f t="shared" ref="I12:I13" si="3">H12*E12</f>
        <v>18468.000000000004</v>
      </c>
      <c r="J12" s="77">
        <f>(18000+16200)*0.54</f>
        <v>18468</v>
      </c>
    </row>
    <row r="13" spans="1:20" s="1" customFormat="1">
      <c r="A13" s="15"/>
      <c r="B13" s="5" t="s">
        <v>30</v>
      </c>
      <c r="C13" s="10" t="s">
        <v>25</v>
      </c>
      <c r="D13" s="5">
        <v>1</v>
      </c>
      <c r="E13" s="10">
        <v>294</v>
      </c>
      <c r="F13" s="31">
        <f t="shared" si="2"/>
        <v>3.4013605442176869E-3</v>
      </c>
      <c r="G13" s="6">
        <f>35000*0.54</f>
        <v>18900</v>
      </c>
      <c r="H13" s="16">
        <f>F13*G13</f>
        <v>64.285714285714278</v>
      </c>
      <c r="I13" s="77">
        <f t="shared" si="3"/>
        <v>18899.999999999996</v>
      </c>
      <c r="J13" s="77"/>
    </row>
    <row r="14" spans="1:20" s="1" customFormat="1" ht="15.75" thickBot="1">
      <c r="A14" s="17"/>
      <c r="B14" s="18"/>
      <c r="C14" s="18"/>
      <c r="D14" s="18"/>
      <c r="E14" s="18"/>
      <c r="F14" s="18"/>
      <c r="G14" s="22"/>
      <c r="H14" s="80">
        <f>SUM(H11:H13)</f>
        <v>593.20667755102045</v>
      </c>
      <c r="I14" s="77">
        <f>H14*E13</f>
        <v>174402.76320000002</v>
      </c>
      <c r="J14" s="77"/>
    </row>
    <row r="15" spans="1:20">
      <c r="A15" s="11" t="s">
        <v>38</v>
      </c>
      <c r="B15" s="12" t="s">
        <v>24</v>
      </c>
      <c r="C15" s="12" t="s">
        <v>25</v>
      </c>
      <c r="D15" s="12">
        <v>1</v>
      </c>
      <c r="E15" s="12">
        <v>163</v>
      </c>
      <c r="F15" s="32">
        <f>D15/E15</f>
        <v>6.1349693251533744E-3</v>
      </c>
      <c r="G15" s="13">
        <f>225301.96*0.42</f>
        <v>94626.823199999999</v>
      </c>
      <c r="H15" s="14">
        <f>F15*G15</f>
        <v>580.53265766871164</v>
      </c>
      <c r="I15" s="77">
        <f>H15*E15</f>
        <v>94626.823199999999</v>
      </c>
      <c r="J15" s="77"/>
    </row>
    <row r="16" spans="1:20" s="1" customFormat="1">
      <c r="A16" s="15"/>
      <c r="B16" s="5" t="s">
        <v>27</v>
      </c>
      <c r="C16" s="5"/>
      <c r="D16" s="5">
        <v>14</v>
      </c>
      <c r="E16" s="10">
        <v>163</v>
      </c>
      <c r="F16" s="31">
        <f t="shared" ref="F16:F17" si="4">D16/E16</f>
        <v>8.5889570552147243E-2</v>
      </c>
      <c r="G16" s="6">
        <v>686</v>
      </c>
      <c r="H16" s="16">
        <f>F16*G16</f>
        <v>58.920245398773005</v>
      </c>
      <c r="I16" s="77">
        <f t="shared" ref="I16:I17" si="5">H16*E16</f>
        <v>9604</v>
      </c>
      <c r="J16" s="77">
        <f>(7000+15866)*0.42</f>
        <v>9603.7199999999993</v>
      </c>
    </row>
    <row r="17" spans="1:10" s="1" customFormat="1">
      <c r="A17" s="15"/>
      <c r="B17" s="5" t="s">
        <v>30</v>
      </c>
      <c r="C17" s="10" t="s">
        <v>25</v>
      </c>
      <c r="D17" s="5">
        <v>1</v>
      </c>
      <c r="E17" s="10">
        <v>163</v>
      </c>
      <c r="F17" s="31">
        <f t="shared" si="4"/>
        <v>6.1349693251533744E-3</v>
      </c>
      <c r="G17" s="6">
        <f>23000*0.42</f>
        <v>9660</v>
      </c>
      <c r="H17" s="16">
        <f>F17*G17</f>
        <v>59.263803680981596</v>
      </c>
      <c r="I17" s="77">
        <f t="shared" si="5"/>
        <v>9660</v>
      </c>
      <c r="J17" s="77"/>
    </row>
    <row r="18" spans="1:10" s="1" customFormat="1" ht="15.75" thickBot="1">
      <c r="A18" s="17"/>
      <c r="B18" s="18"/>
      <c r="C18" s="18"/>
      <c r="D18" s="18"/>
      <c r="E18" s="18"/>
      <c r="F18" s="18"/>
      <c r="G18" s="22"/>
      <c r="H18" s="80">
        <f>SUM(H15:H17)</f>
        <v>698.71670674846621</v>
      </c>
      <c r="I18" s="77">
        <f>H18*E17</f>
        <v>113890.8232</v>
      </c>
      <c r="J18" s="77"/>
    </row>
    <row r="19" spans="1:10">
      <c r="A19" s="11" t="s">
        <v>40</v>
      </c>
      <c r="B19" s="12" t="s">
        <v>24</v>
      </c>
      <c r="C19" s="12" t="s">
        <v>25</v>
      </c>
      <c r="D19" s="12">
        <v>1</v>
      </c>
      <c r="E19" s="12">
        <v>335</v>
      </c>
      <c r="F19" s="32">
        <f>D19/E19</f>
        <v>2.9850746268656717E-3</v>
      </c>
      <c r="G19" s="13">
        <f>291116.7*0.44</f>
        <v>128091.34800000001</v>
      </c>
      <c r="H19" s="14">
        <f>F19*G19</f>
        <v>382.36223283582092</v>
      </c>
      <c r="I19" s="77">
        <f>H19*E19</f>
        <v>128091.34800000001</v>
      </c>
      <c r="J19" s="77"/>
    </row>
    <row r="20" spans="1:10" s="1" customFormat="1">
      <c r="A20" s="15"/>
      <c r="B20" s="5" t="s">
        <v>27</v>
      </c>
      <c r="C20" s="5"/>
      <c r="D20" s="5">
        <v>35</v>
      </c>
      <c r="E20" s="10">
        <v>335</v>
      </c>
      <c r="F20" s="31">
        <f t="shared" ref="F20:F21" si="6">D20/E20</f>
        <v>0.1044776119402985</v>
      </c>
      <c r="G20" s="6">
        <v>674.33100000000002</v>
      </c>
      <c r="H20" s="16">
        <f>F20*G20</f>
        <v>70.452492537313432</v>
      </c>
      <c r="I20" s="77">
        <f t="shared" ref="I20:I21" si="7">H20*E20</f>
        <v>23601.584999999999</v>
      </c>
      <c r="J20" s="77">
        <f>53640*0.44</f>
        <v>23601.599999999999</v>
      </c>
    </row>
    <row r="21" spans="1:10" s="1" customFormat="1">
      <c r="A21" s="15"/>
      <c r="B21" s="5" t="s">
        <v>30</v>
      </c>
      <c r="C21" s="10" t="s">
        <v>25</v>
      </c>
      <c r="D21" s="5">
        <v>1</v>
      </c>
      <c r="E21" s="10">
        <v>335</v>
      </c>
      <c r="F21" s="31">
        <f t="shared" si="6"/>
        <v>2.9850746268656717E-3</v>
      </c>
      <c r="G21" s="6">
        <f>45000*0.44</f>
        <v>19800</v>
      </c>
      <c r="H21" s="16">
        <f>F21*G21</f>
        <v>59.104477611940297</v>
      </c>
      <c r="I21" s="77">
        <f t="shared" si="7"/>
        <v>19800</v>
      </c>
      <c r="J21" s="77"/>
    </row>
    <row r="22" spans="1:10" s="1" customFormat="1" ht="15.75" thickBot="1">
      <c r="A22" s="17"/>
      <c r="B22" s="18"/>
      <c r="C22" s="18"/>
      <c r="D22" s="18"/>
      <c r="E22" s="18"/>
      <c r="F22" s="18"/>
      <c r="G22" s="22"/>
      <c r="H22" s="80">
        <f>SUM(H19:H21)</f>
        <v>511.91920298507466</v>
      </c>
      <c r="I22" s="77">
        <f>H22*E21</f>
        <v>171492.93300000002</v>
      </c>
      <c r="J22" s="77"/>
    </row>
    <row r="23" spans="1:10">
      <c r="A23" s="11" t="s">
        <v>42</v>
      </c>
      <c r="B23" s="12" t="s">
        <v>24</v>
      </c>
      <c r="C23" s="12" t="s">
        <v>25</v>
      </c>
      <c r="D23" s="12">
        <v>1</v>
      </c>
      <c r="E23" s="12">
        <v>390</v>
      </c>
      <c r="F23" s="32">
        <f>D23/E23</f>
        <v>2.5641025641025641E-3</v>
      </c>
      <c r="G23" s="13">
        <f>338958*0.46</f>
        <v>155920.68</v>
      </c>
      <c r="H23" s="14">
        <f>F23*G23</f>
        <v>399.79661538461539</v>
      </c>
      <c r="I23" s="77">
        <f>H23*E23</f>
        <v>155920.68</v>
      </c>
      <c r="J23" s="77"/>
    </row>
    <row r="24" spans="1:10" s="1" customFormat="1">
      <c r="A24" s="15"/>
      <c r="B24" s="5" t="s">
        <v>27</v>
      </c>
      <c r="C24" s="5"/>
      <c r="D24" s="5">
        <v>57</v>
      </c>
      <c r="E24" s="10">
        <v>390</v>
      </c>
      <c r="F24" s="31">
        <f t="shared" ref="F24:F25" si="8">D24/E24</f>
        <v>0.14615384615384616</v>
      </c>
      <c r="G24" s="6">
        <v>676.31</v>
      </c>
      <c r="H24" s="16">
        <f>F24*G24</f>
        <v>98.845307692307685</v>
      </c>
      <c r="I24" s="77">
        <f t="shared" ref="I24:I25" si="9">H24*E24</f>
        <v>38549.67</v>
      </c>
      <c r="J24" s="77">
        <f>83804*0.46</f>
        <v>38549.840000000004</v>
      </c>
    </row>
    <row r="25" spans="1:10" s="1" customFormat="1">
      <c r="A25" s="15"/>
      <c r="B25" s="5" t="s">
        <v>30</v>
      </c>
      <c r="C25" s="10" t="s">
        <v>25</v>
      </c>
      <c r="D25" s="5">
        <v>1</v>
      </c>
      <c r="E25" s="10">
        <v>390</v>
      </c>
      <c r="F25" s="31">
        <f t="shared" si="8"/>
        <v>2.5641025641025641E-3</v>
      </c>
      <c r="G25" s="6">
        <f>40000*0.46</f>
        <v>18400</v>
      </c>
      <c r="H25" s="16">
        <f>F25*G25</f>
        <v>47.179487179487182</v>
      </c>
      <c r="I25" s="77">
        <f t="shared" si="9"/>
        <v>18400</v>
      </c>
      <c r="J25" s="77"/>
    </row>
    <row r="26" spans="1:10" s="1" customFormat="1" ht="15.75" thickBot="1">
      <c r="A26" s="17"/>
      <c r="B26" s="18"/>
      <c r="C26" s="18"/>
      <c r="D26" s="18"/>
      <c r="E26" s="18"/>
      <c r="F26" s="18"/>
      <c r="G26" s="22"/>
      <c r="H26" s="80">
        <f>SUM(H23:H25)</f>
        <v>545.82141025641022</v>
      </c>
      <c r="I26" s="77">
        <f>H26*E25</f>
        <v>212870.34999999998</v>
      </c>
      <c r="J26" s="77"/>
    </row>
    <row r="27" spans="1:10">
      <c r="A27" s="11" t="s">
        <v>43</v>
      </c>
      <c r="B27" s="12" t="s">
        <v>24</v>
      </c>
      <c r="C27" s="12" t="s">
        <v>25</v>
      </c>
      <c r="D27" s="12">
        <v>1</v>
      </c>
      <c r="E27" s="12">
        <v>265</v>
      </c>
      <c r="F27" s="32">
        <f>D27/E27</f>
        <v>3.7735849056603774E-3</v>
      </c>
      <c r="G27" s="13">
        <f>224832.72*0.48</f>
        <v>107919.7056</v>
      </c>
      <c r="H27" s="14">
        <f>F27*G27</f>
        <v>407.24417207547168</v>
      </c>
      <c r="I27" s="77">
        <f>H27*E27</f>
        <v>107919.7056</v>
      </c>
      <c r="J27" s="77"/>
    </row>
    <row r="28" spans="1:10" s="1" customFormat="1">
      <c r="A28" s="15"/>
      <c r="B28" s="5" t="s">
        <v>27</v>
      </c>
      <c r="C28" s="5"/>
      <c r="D28" s="5">
        <v>58</v>
      </c>
      <c r="E28" s="10">
        <v>265</v>
      </c>
      <c r="F28" s="31">
        <f t="shared" ref="F28:F29" si="10">D28/E28</f>
        <v>0.21886792452830189</v>
      </c>
      <c r="G28" s="6">
        <v>684.49599999999998</v>
      </c>
      <c r="H28" s="16">
        <f>F28*G28</f>
        <v>149.81421886792452</v>
      </c>
      <c r="I28" s="77">
        <f t="shared" ref="I28:I29" si="11">H28*E28</f>
        <v>39700.767999999996</v>
      </c>
      <c r="J28" s="77">
        <f>82710*0.48</f>
        <v>39700.799999999996</v>
      </c>
    </row>
    <row r="29" spans="1:10" s="1" customFormat="1">
      <c r="A29" s="15"/>
      <c r="B29" s="5" t="s">
        <v>30</v>
      </c>
      <c r="C29" s="10" t="s">
        <v>25</v>
      </c>
      <c r="D29" s="5">
        <v>1</v>
      </c>
      <c r="E29" s="10">
        <v>265</v>
      </c>
      <c r="F29" s="31">
        <f t="shared" si="10"/>
        <v>3.7735849056603774E-3</v>
      </c>
      <c r="G29" s="6">
        <f>40000*0.48</f>
        <v>19200</v>
      </c>
      <c r="H29" s="16">
        <f>F29*G29</f>
        <v>72.452830188679243</v>
      </c>
      <c r="I29" s="77">
        <f t="shared" si="11"/>
        <v>19200</v>
      </c>
      <c r="J29" s="77"/>
    </row>
    <row r="30" spans="1:10" s="1" customFormat="1" ht="15.75" thickBot="1">
      <c r="A30" s="17"/>
      <c r="B30" s="18"/>
      <c r="C30" s="18"/>
      <c r="D30" s="18"/>
      <c r="E30" s="18"/>
      <c r="F30" s="18"/>
      <c r="G30" s="22"/>
      <c r="H30" s="80">
        <f>SUM(H27:H29)</f>
        <v>629.51122113207555</v>
      </c>
      <c r="I30" s="77">
        <f>H30*E29</f>
        <v>166820.47360000003</v>
      </c>
      <c r="J30" s="77"/>
    </row>
    <row r="31" spans="1:10" ht="15.75" thickBot="1"/>
    <row r="32" spans="1:10">
      <c r="A32" s="11" t="s">
        <v>41</v>
      </c>
      <c r="B32" s="12" t="s">
        <v>24</v>
      </c>
      <c r="C32" s="12" t="s">
        <v>25</v>
      </c>
      <c r="D32" s="12">
        <v>1</v>
      </c>
      <c r="E32" s="12">
        <v>354</v>
      </c>
      <c r="F32" s="32">
        <f>D32/E32</f>
        <v>2.8248587570621469E-3</v>
      </c>
      <c r="G32" s="13">
        <f>365112.33*0.39</f>
        <v>142393.80870000002</v>
      </c>
      <c r="H32" s="14">
        <f>F32*G32</f>
        <v>402.24239745762719</v>
      </c>
      <c r="I32" s="77">
        <f>H32*E32</f>
        <v>142393.80870000002</v>
      </c>
      <c r="J32" s="77"/>
    </row>
    <row r="33" spans="1:20" s="1" customFormat="1">
      <c r="A33" s="15"/>
      <c r="B33" s="5" t="s">
        <v>27</v>
      </c>
      <c r="C33" s="5"/>
      <c r="D33" s="5">
        <v>36</v>
      </c>
      <c r="E33" s="10">
        <v>354</v>
      </c>
      <c r="F33" s="31">
        <f t="shared" ref="F33:F34" si="12">D33/E33</f>
        <v>0.10169491525423729</v>
      </c>
      <c r="G33" s="6">
        <v>685.72</v>
      </c>
      <c r="H33" s="16">
        <f>F33*G33</f>
        <v>69.734237288135603</v>
      </c>
      <c r="I33" s="77">
        <f t="shared" ref="I33:I34" si="13">H33*E33</f>
        <v>24685.920000000002</v>
      </c>
      <c r="J33" s="77">
        <f>63298*0.39</f>
        <v>24686.22</v>
      </c>
    </row>
    <row r="34" spans="1:20" s="1" customFormat="1">
      <c r="A34" s="15"/>
      <c r="B34" s="5" t="s">
        <v>30</v>
      </c>
      <c r="C34" s="10" t="s">
        <v>25</v>
      </c>
      <c r="D34" s="5">
        <v>1</v>
      </c>
      <c r="E34" s="10">
        <v>354</v>
      </c>
      <c r="F34" s="31">
        <f t="shared" si="12"/>
        <v>2.8248587570621469E-3</v>
      </c>
      <c r="G34" s="6">
        <f>70000*0.39</f>
        <v>27300</v>
      </c>
      <c r="H34" s="16">
        <f>F34*G34</f>
        <v>77.118644067796609</v>
      </c>
      <c r="I34" s="77">
        <f t="shared" si="13"/>
        <v>27300</v>
      </c>
      <c r="J34" s="77"/>
    </row>
    <row r="35" spans="1:20" s="1" customFormat="1" ht="15.75" thickBot="1">
      <c r="A35" s="17"/>
      <c r="B35" s="18"/>
      <c r="C35" s="18"/>
      <c r="D35" s="18"/>
      <c r="E35" s="18"/>
      <c r="F35" s="18"/>
      <c r="G35" s="22"/>
      <c r="H35" s="80">
        <f>SUM(H32:H34)</f>
        <v>549.09527881355939</v>
      </c>
      <c r="I35" s="77">
        <f>H35*E34</f>
        <v>194379.72870000004</v>
      </c>
      <c r="J35" s="77"/>
    </row>
    <row r="36" spans="1:20" ht="15.75" thickBot="1"/>
    <row r="37" spans="1:20">
      <c r="A37" s="11" t="s">
        <v>39</v>
      </c>
      <c r="B37" s="12" t="s">
        <v>24</v>
      </c>
      <c r="C37" s="12" t="s">
        <v>25</v>
      </c>
      <c r="D37" s="12">
        <v>1</v>
      </c>
      <c r="E37" s="12">
        <v>93</v>
      </c>
      <c r="F37" s="32">
        <f>D37/E37</f>
        <v>1.0752688172043012E-2</v>
      </c>
      <c r="G37" s="13">
        <f>77000*0.41</f>
        <v>31569.999999999996</v>
      </c>
      <c r="H37" s="14">
        <f>F37*G37</f>
        <v>339.46236559139783</v>
      </c>
      <c r="I37" s="77">
        <f>H37*E37</f>
        <v>31569.999999999996</v>
      </c>
      <c r="J37" s="77"/>
    </row>
    <row r="38" spans="1:20" s="1" customFormat="1">
      <c r="A38" s="15"/>
      <c r="B38" s="5" t="s">
        <v>27</v>
      </c>
      <c r="C38" s="5"/>
      <c r="D38" s="5">
        <v>7</v>
      </c>
      <c r="E38" s="10">
        <v>93</v>
      </c>
      <c r="F38" s="31">
        <f t="shared" ref="F38:F39" si="14">D38/E38</f>
        <v>7.5268817204301078E-2</v>
      </c>
      <c r="G38" s="6">
        <v>656</v>
      </c>
      <c r="H38" s="16">
        <f>F38*G38</f>
        <v>49.376344086021504</v>
      </c>
      <c r="I38" s="77">
        <f t="shared" ref="I38:I39" si="15">H38*E38</f>
        <v>4592</v>
      </c>
      <c r="J38" s="77">
        <f>11200*0.41</f>
        <v>4592</v>
      </c>
    </row>
    <row r="39" spans="1:20" s="1" customFormat="1">
      <c r="A39" s="15"/>
      <c r="B39" s="5" t="s">
        <v>30</v>
      </c>
      <c r="C39" s="10" t="s">
        <v>25</v>
      </c>
      <c r="D39" s="5">
        <v>1</v>
      </c>
      <c r="E39" s="10">
        <v>93</v>
      </c>
      <c r="F39" s="31">
        <f t="shared" si="14"/>
        <v>1.0752688172043012E-2</v>
      </c>
      <c r="G39" s="6">
        <f>20000*0.41</f>
        <v>8200</v>
      </c>
      <c r="H39" s="16">
        <f>F39*G39</f>
        <v>88.172043010752702</v>
      </c>
      <c r="I39" s="77">
        <f t="shared" si="15"/>
        <v>8200.0000000000018</v>
      </c>
      <c r="J39" s="77"/>
    </row>
    <row r="40" spans="1:20" s="1" customFormat="1" ht="15.75" thickBot="1">
      <c r="A40" s="17"/>
      <c r="B40" s="18"/>
      <c r="C40" s="18"/>
      <c r="D40" s="18"/>
      <c r="E40" s="18"/>
      <c r="F40" s="18"/>
      <c r="G40" s="22"/>
      <c r="H40" s="80">
        <f>SUM(H37:H39)</f>
        <v>477.01075268817203</v>
      </c>
      <c r="I40" s="77">
        <f>H40*E39</f>
        <v>44362</v>
      </c>
      <c r="J40" s="77"/>
    </row>
    <row r="41" spans="1:20">
      <c r="A41" s="11" t="s">
        <v>44</v>
      </c>
      <c r="B41" s="12" t="s">
        <v>24</v>
      </c>
      <c r="C41" s="12" t="s">
        <v>25</v>
      </c>
      <c r="D41" s="12">
        <v>1</v>
      </c>
      <c r="E41" s="12">
        <v>106</v>
      </c>
      <c r="F41" s="32">
        <f>D41/E41</f>
        <v>9.433962264150943E-3</v>
      </c>
      <c r="G41" s="13">
        <f>117103.5*0.52</f>
        <v>60893.82</v>
      </c>
      <c r="H41" s="14">
        <f>F41*G41</f>
        <v>574.47</v>
      </c>
      <c r="I41" s="77">
        <f>H41*E41</f>
        <v>60893.82</v>
      </c>
      <c r="J41" s="77"/>
    </row>
    <row r="42" spans="1:20" s="1" customFormat="1">
      <c r="A42" s="15"/>
      <c r="B42" s="5" t="s">
        <v>27</v>
      </c>
      <c r="C42" s="5"/>
      <c r="D42" s="5">
        <v>5</v>
      </c>
      <c r="E42" s="10">
        <v>106</v>
      </c>
      <c r="F42" s="31">
        <f t="shared" ref="F42:F43" si="16">D42/E42</f>
        <v>4.716981132075472E-2</v>
      </c>
      <c r="G42" s="6">
        <v>655.20000000000005</v>
      </c>
      <c r="H42" s="16">
        <f>F42*G42</f>
        <v>30.905660377358494</v>
      </c>
      <c r="I42" s="77">
        <f t="shared" ref="I42:I43" si="17">H42*E42</f>
        <v>3276.0000000000005</v>
      </c>
      <c r="J42" s="77">
        <f>6300*0.52</f>
        <v>3276</v>
      </c>
    </row>
    <row r="43" spans="1:20" s="1" customFormat="1">
      <c r="A43" s="15"/>
      <c r="B43" s="5" t="s">
        <v>30</v>
      </c>
      <c r="C43" s="10" t="s">
        <v>25</v>
      </c>
      <c r="D43" s="5">
        <v>1</v>
      </c>
      <c r="E43" s="10">
        <v>106</v>
      </c>
      <c r="F43" s="31">
        <f t="shared" si="16"/>
        <v>9.433962264150943E-3</v>
      </c>
      <c r="G43" s="6">
        <f>23000*0.52</f>
        <v>11960</v>
      </c>
      <c r="H43" s="16">
        <f>F43*G43</f>
        <v>112.83018867924528</v>
      </c>
      <c r="I43" s="77">
        <f t="shared" si="17"/>
        <v>11960</v>
      </c>
      <c r="J43" s="77"/>
    </row>
    <row r="44" spans="1:20" s="1" customFormat="1" ht="15.75" thickBot="1">
      <c r="A44" s="17"/>
      <c r="B44" s="18"/>
      <c r="C44" s="18"/>
      <c r="D44" s="18"/>
      <c r="E44" s="18"/>
      <c r="F44" s="18"/>
      <c r="G44" s="22"/>
      <c r="H44" s="80">
        <f>SUM(H41:H43)</f>
        <v>718.20584905660371</v>
      </c>
      <c r="I44" s="77">
        <f>H44*E43</f>
        <v>76129.819999999992</v>
      </c>
      <c r="J44" s="77"/>
    </row>
    <row r="46" spans="1:20" ht="18.75">
      <c r="A46" s="33" t="s">
        <v>45</v>
      </c>
      <c r="H46"/>
      <c r="S46" s="1"/>
      <c r="T46" s="1"/>
    </row>
    <row r="47" spans="1:20" ht="15.75" thickBot="1">
      <c r="G47" s="58" t="s">
        <v>32</v>
      </c>
    </row>
    <row r="48" spans="1:20" ht="45">
      <c r="A48" s="23" t="s">
        <v>3</v>
      </c>
      <c r="B48" s="24" t="s">
        <v>22</v>
      </c>
      <c r="C48" s="24" t="s">
        <v>18</v>
      </c>
      <c r="D48" s="24" t="s">
        <v>23</v>
      </c>
      <c r="E48" s="24" t="s">
        <v>58</v>
      </c>
      <c r="F48" s="24" t="s">
        <v>59</v>
      </c>
      <c r="G48" s="24" t="s">
        <v>26</v>
      </c>
      <c r="H48" s="25" t="s">
        <v>10</v>
      </c>
      <c r="I48" s="2"/>
      <c r="J48" s="2"/>
      <c r="K48" s="2"/>
    </row>
    <row r="49" spans="1:10" ht="15.75" thickBot="1">
      <c r="A49" s="26">
        <v>1</v>
      </c>
      <c r="B49" s="27">
        <v>2</v>
      </c>
      <c r="C49" s="27">
        <v>3</v>
      </c>
      <c r="D49" s="27">
        <v>4</v>
      </c>
      <c r="E49" s="27">
        <v>5</v>
      </c>
      <c r="F49" s="27" t="s">
        <v>17</v>
      </c>
      <c r="G49" s="28">
        <v>8</v>
      </c>
      <c r="H49" s="29" t="s">
        <v>19</v>
      </c>
    </row>
    <row r="50" spans="1:10">
      <c r="A50" s="11" t="s">
        <v>36</v>
      </c>
      <c r="B50" s="12" t="s">
        <v>24</v>
      </c>
      <c r="C50" s="12" t="s">
        <v>25</v>
      </c>
      <c r="D50" s="12">
        <v>1</v>
      </c>
      <c r="E50" s="12">
        <v>211</v>
      </c>
      <c r="F50" s="32">
        <f>D50/E50</f>
        <v>4.7393364928909956E-3</v>
      </c>
      <c r="G50" s="13">
        <f>219814.02*0.46</f>
        <v>101114.4492</v>
      </c>
      <c r="H50" s="14">
        <f>F50*G50</f>
        <v>479.21539905213274</v>
      </c>
      <c r="I50" s="77">
        <f>H50*E50</f>
        <v>101114.4492</v>
      </c>
      <c r="J50" s="77"/>
    </row>
    <row r="51" spans="1:10" s="1" customFormat="1">
      <c r="A51" s="15"/>
      <c r="B51" s="5" t="s">
        <v>27</v>
      </c>
      <c r="C51" s="5"/>
      <c r="D51" s="5">
        <v>16</v>
      </c>
      <c r="E51" s="10">
        <v>211</v>
      </c>
      <c r="F51" s="31">
        <f t="shared" ref="F51:F52" si="18">D51/E51</f>
        <v>7.582938388625593E-2</v>
      </c>
      <c r="G51" s="6">
        <v>676.2</v>
      </c>
      <c r="H51" s="16">
        <f>F51*G51</f>
        <v>51.275829383886261</v>
      </c>
      <c r="I51" s="77">
        <f t="shared" ref="I51:I52" si="19">H51*E51</f>
        <v>10819.2</v>
      </c>
      <c r="J51" s="77">
        <f>(13200+10320)*0.46</f>
        <v>10819.2</v>
      </c>
    </row>
    <row r="52" spans="1:10" s="1" customFormat="1">
      <c r="A52" s="15"/>
      <c r="B52" s="5" t="s">
        <v>30</v>
      </c>
      <c r="C52" s="10" t="s">
        <v>25</v>
      </c>
      <c r="D52" s="5">
        <v>1</v>
      </c>
      <c r="E52" s="10">
        <v>211</v>
      </c>
      <c r="F52" s="31">
        <f t="shared" si="18"/>
        <v>4.7393364928909956E-3</v>
      </c>
      <c r="G52" s="6">
        <f>(15000+12000)*0.46</f>
        <v>12420</v>
      </c>
      <c r="H52" s="16">
        <f>F52*G52</f>
        <v>58.862559241706165</v>
      </c>
      <c r="I52" s="77">
        <f t="shared" si="19"/>
        <v>12420</v>
      </c>
      <c r="J52" s="77"/>
    </row>
    <row r="53" spans="1:10" s="1" customFormat="1" ht="15.75" thickBot="1">
      <c r="A53" s="17"/>
      <c r="B53" s="18"/>
      <c r="C53" s="18"/>
      <c r="D53" s="18"/>
      <c r="E53" s="18"/>
      <c r="F53" s="18"/>
      <c r="G53" s="22"/>
      <c r="H53" s="80">
        <f>SUM(H50:H52)</f>
        <v>589.35378767772522</v>
      </c>
      <c r="I53" s="77">
        <f>H53*E52</f>
        <v>124353.64920000003</v>
      </c>
      <c r="J53" s="77"/>
    </row>
    <row r="54" spans="1:10">
      <c r="A54" s="11" t="s">
        <v>37</v>
      </c>
      <c r="B54" s="12" t="s">
        <v>24</v>
      </c>
      <c r="C54" s="12" t="s">
        <v>25</v>
      </c>
      <c r="D54" s="12">
        <v>1</v>
      </c>
      <c r="E54" s="12">
        <v>219</v>
      </c>
      <c r="F54" s="32">
        <f>D54/E54</f>
        <v>4.5662100456621002E-3</v>
      </c>
      <c r="G54" s="13">
        <f>253768.08*0.4</f>
        <v>101507.232</v>
      </c>
      <c r="H54" s="14">
        <f>F54*G54</f>
        <v>463.50334246575341</v>
      </c>
      <c r="I54" s="77">
        <f>H54*E54</f>
        <v>101507.23199999999</v>
      </c>
      <c r="J54" s="77"/>
    </row>
    <row r="55" spans="1:10" s="1" customFormat="1">
      <c r="A55" s="15"/>
      <c r="B55" s="5" t="s">
        <v>27</v>
      </c>
      <c r="C55" s="5"/>
      <c r="D55" s="5">
        <v>20</v>
      </c>
      <c r="E55" s="10">
        <v>219</v>
      </c>
      <c r="F55" s="31">
        <f t="shared" ref="F55:F56" si="20">D55/E55</f>
        <v>9.1324200913242004E-2</v>
      </c>
      <c r="G55" s="6">
        <v>684</v>
      </c>
      <c r="H55" s="16">
        <f>F55*G55</f>
        <v>62.465753424657528</v>
      </c>
      <c r="I55" s="77">
        <f t="shared" ref="I55:I56" si="21">H55*E55</f>
        <v>13679.999999999998</v>
      </c>
      <c r="J55" s="77">
        <f>(18000+16200)*0.4</f>
        <v>13680</v>
      </c>
    </row>
    <row r="56" spans="1:10" s="1" customFormat="1">
      <c r="A56" s="15"/>
      <c r="B56" s="5" t="s">
        <v>30</v>
      </c>
      <c r="C56" s="10" t="s">
        <v>25</v>
      </c>
      <c r="D56" s="5">
        <v>1</v>
      </c>
      <c r="E56" s="10">
        <v>219</v>
      </c>
      <c r="F56" s="31">
        <f t="shared" si="20"/>
        <v>4.5662100456621002E-3</v>
      </c>
      <c r="G56" s="6">
        <f>35000*0.4</f>
        <v>14000</v>
      </c>
      <c r="H56" s="16">
        <f>F56*G56</f>
        <v>63.926940639269404</v>
      </c>
      <c r="I56" s="77">
        <f t="shared" si="21"/>
        <v>14000</v>
      </c>
      <c r="J56" s="77"/>
    </row>
    <row r="57" spans="1:10" s="1" customFormat="1" ht="15.75" thickBot="1">
      <c r="A57" s="17"/>
      <c r="B57" s="18"/>
      <c r="C57" s="18"/>
      <c r="D57" s="18"/>
      <c r="E57" s="18"/>
      <c r="F57" s="18"/>
      <c r="G57" s="22"/>
      <c r="H57" s="80">
        <f>SUM(H54:H56)</f>
        <v>589.89603652968037</v>
      </c>
      <c r="I57" s="77">
        <f>H57*E56</f>
        <v>129187.232</v>
      </c>
      <c r="J57" s="77"/>
    </row>
    <row r="58" spans="1:10">
      <c r="A58" s="11" t="s">
        <v>38</v>
      </c>
      <c r="B58" s="12" t="s">
        <v>24</v>
      </c>
      <c r="C58" s="12" t="s">
        <v>25</v>
      </c>
      <c r="D58" s="12">
        <v>1</v>
      </c>
      <c r="E58" s="12">
        <v>188</v>
      </c>
      <c r="F58" s="32">
        <f>D58/E58</f>
        <v>5.3191489361702126E-3</v>
      </c>
      <c r="G58" s="13">
        <f>225301.96*0.49</f>
        <v>110397.9604</v>
      </c>
      <c r="H58" s="14">
        <f>F58*G58</f>
        <v>587.22319361702125</v>
      </c>
      <c r="I58" s="77">
        <f>H58*E58</f>
        <v>110397.9604</v>
      </c>
      <c r="J58" s="77"/>
    </row>
    <row r="59" spans="1:10" s="1" customFormat="1">
      <c r="A59" s="15"/>
      <c r="B59" s="5" t="s">
        <v>27</v>
      </c>
      <c r="C59" s="5"/>
      <c r="D59" s="5">
        <v>17</v>
      </c>
      <c r="E59" s="10">
        <v>188</v>
      </c>
      <c r="F59" s="31">
        <f t="shared" ref="F59:F60" si="22">D59/E59</f>
        <v>9.0425531914893623E-2</v>
      </c>
      <c r="G59" s="6">
        <v>659.077</v>
      </c>
      <c r="H59" s="16">
        <f>F59*G59</f>
        <v>59.597388297872342</v>
      </c>
      <c r="I59" s="77">
        <f t="shared" ref="I59:I60" si="23">H59*E59</f>
        <v>11204.309000000001</v>
      </c>
      <c r="J59" s="77">
        <f>(7000+15866)*0.49</f>
        <v>11204.34</v>
      </c>
    </row>
    <row r="60" spans="1:10" s="1" customFormat="1">
      <c r="A60" s="15"/>
      <c r="B60" s="5" t="s">
        <v>30</v>
      </c>
      <c r="C60" s="10" t="s">
        <v>25</v>
      </c>
      <c r="D60" s="5">
        <v>1</v>
      </c>
      <c r="E60" s="10">
        <v>188</v>
      </c>
      <c r="F60" s="31">
        <f t="shared" si="22"/>
        <v>5.3191489361702126E-3</v>
      </c>
      <c r="G60" s="6">
        <f>23000*0.49</f>
        <v>11270</v>
      </c>
      <c r="H60" s="16">
        <f>F60*G60</f>
        <v>59.946808510638299</v>
      </c>
      <c r="I60" s="77">
        <f t="shared" si="23"/>
        <v>11270</v>
      </c>
      <c r="J60" s="77"/>
    </row>
    <row r="61" spans="1:10" s="1" customFormat="1" ht="15.75" thickBot="1">
      <c r="A61" s="17"/>
      <c r="B61" s="18"/>
      <c r="C61" s="18"/>
      <c r="D61" s="18"/>
      <c r="E61" s="18"/>
      <c r="F61" s="18"/>
      <c r="G61" s="22"/>
      <c r="H61" s="80">
        <f>SUM(H58:H60)</f>
        <v>706.76739042553197</v>
      </c>
      <c r="I61" s="77">
        <f>H61*E60</f>
        <v>132872.26940000002</v>
      </c>
      <c r="J61" s="77"/>
    </row>
    <row r="62" spans="1:10">
      <c r="A62" s="11" t="s">
        <v>40</v>
      </c>
      <c r="B62" s="12" t="s">
        <v>24</v>
      </c>
      <c r="C62" s="12" t="s">
        <v>25</v>
      </c>
      <c r="D62" s="12">
        <v>1</v>
      </c>
      <c r="E62" s="12">
        <v>370</v>
      </c>
      <c r="F62" s="32">
        <f>D62/E62</f>
        <v>2.7027027027027029E-3</v>
      </c>
      <c r="G62" s="13">
        <f>291116.7*0.48</f>
        <v>139736.016</v>
      </c>
      <c r="H62" s="14">
        <f>F62*G62</f>
        <v>377.66490810810814</v>
      </c>
      <c r="I62" s="77">
        <f>H62*E62</f>
        <v>139736.016</v>
      </c>
      <c r="J62" s="77"/>
    </row>
    <row r="63" spans="1:10" s="1" customFormat="1">
      <c r="A63" s="15"/>
      <c r="B63" s="5" t="s">
        <v>27</v>
      </c>
      <c r="C63" s="5"/>
      <c r="D63" s="5">
        <v>37</v>
      </c>
      <c r="E63" s="10">
        <v>370</v>
      </c>
      <c r="F63" s="31">
        <f t="shared" ref="F63:F64" si="24">D63/E63</f>
        <v>0.1</v>
      </c>
      <c r="G63" s="6">
        <v>695.87</v>
      </c>
      <c r="H63" s="16">
        <f>F63*G63</f>
        <v>69.587000000000003</v>
      </c>
      <c r="I63" s="77">
        <f t="shared" ref="I63:I64" si="25">H63*E63</f>
        <v>25747.190000000002</v>
      </c>
      <c r="J63" s="77">
        <f>53640*0.48</f>
        <v>25747.200000000001</v>
      </c>
    </row>
    <row r="64" spans="1:10" s="1" customFormat="1">
      <c r="A64" s="15"/>
      <c r="B64" s="5" t="s">
        <v>30</v>
      </c>
      <c r="C64" s="10" t="s">
        <v>25</v>
      </c>
      <c r="D64" s="5">
        <v>1</v>
      </c>
      <c r="E64" s="10">
        <v>370</v>
      </c>
      <c r="F64" s="31">
        <f t="shared" si="24"/>
        <v>2.7027027027027029E-3</v>
      </c>
      <c r="G64" s="6">
        <f>45000*0.48</f>
        <v>21600</v>
      </c>
      <c r="H64" s="16">
        <f>F64*G64</f>
        <v>58.378378378378379</v>
      </c>
      <c r="I64" s="77">
        <f t="shared" si="25"/>
        <v>21600</v>
      </c>
      <c r="J64" s="77"/>
    </row>
    <row r="65" spans="1:10" s="1" customFormat="1" ht="15.75" thickBot="1">
      <c r="A65" s="17"/>
      <c r="B65" s="18"/>
      <c r="C65" s="18"/>
      <c r="D65" s="18"/>
      <c r="E65" s="18"/>
      <c r="F65" s="18"/>
      <c r="G65" s="22"/>
      <c r="H65" s="80">
        <f>SUM(H62:H64)</f>
        <v>505.63028648648651</v>
      </c>
      <c r="I65" s="77">
        <f>H65*E64</f>
        <v>187083.20600000001</v>
      </c>
      <c r="J65" s="77"/>
    </row>
    <row r="66" spans="1:10">
      <c r="A66" s="11" t="s">
        <v>42</v>
      </c>
      <c r="B66" s="12" t="s">
        <v>24</v>
      </c>
      <c r="C66" s="12" t="s">
        <v>25</v>
      </c>
      <c r="D66" s="12">
        <v>1</v>
      </c>
      <c r="E66" s="12">
        <v>370</v>
      </c>
      <c r="F66" s="32">
        <f>D66/E66</f>
        <v>2.7027027027027029E-3</v>
      </c>
      <c r="G66" s="13">
        <f>338958*0.43</f>
        <v>145751.94</v>
      </c>
      <c r="H66" s="14">
        <f>F66*G66</f>
        <v>393.92416216216219</v>
      </c>
      <c r="I66" s="77">
        <f>H66*E66</f>
        <v>145751.94</v>
      </c>
      <c r="J66" s="77"/>
    </row>
    <row r="67" spans="1:10" s="1" customFormat="1">
      <c r="A67" s="15"/>
      <c r="B67" s="5" t="s">
        <v>27</v>
      </c>
      <c r="C67" s="5"/>
      <c r="D67" s="5">
        <v>53</v>
      </c>
      <c r="E67" s="10">
        <v>370</v>
      </c>
      <c r="F67" s="31">
        <f t="shared" ref="F67:F68" si="26">D67/E67</f>
        <v>0.14324324324324325</v>
      </c>
      <c r="G67" s="6">
        <v>679.95600000000002</v>
      </c>
      <c r="H67" s="16">
        <f>F67*G67</f>
        <v>97.399102702702706</v>
      </c>
      <c r="I67" s="77">
        <f t="shared" ref="I67:I68" si="27">H67*E67</f>
        <v>36037.667999999998</v>
      </c>
      <c r="J67" s="77">
        <f>83804*0.43</f>
        <v>36035.72</v>
      </c>
    </row>
    <row r="68" spans="1:10" s="1" customFormat="1">
      <c r="A68" s="15"/>
      <c r="B68" s="5" t="s">
        <v>30</v>
      </c>
      <c r="C68" s="10" t="s">
        <v>25</v>
      </c>
      <c r="D68" s="5">
        <v>1</v>
      </c>
      <c r="E68" s="10">
        <v>370</v>
      </c>
      <c r="F68" s="31">
        <f t="shared" si="26"/>
        <v>2.7027027027027029E-3</v>
      </c>
      <c r="G68" s="6">
        <f>40000*0.43</f>
        <v>17200</v>
      </c>
      <c r="H68" s="16">
        <f>F68*G68</f>
        <v>46.486486486486491</v>
      </c>
      <c r="I68" s="77">
        <f t="shared" si="27"/>
        <v>17200</v>
      </c>
      <c r="J68" s="77"/>
    </row>
    <row r="69" spans="1:10" s="1" customFormat="1" ht="15.75" thickBot="1">
      <c r="A69" s="17"/>
      <c r="B69" s="18"/>
      <c r="C69" s="18"/>
      <c r="D69" s="18"/>
      <c r="E69" s="18"/>
      <c r="F69" s="18"/>
      <c r="G69" s="22"/>
      <c r="H69" s="80">
        <f>SUM(H66:H68)</f>
        <v>537.80975135135134</v>
      </c>
      <c r="I69" s="77">
        <f>H69*E68</f>
        <v>198989.60800000001</v>
      </c>
      <c r="J69" s="77"/>
    </row>
    <row r="70" spans="1:10">
      <c r="A70" s="11" t="s">
        <v>43</v>
      </c>
      <c r="B70" s="12" t="s">
        <v>24</v>
      </c>
      <c r="C70" s="12" t="s">
        <v>25</v>
      </c>
      <c r="D70" s="12">
        <v>1</v>
      </c>
      <c r="E70" s="12">
        <v>244</v>
      </c>
      <c r="F70" s="32">
        <f>D70/E70</f>
        <v>4.0983606557377051E-3</v>
      </c>
      <c r="G70" s="13">
        <f>224832.72*0.44</f>
        <v>98926.396800000002</v>
      </c>
      <c r="H70" s="14">
        <f>F70*G70</f>
        <v>405.43605245901642</v>
      </c>
      <c r="I70" s="77">
        <f>H70*E70</f>
        <v>98926.396800000002</v>
      </c>
      <c r="J70" s="77"/>
    </row>
    <row r="71" spans="1:10" s="1" customFormat="1">
      <c r="A71" s="15"/>
      <c r="B71" s="5" t="s">
        <v>27</v>
      </c>
      <c r="C71" s="5"/>
      <c r="D71" s="5">
        <v>53</v>
      </c>
      <c r="E71" s="10">
        <v>244</v>
      </c>
      <c r="F71" s="31">
        <f t="shared" ref="F71:F72" si="28">D71/E71</f>
        <v>0.21721311475409835</v>
      </c>
      <c r="G71" s="6">
        <v>686.65</v>
      </c>
      <c r="H71" s="16">
        <f>F71*G71</f>
        <v>149.14938524590164</v>
      </c>
      <c r="I71" s="77">
        <f t="shared" ref="I71:I72" si="29">H71*E71</f>
        <v>36392.449999999997</v>
      </c>
      <c r="J71" s="77">
        <f>82710*0.44</f>
        <v>36392.400000000001</v>
      </c>
    </row>
    <row r="72" spans="1:10" s="1" customFormat="1">
      <c r="A72" s="15"/>
      <c r="B72" s="5" t="s">
        <v>30</v>
      </c>
      <c r="C72" s="10" t="s">
        <v>25</v>
      </c>
      <c r="D72" s="5">
        <v>1</v>
      </c>
      <c r="E72" s="10">
        <v>244</v>
      </c>
      <c r="F72" s="31">
        <f t="shared" si="28"/>
        <v>4.0983606557377051E-3</v>
      </c>
      <c r="G72" s="6">
        <f>40000*0.44</f>
        <v>17600</v>
      </c>
      <c r="H72" s="16">
        <f>F72*G72</f>
        <v>72.131147540983605</v>
      </c>
      <c r="I72" s="77">
        <f t="shared" si="29"/>
        <v>17600</v>
      </c>
      <c r="J72" s="77"/>
    </row>
    <row r="73" spans="1:10" s="1" customFormat="1" ht="15.75" thickBot="1">
      <c r="A73" s="17"/>
      <c r="B73" s="18"/>
      <c r="C73" s="18"/>
      <c r="D73" s="18"/>
      <c r="E73" s="18"/>
      <c r="F73" s="18"/>
      <c r="G73" s="22"/>
      <c r="H73" s="80">
        <f>SUM(H70:H72)</f>
        <v>626.71658524590168</v>
      </c>
      <c r="I73" s="77">
        <f>H73*E72</f>
        <v>152918.8468</v>
      </c>
      <c r="J73" s="77"/>
    </row>
    <row r="74" spans="1:10" ht="15.75" thickBot="1"/>
    <row r="75" spans="1:10">
      <c r="A75" s="11" t="s">
        <v>41</v>
      </c>
      <c r="B75" s="12" t="s">
        <v>24</v>
      </c>
      <c r="C75" s="12" t="s">
        <v>25</v>
      </c>
      <c r="D75" s="12">
        <v>1</v>
      </c>
      <c r="E75" s="12">
        <v>433</v>
      </c>
      <c r="F75" s="32">
        <f>D75/E75</f>
        <v>2.3094688221709007E-3</v>
      </c>
      <c r="G75" s="13">
        <f>365112.33*0.48</f>
        <v>175253.9184</v>
      </c>
      <c r="H75" s="14">
        <f>F75*G75</f>
        <v>404.7434605080831</v>
      </c>
      <c r="I75" s="77">
        <f>H75*E75</f>
        <v>175253.9184</v>
      </c>
      <c r="J75" s="77"/>
    </row>
    <row r="76" spans="1:10" s="1" customFormat="1">
      <c r="A76" s="15"/>
      <c r="B76" s="5" t="s">
        <v>27</v>
      </c>
      <c r="C76" s="5"/>
      <c r="D76" s="5">
        <v>45</v>
      </c>
      <c r="E76" s="10">
        <v>433</v>
      </c>
      <c r="F76" s="31">
        <f t="shared" ref="F76:F77" si="30">D76/E76</f>
        <v>0.10392609699769054</v>
      </c>
      <c r="G76" s="6">
        <v>675.178</v>
      </c>
      <c r="H76" s="16">
        <f>F76*G76</f>
        <v>70.168614318706702</v>
      </c>
      <c r="I76" s="77">
        <f t="shared" ref="I76:I77" si="31">H76*E76</f>
        <v>30383.010000000002</v>
      </c>
      <c r="J76" s="77">
        <f>63298*0.48</f>
        <v>30383.039999999997</v>
      </c>
    </row>
    <row r="77" spans="1:10" s="1" customFormat="1">
      <c r="A77" s="15"/>
      <c r="B77" s="5" t="s">
        <v>30</v>
      </c>
      <c r="C77" s="10" t="s">
        <v>25</v>
      </c>
      <c r="D77" s="5">
        <v>1</v>
      </c>
      <c r="E77" s="10">
        <v>433</v>
      </c>
      <c r="F77" s="31">
        <f t="shared" si="30"/>
        <v>2.3094688221709007E-3</v>
      </c>
      <c r="G77" s="6">
        <f>70000*0.48</f>
        <v>33600</v>
      </c>
      <c r="H77" s="16">
        <f>F77*G77</f>
        <v>77.598152424942256</v>
      </c>
      <c r="I77" s="77">
        <f t="shared" si="31"/>
        <v>33600</v>
      </c>
      <c r="J77" s="77"/>
    </row>
    <row r="78" spans="1:10" s="1" customFormat="1" ht="15.75" thickBot="1">
      <c r="A78" s="17"/>
      <c r="B78" s="18"/>
      <c r="C78" s="18"/>
      <c r="D78" s="18"/>
      <c r="E78" s="18"/>
      <c r="F78" s="18"/>
      <c r="G78" s="22"/>
      <c r="H78" s="80">
        <f>SUM(H75:H77)</f>
        <v>552.51022725173209</v>
      </c>
      <c r="I78" s="77">
        <f>H78*E77</f>
        <v>239236.9284</v>
      </c>
      <c r="J78" s="77"/>
    </row>
    <row r="79" spans="1:10" ht="15.75" thickBot="1"/>
    <row r="80" spans="1:10">
      <c r="A80" s="11" t="s">
        <v>39</v>
      </c>
      <c r="B80" s="12" t="s">
        <v>24</v>
      </c>
      <c r="C80" s="12" t="s">
        <v>25</v>
      </c>
      <c r="D80" s="12">
        <v>1</v>
      </c>
      <c r="E80" s="12">
        <v>103</v>
      </c>
      <c r="F80" s="32">
        <f>D80/E80</f>
        <v>9.7087378640776691E-3</v>
      </c>
      <c r="G80" s="13">
        <f>77000*0.45</f>
        <v>34650</v>
      </c>
      <c r="H80" s="14">
        <f>F80*G80</f>
        <v>336.40776699029124</v>
      </c>
      <c r="I80" s="77">
        <f>H80*E80</f>
        <v>34650</v>
      </c>
      <c r="J80" s="77"/>
    </row>
    <row r="81" spans="1:20" s="1" customFormat="1">
      <c r="A81" s="15"/>
      <c r="B81" s="5" t="s">
        <v>27</v>
      </c>
      <c r="C81" s="5"/>
      <c r="D81" s="5">
        <v>8</v>
      </c>
      <c r="E81" s="10">
        <v>103</v>
      </c>
      <c r="F81" s="31">
        <f t="shared" ref="F81:F82" si="32">D81/E81</f>
        <v>7.7669902912621352E-2</v>
      </c>
      <c r="G81" s="6">
        <v>630</v>
      </c>
      <c r="H81" s="16">
        <f>F81*G81</f>
        <v>48.932038834951449</v>
      </c>
      <c r="I81" s="77">
        <f t="shared" ref="I81:I82" si="33">H81*E81</f>
        <v>5039.9999999999991</v>
      </c>
      <c r="J81" s="77">
        <f>11200*0.45</f>
        <v>5040</v>
      </c>
    </row>
    <row r="82" spans="1:20" s="1" customFormat="1">
      <c r="A82" s="15"/>
      <c r="B82" s="5" t="s">
        <v>30</v>
      </c>
      <c r="C82" s="10" t="s">
        <v>25</v>
      </c>
      <c r="D82" s="5">
        <v>1</v>
      </c>
      <c r="E82" s="10">
        <v>103</v>
      </c>
      <c r="F82" s="31">
        <f t="shared" si="32"/>
        <v>9.7087378640776691E-3</v>
      </c>
      <c r="G82" s="6">
        <f>20000*0.45</f>
        <v>9000</v>
      </c>
      <c r="H82" s="16">
        <f>F82*G82</f>
        <v>87.378640776699015</v>
      </c>
      <c r="I82" s="77">
        <f t="shared" si="33"/>
        <v>8999.9999999999982</v>
      </c>
      <c r="J82" s="77"/>
    </row>
    <row r="83" spans="1:20" s="1" customFormat="1" ht="15.75" thickBot="1">
      <c r="A83" s="17"/>
      <c r="B83" s="18"/>
      <c r="C83" s="18"/>
      <c r="D83" s="18"/>
      <c r="E83" s="18"/>
      <c r="F83" s="18"/>
      <c r="G83" s="22"/>
      <c r="H83" s="80">
        <f>SUM(H80:H82)</f>
        <v>472.71844660194171</v>
      </c>
      <c r="I83" s="77">
        <f>H83*E82</f>
        <v>48689.999999999993</v>
      </c>
      <c r="J83" s="77"/>
    </row>
    <row r="84" spans="1:20">
      <c r="A84" s="11" t="s">
        <v>44</v>
      </c>
      <c r="B84" s="12" t="s">
        <v>24</v>
      </c>
      <c r="C84" s="12" t="s">
        <v>25</v>
      </c>
      <c r="D84" s="12">
        <v>1</v>
      </c>
      <c r="E84" s="12">
        <v>115</v>
      </c>
      <c r="F84" s="32">
        <f>D84/E84</f>
        <v>8.6956521739130436E-3</v>
      </c>
      <c r="G84" s="13">
        <f>117103.5*0.48</f>
        <v>56209.68</v>
      </c>
      <c r="H84" s="14">
        <f>F84*G84</f>
        <v>488.77982608695652</v>
      </c>
      <c r="I84" s="77">
        <f>H84*E84</f>
        <v>56209.68</v>
      </c>
      <c r="J84" s="77"/>
    </row>
    <row r="85" spans="1:20" s="1" customFormat="1">
      <c r="A85" s="15"/>
      <c r="B85" s="5" t="s">
        <v>27</v>
      </c>
      <c r="C85" s="5"/>
      <c r="D85" s="5">
        <v>5</v>
      </c>
      <c r="E85" s="10">
        <v>115</v>
      </c>
      <c r="F85" s="31">
        <f t="shared" ref="F85:F86" si="34">D85/E85</f>
        <v>4.3478260869565216E-2</v>
      </c>
      <c r="G85" s="6">
        <v>604.78</v>
      </c>
      <c r="H85" s="16">
        <f>F85*G85</f>
        <v>26.294782608695652</v>
      </c>
      <c r="I85" s="77">
        <f t="shared" ref="I85:I86" si="35">H85*E85</f>
        <v>3023.9</v>
      </c>
      <c r="J85" s="77">
        <f>6300*0.48</f>
        <v>3024</v>
      </c>
    </row>
    <row r="86" spans="1:20" s="1" customFormat="1">
      <c r="A86" s="15"/>
      <c r="B86" s="5" t="s">
        <v>30</v>
      </c>
      <c r="C86" s="10" t="s">
        <v>25</v>
      </c>
      <c r="D86" s="5">
        <v>1</v>
      </c>
      <c r="E86" s="10">
        <v>115</v>
      </c>
      <c r="F86" s="31">
        <f t="shared" si="34"/>
        <v>8.6956521739130436E-3</v>
      </c>
      <c r="G86" s="6">
        <f>23000*0.48</f>
        <v>11040</v>
      </c>
      <c r="H86" s="16">
        <f>F86*G86</f>
        <v>96</v>
      </c>
      <c r="I86" s="77">
        <f t="shared" si="35"/>
        <v>11040</v>
      </c>
      <c r="J86" s="77"/>
    </row>
    <row r="87" spans="1:20" s="1" customFormat="1" ht="15.75" thickBot="1">
      <c r="A87" s="17"/>
      <c r="B87" s="18"/>
      <c r="C87" s="18"/>
      <c r="D87" s="18"/>
      <c r="E87" s="18"/>
      <c r="F87" s="18"/>
      <c r="G87" s="22"/>
      <c r="H87" s="80">
        <f>SUM(H84:H86)</f>
        <v>611.07460869565216</v>
      </c>
      <c r="I87" s="77">
        <f>H87*E86</f>
        <v>70273.58</v>
      </c>
      <c r="J87" s="77"/>
    </row>
    <row r="89" spans="1:20" ht="18.75">
      <c r="A89" s="33" t="s">
        <v>46</v>
      </c>
      <c r="H89"/>
      <c r="S89" s="1"/>
      <c r="T89" s="1"/>
    </row>
    <row r="90" spans="1:20" ht="15.75" thickBot="1">
      <c r="G90" s="58" t="s">
        <v>32</v>
      </c>
    </row>
    <row r="91" spans="1:20" ht="45">
      <c r="A91" s="23" t="s">
        <v>3</v>
      </c>
      <c r="B91" s="24" t="s">
        <v>22</v>
      </c>
      <c r="C91" s="24" t="s">
        <v>18</v>
      </c>
      <c r="D91" s="24" t="s">
        <v>23</v>
      </c>
      <c r="E91" s="24" t="s">
        <v>58</v>
      </c>
      <c r="F91" s="24" t="s">
        <v>59</v>
      </c>
      <c r="G91" s="24" t="s">
        <v>26</v>
      </c>
      <c r="H91" s="25" t="s">
        <v>10</v>
      </c>
      <c r="I91" s="2"/>
      <c r="J91" s="2"/>
      <c r="K91" s="2"/>
    </row>
    <row r="92" spans="1:20" ht="15.75" thickBot="1">
      <c r="A92" s="26">
        <v>1</v>
      </c>
      <c r="B92" s="27">
        <v>2</v>
      </c>
      <c r="C92" s="27">
        <v>3</v>
      </c>
      <c r="D92" s="27">
        <v>4</v>
      </c>
      <c r="E92" s="27">
        <v>5</v>
      </c>
      <c r="F92" s="27" t="s">
        <v>17</v>
      </c>
      <c r="G92" s="28">
        <v>8</v>
      </c>
      <c r="H92" s="29" t="s">
        <v>19</v>
      </c>
    </row>
    <row r="93" spans="1:20">
      <c r="A93" s="11" t="s">
        <v>36</v>
      </c>
      <c r="B93" s="12" t="s">
        <v>24</v>
      </c>
      <c r="C93" s="12" t="s">
        <v>25</v>
      </c>
      <c r="D93" s="12">
        <v>1</v>
      </c>
      <c r="E93" s="12">
        <v>61</v>
      </c>
      <c r="F93" s="32">
        <f>D93/E93</f>
        <v>1.6393442622950821E-2</v>
      </c>
      <c r="G93" s="13">
        <f>219814.02*0.14</f>
        <v>30773.962800000001</v>
      </c>
      <c r="H93" s="14">
        <f>F93*G93</f>
        <v>504.491193442623</v>
      </c>
      <c r="I93" s="77">
        <f>H93*E93</f>
        <v>30773.962800000005</v>
      </c>
      <c r="J93" s="77"/>
    </row>
    <row r="94" spans="1:20" s="1" customFormat="1">
      <c r="A94" s="15"/>
      <c r="B94" s="5" t="s">
        <v>27</v>
      </c>
      <c r="C94" s="5"/>
      <c r="D94" s="5">
        <v>5</v>
      </c>
      <c r="E94" s="10">
        <v>61</v>
      </c>
      <c r="F94" s="31">
        <f t="shared" ref="F94:F95" si="36">D94/E94</f>
        <v>8.1967213114754092E-2</v>
      </c>
      <c r="G94" s="6">
        <f>658.55</f>
        <v>658.55</v>
      </c>
      <c r="H94" s="16">
        <f>F94*G94</f>
        <v>53.979508196721305</v>
      </c>
      <c r="I94" s="77">
        <f t="shared" ref="I94:I95" si="37">H94*E94</f>
        <v>3292.7499999999995</v>
      </c>
      <c r="J94" s="77">
        <f>(13200+10320)*0.14</f>
        <v>3292.8</v>
      </c>
    </row>
    <row r="95" spans="1:20" s="1" customFormat="1">
      <c r="A95" s="15"/>
      <c r="B95" s="5" t="s">
        <v>30</v>
      </c>
      <c r="C95" s="10" t="s">
        <v>25</v>
      </c>
      <c r="D95" s="5">
        <v>1</v>
      </c>
      <c r="E95" s="10">
        <v>61</v>
      </c>
      <c r="F95" s="31">
        <f t="shared" si="36"/>
        <v>1.6393442622950821E-2</v>
      </c>
      <c r="G95" s="6">
        <f>(15000+12000)*0.14</f>
        <v>3780.0000000000005</v>
      </c>
      <c r="H95" s="16">
        <f>F95*G95</f>
        <v>61.967213114754109</v>
      </c>
      <c r="I95" s="77">
        <f t="shared" si="37"/>
        <v>3780.0000000000005</v>
      </c>
      <c r="J95" s="77"/>
    </row>
    <row r="96" spans="1:20" s="1" customFormat="1" ht="15.75" thickBot="1">
      <c r="A96" s="17"/>
      <c r="B96" s="18"/>
      <c r="C96" s="18"/>
      <c r="D96" s="18"/>
      <c r="E96" s="18"/>
      <c r="F96" s="18"/>
      <c r="G96" s="22"/>
      <c r="H96" s="80">
        <f>SUM(H93:H95)</f>
        <v>620.43791475409841</v>
      </c>
      <c r="I96" s="77">
        <f>H96*E95</f>
        <v>37846.712800000001</v>
      </c>
      <c r="J96" s="77"/>
    </row>
    <row r="97" spans="1:10">
      <c r="A97" s="11" t="s">
        <v>37</v>
      </c>
      <c r="B97" s="12" t="s">
        <v>24</v>
      </c>
      <c r="C97" s="12" t="s">
        <v>25</v>
      </c>
      <c r="D97" s="12">
        <v>1</v>
      </c>
      <c r="E97" s="12">
        <v>34</v>
      </c>
      <c r="F97" s="32">
        <f>D97/E97</f>
        <v>2.9411764705882353E-2</v>
      </c>
      <c r="G97" s="13">
        <f>253768.08*0.06</f>
        <v>15226.084799999999</v>
      </c>
      <c r="H97" s="14">
        <f>F97*G97</f>
        <v>447.82602352941171</v>
      </c>
      <c r="I97" s="77">
        <f>H97*E97</f>
        <v>15226.084799999999</v>
      </c>
      <c r="J97" s="77"/>
    </row>
    <row r="98" spans="1:10" s="1" customFormat="1">
      <c r="A98" s="15"/>
      <c r="B98" s="5" t="s">
        <v>27</v>
      </c>
      <c r="C98" s="5"/>
      <c r="D98" s="5">
        <v>3</v>
      </c>
      <c r="E98" s="10">
        <v>34</v>
      </c>
      <c r="F98" s="31">
        <f t="shared" ref="F98:F99" si="38">D98/E98</f>
        <v>8.8235294117647065E-2</v>
      </c>
      <c r="G98" s="6">
        <v>684</v>
      </c>
      <c r="H98" s="16">
        <f>F98*G98</f>
        <v>60.352941176470594</v>
      </c>
      <c r="I98" s="77">
        <f t="shared" ref="I98:I99" si="39">H98*E98</f>
        <v>2052</v>
      </c>
      <c r="J98" s="77">
        <f>(18000+16200)*0.06</f>
        <v>2052</v>
      </c>
    </row>
    <row r="99" spans="1:10" s="1" customFormat="1">
      <c r="A99" s="15"/>
      <c r="B99" s="5" t="s">
        <v>30</v>
      </c>
      <c r="C99" s="10" t="s">
        <v>25</v>
      </c>
      <c r="D99" s="5">
        <v>1</v>
      </c>
      <c r="E99" s="10">
        <v>34</v>
      </c>
      <c r="F99" s="31">
        <f t="shared" si="38"/>
        <v>2.9411764705882353E-2</v>
      </c>
      <c r="G99" s="6">
        <f>35000*0.06</f>
        <v>2100</v>
      </c>
      <c r="H99" s="16">
        <f>F99*G99</f>
        <v>61.764705882352942</v>
      </c>
      <c r="I99" s="77">
        <f t="shared" si="39"/>
        <v>2100</v>
      </c>
      <c r="J99" s="77"/>
    </row>
    <row r="100" spans="1:10" s="1" customFormat="1" ht="15.75" thickBot="1">
      <c r="A100" s="17"/>
      <c r="B100" s="18"/>
      <c r="C100" s="18"/>
      <c r="D100" s="18"/>
      <c r="E100" s="18"/>
      <c r="F100" s="18"/>
      <c r="G100" s="22"/>
      <c r="H100" s="80">
        <f>SUM(H97:H99)</f>
        <v>569.94367058823525</v>
      </c>
      <c r="I100" s="77">
        <f>H100*E99</f>
        <v>19378.084799999997</v>
      </c>
      <c r="J100" s="77"/>
    </row>
    <row r="101" spans="1:10">
      <c r="A101" s="11" t="s">
        <v>38</v>
      </c>
      <c r="B101" s="12" t="s">
        <v>24</v>
      </c>
      <c r="C101" s="12" t="s">
        <v>25</v>
      </c>
      <c r="D101" s="12">
        <v>1</v>
      </c>
      <c r="E101" s="12">
        <v>35</v>
      </c>
      <c r="F101" s="32">
        <f>D101/E101</f>
        <v>2.8571428571428571E-2</v>
      </c>
      <c r="G101" s="13">
        <f>225301.96*0.09</f>
        <v>20277.1764</v>
      </c>
      <c r="H101" s="14">
        <f>F101*G101</f>
        <v>579.34789714285716</v>
      </c>
      <c r="I101" s="77">
        <f>H101*E101</f>
        <v>20277.1764</v>
      </c>
      <c r="J101" s="77"/>
    </row>
    <row r="102" spans="1:10" s="1" customFormat="1">
      <c r="A102" s="15"/>
      <c r="B102" s="5" t="s">
        <v>27</v>
      </c>
      <c r="C102" s="5"/>
      <c r="D102" s="5">
        <v>3</v>
      </c>
      <c r="E102" s="10">
        <v>35</v>
      </c>
      <c r="F102" s="31">
        <f t="shared" ref="F102:F103" si="40">D102/E102</f>
        <v>8.5714285714285715E-2</v>
      </c>
      <c r="G102" s="6">
        <v>685.97</v>
      </c>
      <c r="H102" s="16">
        <f>F102*G102</f>
        <v>58.797428571428576</v>
      </c>
      <c r="I102" s="77">
        <f t="shared" ref="I102:I103" si="41">H102*E102</f>
        <v>2057.9100000000003</v>
      </c>
      <c r="J102" s="77">
        <f>(7000+15866)*0.09</f>
        <v>2057.94</v>
      </c>
    </row>
    <row r="103" spans="1:10" s="1" customFormat="1">
      <c r="A103" s="15"/>
      <c r="B103" s="5" t="s">
        <v>30</v>
      </c>
      <c r="C103" s="10" t="s">
        <v>25</v>
      </c>
      <c r="D103" s="5">
        <v>1</v>
      </c>
      <c r="E103" s="10">
        <v>35</v>
      </c>
      <c r="F103" s="31">
        <f t="shared" si="40"/>
        <v>2.8571428571428571E-2</v>
      </c>
      <c r="G103" s="6">
        <f>23000*0.09</f>
        <v>2070</v>
      </c>
      <c r="H103" s="16">
        <f>F103*G103</f>
        <v>59.142857142857139</v>
      </c>
      <c r="I103" s="77">
        <f t="shared" si="41"/>
        <v>2070</v>
      </c>
      <c r="J103" s="77"/>
    </row>
    <row r="104" spans="1:10" s="1" customFormat="1" ht="15.75" thickBot="1">
      <c r="A104" s="17"/>
      <c r="B104" s="18"/>
      <c r="C104" s="18"/>
      <c r="D104" s="18"/>
      <c r="E104" s="18"/>
      <c r="F104" s="18"/>
      <c r="G104" s="22"/>
      <c r="H104" s="80">
        <f>SUM(H101:H103)</f>
        <v>697.28818285714283</v>
      </c>
      <c r="I104" s="77">
        <f>H104*E103</f>
        <v>24405.0864</v>
      </c>
      <c r="J104" s="77"/>
    </row>
    <row r="105" spans="1:10">
      <c r="A105" s="11" t="s">
        <v>40</v>
      </c>
      <c r="B105" s="12" t="s">
        <v>24</v>
      </c>
      <c r="C105" s="12" t="s">
        <v>25</v>
      </c>
      <c r="D105" s="12">
        <v>1</v>
      </c>
      <c r="E105" s="12">
        <v>60</v>
      </c>
      <c r="F105" s="32">
        <f>D105/E105</f>
        <v>1.6666666666666666E-2</v>
      </c>
      <c r="G105" s="13">
        <f>291116.7*0.08</f>
        <v>23289.336000000003</v>
      </c>
      <c r="H105" s="14">
        <f>F105*G105</f>
        <v>388.15560000000005</v>
      </c>
      <c r="I105" s="77">
        <f>H105*E105</f>
        <v>23289.336000000003</v>
      </c>
      <c r="J105" s="77"/>
    </row>
    <row r="106" spans="1:10" s="1" customFormat="1">
      <c r="A106" s="15"/>
      <c r="B106" s="5" t="s">
        <v>27</v>
      </c>
      <c r="C106" s="5"/>
      <c r="D106" s="5">
        <v>7</v>
      </c>
      <c r="E106" s="10">
        <v>60</v>
      </c>
      <c r="F106" s="31">
        <f t="shared" ref="F106:F107" si="42">D106/E106</f>
        <v>0.11666666666666667</v>
      </c>
      <c r="G106" s="6">
        <v>613.03</v>
      </c>
      <c r="H106" s="16">
        <f>F106*G106</f>
        <v>71.520166666666668</v>
      </c>
      <c r="I106" s="77">
        <f t="shared" ref="I106:I107" si="43">H106*E106</f>
        <v>4291.21</v>
      </c>
      <c r="J106" s="77">
        <f>53640*0.08</f>
        <v>4291.2</v>
      </c>
    </row>
    <row r="107" spans="1:10" s="1" customFormat="1">
      <c r="A107" s="15"/>
      <c r="B107" s="5" t="s">
        <v>30</v>
      </c>
      <c r="C107" s="10" t="s">
        <v>25</v>
      </c>
      <c r="D107" s="5">
        <v>1</v>
      </c>
      <c r="E107" s="10">
        <v>60</v>
      </c>
      <c r="F107" s="31">
        <f t="shared" si="42"/>
        <v>1.6666666666666666E-2</v>
      </c>
      <c r="G107" s="6">
        <f>45000*0.08</f>
        <v>3600</v>
      </c>
      <c r="H107" s="16">
        <f>F107*G107</f>
        <v>60</v>
      </c>
      <c r="I107" s="77">
        <f t="shared" si="43"/>
        <v>3600</v>
      </c>
      <c r="J107" s="77"/>
    </row>
    <row r="108" spans="1:10" s="1" customFormat="1" ht="15.75" thickBot="1">
      <c r="A108" s="17"/>
      <c r="B108" s="18"/>
      <c r="C108" s="18"/>
      <c r="D108" s="18"/>
      <c r="E108" s="18"/>
      <c r="F108" s="18"/>
      <c r="G108" s="22"/>
      <c r="H108" s="80">
        <f>SUM(H105:H107)</f>
        <v>519.67576666666673</v>
      </c>
      <c r="I108" s="77">
        <f>H108*E107</f>
        <v>31180.546000000002</v>
      </c>
      <c r="J108" s="77"/>
    </row>
    <row r="109" spans="1:10">
      <c r="A109" s="11" t="s">
        <v>42</v>
      </c>
      <c r="B109" s="12" t="s">
        <v>24</v>
      </c>
      <c r="C109" s="12" t="s">
        <v>25</v>
      </c>
      <c r="D109" s="12">
        <v>1</v>
      </c>
      <c r="E109" s="12">
        <v>92</v>
      </c>
      <c r="F109" s="32">
        <f>D109/E109</f>
        <v>1.0869565217391304E-2</v>
      </c>
      <c r="G109" s="13">
        <f>338958*0.11</f>
        <v>37285.379999999997</v>
      </c>
      <c r="H109" s="14">
        <f>F109*G109</f>
        <v>405.27586956521736</v>
      </c>
      <c r="I109" s="77">
        <f>H109*E109</f>
        <v>37285.379999999997</v>
      </c>
      <c r="J109" s="77"/>
    </row>
    <row r="110" spans="1:10" s="1" customFormat="1">
      <c r="A110" s="15"/>
      <c r="B110" s="5" t="s">
        <v>27</v>
      </c>
      <c r="C110" s="5"/>
      <c r="D110" s="5">
        <v>14</v>
      </c>
      <c r="E110" s="10">
        <v>92</v>
      </c>
      <c r="F110" s="31">
        <f t="shared" ref="F110:F111" si="44">D110/E110</f>
        <v>0.15217391304347827</v>
      </c>
      <c r="G110" s="6">
        <v>658.4</v>
      </c>
      <c r="H110" s="16">
        <f>F110*G110</f>
        <v>100.19130434782609</v>
      </c>
      <c r="I110" s="77">
        <f t="shared" ref="I110:I111" si="45">H110*E110</f>
        <v>9217.6</v>
      </c>
      <c r="J110" s="77">
        <f>83804*0.11</f>
        <v>9218.44</v>
      </c>
    </row>
    <row r="111" spans="1:10" s="1" customFormat="1">
      <c r="A111" s="15"/>
      <c r="B111" s="5" t="s">
        <v>30</v>
      </c>
      <c r="C111" s="10" t="s">
        <v>25</v>
      </c>
      <c r="D111" s="5">
        <v>1</v>
      </c>
      <c r="E111" s="10">
        <v>92</v>
      </c>
      <c r="F111" s="31">
        <f t="shared" si="44"/>
        <v>1.0869565217391304E-2</v>
      </c>
      <c r="G111" s="6">
        <f>40000*0.11</f>
        <v>4400</v>
      </c>
      <c r="H111" s="16">
        <f>F111*G111</f>
        <v>47.826086956521735</v>
      </c>
      <c r="I111" s="77">
        <f t="shared" si="45"/>
        <v>4400</v>
      </c>
      <c r="J111" s="77"/>
    </row>
    <row r="112" spans="1:10" s="1" customFormat="1" ht="15.75" thickBot="1">
      <c r="A112" s="17"/>
      <c r="B112" s="18"/>
      <c r="C112" s="18"/>
      <c r="D112" s="18"/>
      <c r="E112" s="18"/>
      <c r="F112" s="18"/>
      <c r="G112" s="22"/>
      <c r="H112" s="80">
        <f>SUM(H109:H111)</f>
        <v>553.29326086956519</v>
      </c>
      <c r="I112" s="77">
        <f>H112*E111</f>
        <v>50902.979999999996</v>
      </c>
      <c r="J112" s="77"/>
    </row>
    <row r="113" spans="1:10">
      <c r="A113" s="11" t="s">
        <v>43</v>
      </c>
      <c r="B113" s="12" t="s">
        <v>24</v>
      </c>
      <c r="C113" s="12" t="s">
        <v>25</v>
      </c>
      <c r="D113" s="12">
        <v>1</v>
      </c>
      <c r="E113" s="12">
        <v>40</v>
      </c>
      <c r="F113" s="32">
        <f>D113/E113</f>
        <v>2.5000000000000001E-2</v>
      </c>
      <c r="G113" s="13">
        <f>224832.72*0.08</f>
        <v>17986.617600000001</v>
      </c>
      <c r="H113" s="14">
        <f>F113*G113</f>
        <v>449.66544000000005</v>
      </c>
      <c r="I113" s="77">
        <f>H113*E113</f>
        <v>17986.617600000001</v>
      </c>
      <c r="J113" s="77"/>
    </row>
    <row r="114" spans="1:10" s="1" customFormat="1">
      <c r="A114" s="15"/>
      <c r="B114" s="5" t="s">
        <v>27</v>
      </c>
      <c r="C114" s="5"/>
      <c r="D114" s="5">
        <v>10</v>
      </c>
      <c r="E114" s="10">
        <v>40</v>
      </c>
      <c r="F114" s="31">
        <f t="shared" ref="F114:F115" si="46">D114/E114</f>
        <v>0.25</v>
      </c>
      <c r="G114" s="6">
        <v>661.68</v>
      </c>
      <c r="H114" s="16">
        <f>F114*G114</f>
        <v>165.42</v>
      </c>
      <c r="I114" s="77">
        <f t="shared" ref="I114:I115" si="47">H114*E114</f>
        <v>6616.7999999999993</v>
      </c>
      <c r="J114" s="77">
        <f>82710*0.08</f>
        <v>6616.8</v>
      </c>
    </row>
    <row r="115" spans="1:10" s="1" customFormat="1">
      <c r="A115" s="15"/>
      <c r="B115" s="5" t="s">
        <v>30</v>
      </c>
      <c r="C115" s="10" t="s">
        <v>25</v>
      </c>
      <c r="D115" s="5">
        <v>1</v>
      </c>
      <c r="E115" s="10">
        <v>40</v>
      </c>
      <c r="F115" s="31">
        <f t="shared" si="46"/>
        <v>2.5000000000000001E-2</v>
      </c>
      <c r="G115" s="6">
        <f>40000*0.08</f>
        <v>3200</v>
      </c>
      <c r="H115" s="16">
        <f>F115*G115</f>
        <v>80</v>
      </c>
      <c r="I115" s="77">
        <f t="shared" si="47"/>
        <v>3200</v>
      </c>
      <c r="J115" s="77"/>
    </row>
    <row r="116" spans="1:10" s="1" customFormat="1" ht="15.75" thickBot="1">
      <c r="A116" s="17"/>
      <c r="B116" s="18"/>
      <c r="C116" s="18"/>
      <c r="D116" s="18"/>
      <c r="E116" s="18"/>
      <c r="F116" s="18"/>
      <c r="G116" s="22"/>
      <c r="H116" s="80">
        <f>SUM(H113:H115)</f>
        <v>695.08544000000006</v>
      </c>
      <c r="I116" s="77">
        <f>H116*E115</f>
        <v>27803.417600000001</v>
      </c>
      <c r="J116" s="77"/>
    </row>
    <row r="117" spans="1:10" ht="15.75" thickBot="1"/>
    <row r="118" spans="1:10">
      <c r="A118" s="11" t="s">
        <v>41</v>
      </c>
      <c r="B118" s="12" t="s">
        <v>24</v>
      </c>
      <c r="C118" s="12" t="s">
        <v>25</v>
      </c>
      <c r="D118" s="12">
        <v>1</v>
      </c>
      <c r="E118" s="12">
        <v>114</v>
      </c>
      <c r="F118" s="32">
        <f>D118/E118</f>
        <v>8.771929824561403E-3</v>
      </c>
      <c r="G118" s="13">
        <f>365112.33*0.13</f>
        <v>47464.602900000005</v>
      </c>
      <c r="H118" s="14">
        <f>F118*G118</f>
        <v>416.35616578947372</v>
      </c>
      <c r="I118" s="77">
        <f>H118*E118</f>
        <v>47464.602900000005</v>
      </c>
      <c r="J118" s="77"/>
    </row>
    <row r="119" spans="1:10" s="1" customFormat="1">
      <c r="A119" s="15"/>
      <c r="B119" s="5" t="s">
        <v>27</v>
      </c>
      <c r="C119" s="5"/>
      <c r="D119" s="5">
        <v>12</v>
      </c>
      <c r="E119" s="10">
        <v>114</v>
      </c>
      <c r="F119" s="31">
        <f t="shared" ref="F119:F120" si="48">D119/E119</f>
        <v>0.10526315789473684</v>
      </c>
      <c r="G119" s="6">
        <v>685.72500000000002</v>
      </c>
      <c r="H119" s="16">
        <f>F119*G119</f>
        <v>72.181578947368422</v>
      </c>
      <c r="I119" s="77">
        <f t="shared" ref="I119:I120" si="49">H119*E119</f>
        <v>8228.7000000000007</v>
      </c>
      <c r="J119" s="77">
        <f>63298*0.13</f>
        <v>8228.74</v>
      </c>
    </row>
    <row r="120" spans="1:10" s="1" customFormat="1">
      <c r="A120" s="15"/>
      <c r="B120" s="5" t="s">
        <v>30</v>
      </c>
      <c r="C120" s="10" t="s">
        <v>25</v>
      </c>
      <c r="D120" s="5">
        <v>1</v>
      </c>
      <c r="E120" s="10">
        <v>114</v>
      </c>
      <c r="F120" s="31">
        <f t="shared" si="48"/>
        <v>8.771929824561403E-3</v>
      </c>
      <c r="G120" s="6">
        <f>70000*0.13</f>
        <v>9100</v>
      </c>
      <c r="H120" s="16">
        <f>F120*G120</f>
        <v>79.824561403508767</v>
      </c>
      <c r="I120" s="77">
        <f t="shared" si="49"/>
        <v>9100</v>
      </c>
      <c r="J120" s="77"/>
    </row>
    <row r="121" spans="1:10" s="1" customFormat="1" ht="15.75" thickBot="1">
      <c r="A121" s="17"/>
      <c r="B121" s="18"/>
      <c r="C121" s="18"/>
      <c r="D121" s="18"/>
      <c r="E121" s="18"/>
      <c r="F121" s="18"/>
      <c r="G121" s="22"/>
      <c r="H121" s="80">
        <f>SUM(H118:H120)</f>
        <v>568.36230614035094</v>
      </c>
      <c r="I121" s="77">
        <f>H121*E120</f>
        <v>64793.30290000001</v>
      </c>
      <c r="J121" s="77"/>
    </row>
    <row r="122" spans="1:10" ht="15.75" thickBot="1"/>
    <row r="123" spans="1:10">
      <c r="A123" s="11" t="s">
        <v>39</v>
      </c>
      <c r="B123" s="12" t="s">
        <v>24</v>
      </c>
      <c r="C123" s="12" t="s">
        <v>25</v>
      </c>
      <c r="D123" s="12">
        <v>1</v>
      </c>
      <c r="E123" s="12">
        <v>33</v>
      </c>
      <c r="F123" s="32">
        <f>D123/E123</f>
        <v>3.0303030303030304E-2</v>
      </c>
      <c r="G123" s="13">
        <f>77000*0.14</f>
        <v>10780.000000000002</v>
      </c>
      <c r="H123" s="14">
        <f>F123*G123</f>
        <v>326.66666666666674</v>
      </c>
      <c r="I123" s="77">
        <f>H123*E123</f>
        <v>10780.000000000002</v>
      </c>
      <c r="J123" s="77"/>
    </row>
    <row r="124" spans="1:10" s="1" customFormat="1">
      <c r="A124" s="15"/>
      <c r="B124" s="5" t="s">
        <v>27</v>
      </c>
      <c r="C124" s="5"/>
      <c r="D124" s="5">
        <v>3</v>
      </c>
      <c r="E124" s="10">
        <v>33</v>
      </c>
      <c r="F124" s="31">
        <f t="shared" ref="F124:F125" si="50">D124/E124</f>
        <v>9.0909090909090912E-2</v>
      </c>
      <c r="G124" s="6">
        <v>522.6</v>
      </c>
      <c r="H124" s="16">
        <f>F124*G124</f>
        <v>47.509090909090915</v>
      </c>
      <c r="I124" s="77">
        <f t="shared" ref="I124:I125" si="51">H124*E124</f>
        <v>1567.8000000000002</v>
      </c>
      <c r="J124" s="77">
        <f>11200*0.14</f>
        <v>1568.0000000000002</v>
      </c>
    </row>
    <row r="125" spans="1:10" s="1" customFormat="1">
      <c r="A125" s="15"/>
      <c r="B125" s="5" t="s">
        <v>30</v>
      </c>
      <c r="C125" s="10" t="s">
        <v>25</v>
      </c>
      <c r="D125" s="5">
        <v>1</v>
      </c>
      <c r="E125" s="10">
        <v>33</v>
      </c>
      <c r="F125" s="31">
        <f t="shared" si="50"/>
        <v>3.0303030303030304E-2</v>
      </c>
      <c r="G125" s="6">
        <f>20000*0.14</f>
        <v>2800.0000000000005</v>
      </c>
      <c r="H125" s="16">
        <f>F125*G125</f>
        <v>84.848484848484858</v>
      </c>
      <c r="I125" s="77">
        <f t="shared" si="51"/>
        <v>2800.0000000000005</v>
      </c>
      <c r="J125" s="77"/>
    </row>
    <row r="126" spans="1:10" s="1" customFormat="1" ht="15.75" thickBot="1">
      <c r="A126" s="17"/>
      <c r="B126" s="18"/>
      <c r="C126" s="18"/>
      <c r="D126" s="18"/>
      <c r="E126" s="18"/>
      <c r="F126" s="18"/>
      <c r="G126" s="22"/>
      <c r="H126" s="80">
        <f>SUM(H123:H125)</f>
        <v>459.02424242424252</v>
      </c>
      <c r="I126" s="77">
        <f>H126*E125</f>
        <v>15147.800000000003</v>
      </c>
      <c r="J126" s="77"/>
    </row>
    <row r="127" spans="1:10">
      <c r="A127" s="11" t="s">
        <v>44</v>
      </c>
      <c r="B127" s="12" t="s">
        <v>24</v>
      </c>
      <c r="C127" s="12" t="s">
        <v>25</v>
      </c>
      <c r="D127" s="12"/>
      <c r="E127" s="12"/>
      <c r="F127" s="32"/>
      <c r="G127" s="13"/>
      <c r="H127" s="14">
        <f>F127*G127</f>
        <v>0</v>
      </c>
      <c r="I127" s="77">
        <v>0</v>
      </c>
      <c r="J127" s="77"/>
    </row>
    <row r="128" spans="1:10" s="1" customFormat="1">
      <c r="A128" s="15"/>
      <c r="B128" s="5" t="s">
        <v>27</v>
      </c>
      <c r="C128" s="5"/>
      <c r="D128" s="5"/>
      <c r="E128" s="10"/>
      <c r="F128" s="31"/>
      <c r="G128" s="6"/>
      <c r="H128" s="16">
        <f>F128*G128</f>
        <v>0</v>
      </c>
      <c r="I128" s="77">
        <v>0</v>
      </c>
      <c r="J128" s="77">
        <v>0</v>
      </c>
    </row>
    <row r="129" spans="1:11" s="1" customFormat="1">
      <c r="A129" s="15"/>
      <c r="B129" s="5" t="s">
        <v>30</v>
      </c>
      <c r="C129" s="10" t="s">
        <v>25</v>
      </c>
      <c r="D129" s="5"/>
      <c r="E129" s="10"/>
      <c r="F129" s="31"/>
      <c r="G129" s="6"/>
      <c r="H129" s="16">
        <f>F129*G129</f>
        <v>0</v>
      </c>
      <c r="I129" s="77">
        <v>0</v>
      </c>
      <c r="J129" s="77"/>
    </row>
    <row r="130" spans="1:11" s="1" customFormat="1" ht="15.75" thickBot="1">
      <c r="A130" s="17"/>
      <c r="B130" s="18"/>
      <c r="C130" s="18"/>
      <c r="D130" s="18"/>
      <c r="E130" s="18"/>
      <c r="F130" s="18"/>
      <c r="G130" s="22"/>
      <c r="H130" s="80">
        <f>SUM(H127:H129)</f>
        <v>0</v>
      </c>
      <c r="I130" s="77">
        <v>0</v>
      </c>
      <c r="J130" s="77"/>
    </row>
    <row r="132" spans="1:11" outlineLevel="1">
      <c r="H132" s="1">
        <v>1</v>
      </c>
      <c r="I132" s="3">
        <f>I10+I53+I96</f>
        <v>270333.97000000003</v>
      </c>
      <c r="J132" s="3">
        <f>219814.02+15000+12000+13200+10320</f>
        <v>270334.02</v>
      </c>
      <c r="K132" s="3">
        <f>J132-I132</f>
        <v>4.9999999988358468E-2</v>
      </c>
    </row>
    <row r="133" spans="1:11" outlineLevel="1">
      <c r="H133" s="1">
        <v>2</v>
      </c>
      <c r="I133" s="3">
        <f>I100+I57+I14</f>
        <v>322968.08</v>
      </c>
      <c r="J133" s="3">
        <f>253768.08+18000+16200+35000</f>
        <v>322968.07999999996</v>
      </c>
      <c r="K133" s="3">
        <f t="shared" ref="K133:K140" si="52">J133-I133</f>
        <v>0</v>
      </c>
    </row>
    <row r="134" spans="1:11" outlineLevel="1">
      <c r="H134" s="1">
        <v>3</v>
      </c>
      <c r="I134" s="3">
        <f>I104+I61+I18</f>
        <v>271168.179</v>
      </c>
      <c r="J134" s="3">
        <f>225301.96+7000+15866+23000</f>
        <v>271167.95999999996</v>
      </c>
      <c r="K134" s="3">
        <f t="shared" si="52"/>
        <v>-0.21900000004097819</v>
      </c>
    </row>
    <row r="135" spans="1:11" outlineLevel="1">
      <c r="H135" s="1">
        <v>7</v>
      </c>
      <c r="I135" s="3">
        <f>I108+I65+I22</f>
        <v>389756.68500000006</v>
      </c>
      <c r="J135" s="3">
        <f>291116.7+15000+38640+45000</f>
        <v>389756.7</v>
      </c>
      <c r="K135" s="3">
        <f t="shared" si="52"/>
        <v>1.4999999955762178E-2</v>
      </c>
    </row>
    <row r="136" spans="1:11" outlineLevel="1">
      <c r="H136" s="1">
        <v>9</v>
      </c>
      <c r="I136" s="3">
        <f>I112+I69+I26</f>
        <v>462762.93799999997</v>
      </c>
      <c r="J136" s="3">
        <f>338958+35200+48604+40000</f>
        <v>462762</v>
      </c>
      <c r="K136" s="3">
        <f t="shared" si="52"/>
        <v>-0.93799999996554106</v>
      </c>
    </row>
    <row r="137" spans="1:11" outlineLevel="1">
      <c r="H137" s="1">
        <v>14</v>
      </c>
      <c r="I137" s="3">
        <f>I116+I73+I30</f>
        <v>347542.73800000001</v>
      </c>
      <c r="J137" s="3">
        <f>224832.72+45000+37710+40000</f>
        <v>347542.72</v>
      </c>
      <c r="K137" s="3">
        <f t="shared" si="52"/>
        <v>-1.8000000040046871E-2</v>
      </c>
    </row>
    <row r="138" spans="1:11" outlineLevel="1">
      <c r="H138" s="1">
        <v>8</v>
      </c>
      <c r="I138" s="3">
        <f>I121+I78+I35</f>
        <v>498409.96</v>
      </c>
      <c r="J138" s="3">
        <f>365112.33+20498+42800+50000+20000</f>
        <v>498410.33</v>
      </c>
      <c r="K138" s="3">
        <f t="shared" si="52"/>
        <v>0.36999999999534339</v>
      </c>
    </row>
    <row r="139" spans="1:11" outlineLevel="1">
      <c r="H139" s="1">
        <v>4</v>
      </c>
      <c r="I139" s="3">
        <f>I126+I83+I40</f>
        <v>108199.79999999999</v>
      </c>
      <c r="J139" s="3">
        <f>77000+20000+4000+7200</f>
        <v>108200</v>
      </c>
      <c r="K139" s="3">
        <f t="shared" si="52"/>
        <v>0.20000000001164153</v>
      </c>
    </row>
    <row r="140" spans="1:11" outlineLevel="1">
      <c r="H140" s="1">
        <v>11</v>
      </c>
      <c r="I140" s="3">
        <f>I130+I87+I44</f>
        <v>146403.4</v>
      </c>
      <c r="J140" s="3">
        <f>117103.5+6300+23000</f>
        <v>146403.5</v>
      </c>
      <c r="K140" s="3">
        <f t="shared" si="52"/>
        <v>0.10000000000582077</v>
      </c>
    </row>
    <row r="141" spans="1:11" outlineLevel="1">
      <c r="I141" s="3">
        <f>SUM(I132:I140)</f>
        <v>2817545.7499999995</v>
      </c>
      <c r="J141" s="3">
        <f t="shared" ref="J141:K141" si="53">SUM(J132:J140)</f>
        <v>2817545.31</v>
      </c>
      <c r="K141" s="3">
        <f t="shared" si="53"/>
        <v>-0.4400000000896398</v>
      </c>
    </row>
    <row r="147" spans="1:20" ht="17.25" customHeight="1">
      <c r="A147" s="33" t="s">
        <v>51</v>
      </c>
      <c r="H147"/>
      <c r="S147" s="1"/>
      <c r="T147" s="1"/>
    </row>
    <row r="148" spans="1:20" ht="15.75" thickBot="1">
      <c r="G148" s="58" t="s">
        <v>32</v>
      </c>
    </row>
    <row r="149" spans="1:20" ht="45">
      <c r="A149" s="23" t="s">
        <v>3</v>
      </c>
      <c r="B149" s="24" t="s">
        <v>22</v>
      </c>
      <c r="C149" s="24" t="s">
        <v>18</v>
      </c>
      <c r="D149" s="24" t="s">
        <v>23</v>
      </c>
      <c r="E149" s="24" t="s">
        <v>58</v>
      </c>
      <c r="F149" s="24" t="s">
        <v>59</v>
      </c>
      <c r="G149" s="24" t="s">
        <v>26</v>
      </c>
      <c r="H149" s="25" t="s">
        <v>10</v>
      </c>
      <c r="I149" s="2"/>
      <c r="J149" s="2"/>
      <c r="K149" s="2"/>
    </row>
    <row r="150" spans="1:20" ht="15.75" thickBot="1">
      <c r="A150" s="38">
        <v>1</v>
      </c>
      <c r="B150" s="9">
        <v>2</v>
      </c>
      <c r="C150" s="9">
        <v>3</v>
      </c>
      <c r="D150" s="9">
        <v>4</v>
      </c>
      <c r="E150" s="9">
        <v>5</v>
      </c>
      <c r="F150" s="9" t="s">
        <v>17</v>
      </c>
      <c r="G150" s="8">
        <v>8</v>
      </c>
      <c r="H150" s="39" t="s">
        <v>19</v>
      </c>
    </row>
    <row r="151" spans="1:20">
      <c r="A151" s="11" t="s">
        <v>36</v>
      </c>
      <c r="B151" s="12" t="s">
        <v>63</v>
      </c>
      <c r="C151" s="12" t="s">
        <v>25</v>
      </c>
      <c r="D151" s="12">
        <v>1</v>
      </c>
      <c r="E151" s="12">
        <v>88</v>
      </c>
      <c r="F151" s="30">
        <f>D151/E151</f>
        <v>1.1363636363636364E-2</v>
      </c>
      <c r="G151" s="13">
        <v>692212</v>
      </c>
      <c r="H151" s="14">
        <f>F151*G151</f>
        <v>7866.045454545455</v>
      </c>
      <c r="I151" s="77"/>
      <c r="J151" s="77"/>
    </row>
    <row r="152" spans="1:20">
      <c r="A152" s="15" t="s">
        <v>37</v>
      </c>
      <c r="B152" s="5" t="s">
        <v>63</v>
      </c>
      <c r="C152" s="5" t="s">
        <v>25</v>
      </c>
      <c r="D152" s="5">
        <v>1</v>
      </c>
      <c r="E152" s="5">
        <v>169</v>
      </c>
      <c r="F152" s="31">
        <f t="shared" ref="F152:F161" si="54">D152/E152</f>
        <v>5.9171597633136093E-3</v>
      </c>
      <c r="G152" s="6">
        <v>1242966</v>
      </c>
      <c r="H152" s="16">
        <f t="shared" ref="H152:H161" si="55">F152*G152</f>
        <v>7354.8284023668639</v>
      </c>
    </row>
    <row r="153" spans="1:20">
      <c r="A153" s="15" t="s">
        <v>38</v>
      </c>
      <c r="B153" s="5" t="s">
        <v>63</v>
      </c>
      <c r="C153" s="5" t="s">
        <v>25</v>
      </c>
      <c r="D153" s="5">
        <v>1</v>
      </c>
      <c r="E153" s="5">
        <v>111</v>
      </c>
      <c r="F153" s="31">
        <f t="shared" si="54"/>
        <v>9.0090090090090089E-3</v>
      </c>
      <c r="G153" s="6">
        <v>829826</v>
      </c>
      <c r="H153" s="16">
        <f t="shared" si="55"/>
        <v>7475.9099099099094</v>
      </c>
    </row>
    <row r="154" spans="1:20">
      <c r="A154" s="15" t="s">
        <v>40</v>
      </c>
      <c r="B154" s="5" t="s">
        <v>63</v>
      </c>
      <c r="C154" s="5" t="s">
        <v>25</v>
      </c>
      <c r="D154" s="5">
        <v>1</v>
      </c>
      <c r="E154" s="5">
        <v>173</v>
      </c>
      <c r="F154" s="31">
        <f t="shared" si="54"/>
        <v>5.7803468208092483E-3</v>
      </c>
      <c r="G154" s="6">
        <v>1321583</v>
      </c>
      <c r="H154" s="16">
        <f t="shared" si="55"/>
        <v>7639.2080924855491</v>
      </c>
    </row>
    <row r="155" spans="1:20">
      <c r="A155" s="15" t="s">
        <v>42</v>
      </c>
      <c r="B155" s="5" t="s">
        <v>63</v>
      </c>
      <c r="C155" s="5" t="s">
        <v>25</v>
      </c>
      <c r="D155" s="5">
        <v>1</v>
      </c>
      <c r="E155" s="5">
        <v>140</v>
      </c>
      <c r="F155" s="31">
        <f t="shared" si="54"/>
        <v>7.1428571428571426E-3</v>
      </c>
      <c r="G155" s="6">
        <v>1024982</v>
      </c>
      <c r="H155" s="16">
        <f t="shared" si="55"/>
        <v>7321.3</v>
      </c>
    </row>
    <row r="156" spans="1:20" ht="15.75" thickBot="1">
      <c r="A156" s="17" t="s">
        <v>43</v>
      </c>
      <c r="B156" s="18" t="s">
        <v>63</v>
      </c>
      <c r="C156" s="18" t="s">
        <v>25</v>
      </c>
      <c r="D156" s="18">
        <v>1</v>
      </c>
      <c r="E156" s="18">
        <v>125</v>
      </c>
      <c r="F156" s="40">
        <f t="shared" si="54"/>
        <v>8.0000000000000002E-3</v>
      </c>
      <c r="G156" s="19">
        <v>919392</v>
      </c>
      <c r="H156" s="75">
        <f t="shared" si="55"/>
        <v>7355.1360000000004</v>
      </c>
    </row>
    <row r="157" spans="1:20" ht="15.75" thickBot="1">
      <c r="A157" s="81"/>
      <c r="B157" s="34"/>
      <c r="C157" s="34"/>
      <c r="D157" s="34"/>
      <c r="E157" s="34"/>
      <c r="F157" s="56"/>
      <c r="G157" s="35"/>
      <c r="H157" s="36"/>
    </row>
    <row r="158" spans="1:20" ht="15.75" thickBot="1">
      <c r="A158" s="59" t="s">
        <v>41</v>
      </c>
      <c r="B158" s="60" t="s">
        <v>63</v>
      </c>
      <c r="C158" s="60" t="s">
        <v>25</v>
      </c>
      <c r="D158" s="60">
        <v>1</v>
      </c>
      <c r="E158" s="60">
        <v>151</v>
      </c>
      <c r="F158" s="61">
        <f t="shared" si="54"/>
        <v>6.6225165562913907E-3</v>
      </c>
      <c r="G158" s="63">
        <v>1120130</v>
      </c>
      <c r="H158" s="76">
        <f t="shared" si="55"/>
        <v>7418.0794701986752</v>
      </c>
    </row>
    <row r="159" spans="1:20" ht="15.75" thickBot="1">
      <c r="A159" s="81"/>
      <c r="B159" s="34"/>
      <c r="C159" s="34"/>
      <c r="D159" s="34"/>
      <c r="E159" s="34"/>
      <c r="F159" s="56"/>
      <c r="G159" s="35"/>
      <c r="H159" s="36"/>
    </row>
    <row r="160" spans="1:20">
      <c r="A160" s="11" t="s">
        <v>39</v>
      </c>
      <c r="B160" s="12" t="s">
        <v>63</v>
      </c>
      <c r="C160" s="12" t="s">
        <v>25</v>
      </c>
      <c r="D160" s="12">
        <v>1</v>
      </c>
      <c r="E160" s="12">
        <v>49</v>
      </c>
      <c r="F160" s="30">
        <f t="shared" si="54"/>
        <v>2.0408163265306121E-2</v>
      </c>
      <c r="G160" s="13">
        <v>382617</v>
      </c>
      <c r="H160" s="14">
        <f t="shared" si="55"/>
        <v>7808.5102040816319</v>
      </c>
    </row>
    <row r="161" spans="1:8" ht="15.75" thickBot="1">
      <c r="A161" s="17" t="s">
        <v>44</v>
      </c>
      <c r="B161" s="18" t="s">
        <v>63</v>
      </c>
      <c r="C161" s="18" t="s">
        <v>25</v>
      </c>
      <c r="D161" s="18">
        <v>1</v>
      </c>
      <c r="E161" s="18">
        <v>55</v>
      </c>
      <c r="F161" s="40">
        <f t="shared" si="54"/>
        <v>1.8181818181818181E-2</v>
      </c>
      <c r="G161" s="19">
        <v>413432</v>
      </c>
      <c r="H161" s="75">
        <f t="shared" si="55"/>
        <v>7516.9454545454546</v>
      </c>
    </row>
  </sheetData>
  <mergeCells count="1">
    <mergeCell ref="A1:H1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з.пл.</vt:lpstr>
      <vt:lpstr>материалы</vt:lpstr>
      <vt:lpstr>материалы (2)</vt:lpstr>
      <vt:lpstr>иные</vt:lpstr>
      <vt:lpstr>иные!Заголовки_для_печати</vt:lpstr>
      <vt:lpstr>материалы!Заголовки_для_печати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2016-01-21T06:38:16Z</dcterms:modified>
</cp:coreProperties>
</file>