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 firstSheet="1" activeTab="1"/>
  </bookViews>
  <sheets>
    <sheet name="Лист1" sheetId="1" state="hidden" r:id="rId1"/>
    <sheet name="базовый норматив" sheetId="5" r:id="rId2"/>
    <sheet name="расчеты" sheetId="4" r:id="rId3"/>
    <sheet name="дан" sheetId="2" state="hidden" r:id="rId4"/>
    <sheet name="дан (3)" sheetId="7" state="hidden" r:id="rId5"/>
    <sheet name="дубль 3" sheetId="6" state="hidden" r:id="rId6"/>
    <sheet name="Лист3" sheetId="3" state="hidden" r:id="rId7"/>
    <sheet name="нз (2)" sheetId="8" state="hidden" r:id="rId8"/>
  </sheets>
  <calcPr calcId="124519"/>
</workbook>
</file>

<file path=xl/calcChain.xml><?xml version="1.0" encoding="utf-8"?>
<calcChain xmlns="http://schemas.openxmlformats.org/spreadsheetml/2006/main">
  <c r="D103" i="8"/>
  <c r="E104"/>
  <c r="E87"/>
  <c r="D86"/>
  <c r="E122"/>
  <c r="D122"/>
  <c r="E121"/>
  <c r="D121"/>
  <c r="E120"/>
  <c r="D120"/>
  <c r="E119"/>
  <c r="E123" s="1"/>
  <c r="D119"/>
  <c r="D123" s="1"/>
  <c r="E118"/>
  <c r="E117"/>
  <c r="D97"/>
  <c r="D94"/>
  <c r="F80"/>
  <c r="F79"/>
  <c r="H73"/>
  <c r="E73"/>
  <c r="E59"/>
  <c r="G59" s="1"/>
  <c r="D59"/>
  <c r="B59" s="1"/>
  <c r="C59"/>
  <c r="H58"/>
  <c r="G58"/>
  <c r="E58"/>
  <c r="D58"/>
  <c r="G57"/>
  <c r="E57"/>
  <c r="D57"/>
  <c r="G175" i="6"/>
  <c r="F175"/>
  <c r="H175" s="1"/>
  <c r="D175"/>
  <c r="G174"/>
  <c r="F174"/>
  <c r="H174" s="1"/>
  <c r="D174"/>
  <c r="G173"/>
  <c r="F173"/>
  <c r="H173" s="1"/>
  <c r="D173"/>
  <c r="G172"/>
  <c r="F172"/>
  <c r="H172" s="1"/>
  <c r="D172"/>
  <c r="G171"/>
  <c r="F171"/>
  <c r="H171" s="1"/>
  <c r="D171"/>
  <c r="G170"/>
  <c r="F170"/>
  <c r="D170"/>
  <c r="G169"/>
  <c r="F169"/>
  <c r="H169" s="1"/>
  <c r="D169"/>
  <c r="G168"/>
  <c r="F168"/>
  <c r="H168" s="1"/>
  <c r="D168"/>
  <c r="G167"/>
  <c r="F167"/>
  <c r="H167" s="1"/>
  <c r="D167"/>
  <c r="G166"/>
  <c r="F166"/>
  <c r="H166" s="1"/>
  <c r="D166"/>
  <c r="G165"/>
  <c r="F165"/>
  <c r="H165" s="1"/>
  <c r="D165"/>
  <c r="G164"/>
  <c r="F164"/>
  <c r="H164" s="1"/>
  <c r="D164"/>
  <c r="G163"/>
  <c r="F163"/>
  <c r="H163" s="1"/>
  <c r="D163"/>
  <c r="G162"/>
  <c r="F162"/>
  <c r="H162" s="1"/>
  <c r="D162"/>
  <c r="G161"/>
  <c r="F161"/>
  <c r="H161" s="1"/>
  <c r="D161"/>
  <c r="G160"/>
  <c r="F160"/>
  <c r="H160" s="1"/>
  <c r="D160"/>
  <c r="G159"/>
  <c r="F159"/>
  <c r="H159" s="1"/>
  <c r="D159"/>
  <c r="G158"/>
  <c r="F158"/>
  <c r="H158" s="1"/>
  <c r="D158"/>
  <c r="G157"/>
  <c r="F157"/>
  <c r="H157" s="1"/>
  <c r="D157"/>
  <c r="G156"/>
  <c r="F156"/>
  <c r="H156" s="1"/>
  <c r="D156"/>
  <c r="G155"/>
  <c r="F155"/>
  <c r="H155" s="1"/>
  <c r="D155"/>
  <c r="G154"/>
  <c r="F154"/>
  <c r="H154" s="1"/>
  <c r="D154"/>
  <c r="G153"/>
  <c r="F153"/>
  <c r="H153" s="1"/>
  <c r="D153"/>
  <c r="G152"/>
  <c r="F152"/>
  <c r="H152" s="1"/>
  <c r="D152"/>
  <c r="G151"/>
  <c r="F151"/>
  <c r="H151" s="1"/>
  <c r="D151"/>
  <c r="G150"/>
  <c r="F150"/>
  <c r="H150" s="1"/>
  <c r="D150"/>
  <c r="G149"/>
  <c r="F149"/>
  <c r="H149" s="1"/>
  <c r="D149"/>
  <c r="G148"/>
  <c r="F148"/>
  <c r="H148" s="1"/>
  <c r="D148"/>
  <c r="G147"/>
  <c r="F147"/>
  <c r="H147" s="1"/>
  <c r="D147"/>
  <c r="G146"/>
  <c r="F146"/>
  <c r="H146" s="1"/>
  <c r="D146"/>
  <c r="G145"/>
  <c r="F145"/>
  <c r="H145" s="1"/>
  <c r="D145"/>
  <c r="G144"/>
  <c r="F144"/>
  <c r="H144" s="1"/>
  <c r="D144"/>
  <c r="G143"/>
  <c r="D143"/>
  <c r="F143" s="1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D107"/>
  <c r="F107" s="1"/>
  <c r="H107" s="1"/>
  <c r="G106"/>
  <c r="D108"/>
  <c r="F108" s="1"/>
  <c r="H108" s="1"/>
  <c r="D109"/>
  <c r="F109" s="1"/>
  <c r="H109" s="1"/>
  <c r="D110"/>
  <c r="F110" s="1"/>
  <c r="H110" s="1"/>
  <c r="D111"/>
  <c r="F111" s="1"/>
  <c r="H111" s="1"/>
  <c r="D112"/>
  <c r="F112" s="1"/>
  <c r="H112" s="1"/>
  <c r="D113"/>
  <c r="F113" s="1"/>
  <c r="H113" s="1"/>
  <c r="D114"/>
  <c r="F114" s="1"/>
  <c r="H114" s="1"/>
  <c r="D115"/>
  <c r="F115" s="1"/>
  <c r="H115" s="1"/>
  <c r="D116"/>
  <c r="F116" s="1"/>
  <c r="D117"/>
  <c r="F117" s="1"/>
  <c r="D118"/>
  <c r="F118" s="1"/>
  <c r="H118" s="1"/>
  <c r="D119"/>
  <c r="F119" s="1"/>
  <c r="H119" s="1"/>
  <c r="D120"/>
  <c r="F120" s="1"/>
  <c r="D121"/>
  <c r="F121" s="1"/>
  <c r="D122"/>
  <c r="F122" s="1"/>
  <c r="H122" s="1"/>
  <c r="D123"/>
  <c r="F123" s="1"/>
  <c r="H123" s="1"/>
  <c r="D124"/>
  <c r="F124" s="1"/>
  <c r="D125"/>
  <c r="F125" s="1"/>
  <c r="D126"/>
  <c r="F126" s="1"/>
  <c r="H126" s="1"/>
  <c r="D127"/>
  <c r="F127" s="1"/>
  <c r="H127" s="1"/>
  <c r="D128"/>
  <c r="F128" s="1"/>
  <c r="D129"/>
  <c r="F129" s="1"/>
  <c r="D130"/>
  <c r="F130" s="1"/>
  <c r="H130" s="1"/>
  <c r="D131"/>
  <c r="F131" s="1"/>
  <c r="H131" s="1"/>
  <c r="D132"/>
  <c r="F132" s="1"/>
  <c r="D133"/>
  <c r="F133" s="1"/>
  <c r="D134"/>
  <c r="F134" s="1"/>
  <c r="H134" s="1"/>
  <c r="D135"/>
  <c r="F135" s="1"/>
  <c r="H135" s="1"/>
  <c r="D136"/>
  <c r="F136" s="1"/>
  <c r="D137"/>
  <c r="F137" s="1"/>
  <c r="D138"/>
  <c r="F138" s="1"/>
  <c r="H138" s="1"/>
  <c r="D139"/>
  <c r="F139" s="1"/>
  <c r="H139" s="1"/>
  <c r="C107"/>
  <c r="H59" i="8" l="1"/>
  <c r="H136" i="6"/>
  <c r="H132"/>
  <c r="H128"/>
  <c r="H124"/>
  <c r="H120"/>
  <c r="H116"/>
  <c r="H137"/>
  <c r="H133"/>
  <c r="H129"/>
  <c r="H125"/>
  <c r="H121"/>
  <c r="H117"/>
  <c r="G63"/>
  <c r="D63"/>
  <c r="D62"/>
  <c r="S12" i="5"/>
  <c r="S11"/>
  <c r="T12" s="1"/>
  <c r="F63" i="6"/>
  <c r="I198"/>
  <c r="F197"/>
  <c r="F194"/>
  <c r="I194" s="1"/>
  <c r="I195" s="1"/>
  <c r="G181"/>
  <c r="E186"/>
  <c r="D106"/>
  <c r="G142"/>
  <c r="D142"/>
  <c r="F142" s="1"/>
  <c r="E98"/>
  <c r="E97"/>
  <c r="E96"/>
  <c r="E95"/>
  <c r="F95" s="1"/>
  <c r="H95" s="1"/>
  <c r="E92"/>
  <c r="E91"/>
  <c r="E90"/>
  <c r="E89"/>
  <c r="C89"/>
  <c r="C92"/>
  <c r="C91"/>
  <c r="C90"/>
  <c r="F98"/>
  <c r="H98" s="1"/>
  <c r="F97"/>
  <c r="H97" s="1"/>
  <c r="F96"/>
  <c r="E77"/>
  <c r="H77" s="1"/>
  <c r="G66"/>
  <c r="D66"/>
  <c r="F66" s="1"/>
  <c r="H63" l="1"/>
  <c r="H142"/>
  <c r="H176" s="1"/>
  <c r="H99"/>
  <c r="H66"/>
  <c r="H67" s="1"/>
  <c r="F89" l="1"/>
  <c r="H89" s="1"/>
  <c r="P14" i="7" l="1"/>
  <c r="N14"/>
  <c r="K14"/>
  <c r="J14"/>
  <c r="G14"/>
  <c r="F14"/>
  <c r="D14"/>
  <c r="C14"/>
  <c r="B14"/>
  <c r="M13"/>
  <c r="L13"/>
  <c r="K13"/>
  <c r="I13"/>
  <c r="H13"/>
  <c r="E13"/>
  <c r="B13"/>
  <c r="O13" s="1"/>
  <c r="Q13" s="1"/>
  <c r="M12"/>
  <c r="M14" s="1"/>
  <c r="L12"/>
  <c r="L14" s="1"/>
  <c r="K12"/>
  <c r="I12"/>
  <c r="I14" s="1"/>
  <c r="H12"/>
  <c r="H14" s="1"/>
  <c r="E12"/>
  <c r="E14" s="1"/>
  <c r="B12"/>
  <c r="E116" i="4"/>
  <c r="E117"/>
  <c r="E118"/>
  <c r="E119"/>
  <c r="E120"/>
  <c r="E115"/>
  <c r="E121" s="1"/>
  <c r="D117"/>
  <c r="D121" s="1"/>
  <c r="D118"/>
  <c r="D119"/>
  <c r="D120"/>
  <c r="F78"/>
  <c r="F77"/>
  <c r="F106" i="6"/>
  <c r="H106" s="1"/>
  <c r="H140" s="1"/>
  <c r="E183"/>
  <c r="G62"/>
  <c r="F62"/>
  <c r="I12" i="5" l="1"/>
  <c r="O12" i="7"/>
  <c r="O14" l="1"/>
  <c r="Q14" s="1"/>
  <c r="Q12"/>
  <c r="D61" i="1"/>
  <c r="F61" s="1"/>
  <c r="H92" i="6"/>
  <c r="F92"/>
  <c r="F91"/>
  <c r="H91" s="1"/>
  <c r="F90"/>
  <c r="H90" s="1"/>
  <c r="E74"/>
  <c r="H74" s="1"/>
  <c r="H91" i="1"/>
  <c r="H75"/>
  <c r="G74"/>
  <c r="F74"/>
  <c r="D74"/>
  <c r="G61"/>
  <c r="O12" i="5"/>
  <c r="P13"/>
  <c r="E13" i="2"/>
  <c r="E12"/>
  <c r="D92" i="4"/>
  <c r="D95" s="1"/>
  <c r="P14" i="2"/>
  <c r="O13"/>
  <c r="O14" s="1"/>
  <c r="Q14" s="1"/>
  <c r="O12"/>
  <c r="Q12" s="1"/>
  <c r="M13"/>
  <c r="M12"/>
  <c r="M14" s="1"/>
  <c r="K13"/>
  <c r="K12"/>
  <c r="K14" s="1"/>
  <c r="L13"/>
  <c r="L12"/>
  <c r="L14" s="1"/>
  <c r="C14"/>
  <c r="D14"/>
  <c r="E14"/>
  <c r="F14"/>
  <c r="G14"/>
  <c r="H14"/>
  <c r="I14"/>
  <c r="J14"/>
  <c r="N14"/>
  <c r="B14"/>
  <c r="I13"/>
  <c r="I12"/>
  <c r="H13"/>
  <c r="H12"/>
  <c r="C57" i="4"/>
  <c r="D56"/>
  <c r="E56" s="1"/>
  <c r="D55"/>
  <c r="E55" s="1"/>
  <c r="G55" s="1"/>
  <c r="E71"/>
  <c r="H71" s="1"/>
  <c r="H62" i="6" l="1"/>
  <c r="H64" s="1"/>
  <c r="H93"/>
  <c r="H74" i="1"/>
  <c r="H61"/>
  <c r="H62" s="1"/>
  <c r="Q12" i="5"/>
  <c r="O11"/>
  <c r="Q13" i="2"/>
  <c r="G56" i="4"/>
  <c r="H56"/>
  <c r="D57"/>
  <c r="Q11" i="5" l="1"/>
  <c r="Q13"/>
  <c r="E57" i="4"/>
  <c r="B57"/>
  <c r="G57" l="1"/>
  <c r="H57"/>
  <c r="F92" i="1" l="1"/>
  <c r="H92" s="1"/>
  <c r="F93"/>
  <c r="H93" s="1"/>
  <c r="F94"/>
  <c r="H94" s="1"/>
  <c r="E82"/>
  <c r="H82" s="1"/>
  <c r="F91" l="1"/>
  <c r="H95" s="1"/>
</calcChain>
</file>

<file path=xl/sharedStrings.xml><?xml version="1.0" encoding="utf-8"?>
<sst xmlns="http://schemas.openxmlformats.org/spreadsheetml/2006/main" count="807" uniqueCount="209">
  <si>
    <t>Штатное расписание: 101,4 единиц</t>
  </si>
  <si>
    <t>Работники, непосредственно связанные с оказанием услуги</t>
  </si>
  <si>
    <t>Количество ставок</t>
  </si>
  <si>
    <t>Работники,  непосредственно не связанные с оказанием услуги</t>
  </si>
  <si>
    <t>Директор</t>
  </si>
  <si>
    <t>Зам. директора по УВР</t>
  </si>
  <si>
    <t>Зам. директора по административно-хозяйственной части</t>
  </si>
  <si>
    <t>Заведующий обособленным структурным подразделением</t>
  </si>
  <si>
    <t>Главный бухгалтер</t>
  </si>
  <si>
    <t>Ведущий экономист</t>
  </si>
  <si>
    <t>Бухгалтер</t>
  </si>
  <si>
    <t>Начальник отдела</t>
  </si>
  <si>
    <t>Старший инструктор методист</t>
  </si>
  <si>
    <t>Инспектор по кадрам</t>
  </si>
  <si>
    <t>Программист</t>
  </si>
  <si>
    <t>Фельдшер</t>
  </si>
  <si>
    <t>Заведующий складам</t>
  </si>
  <si>
    <t>Тренер-преподаватель</t>
  </si>
  <si>
    <t>Тренер преподаватель по адаптивной физической культуре</t>
  </si>
  <si>
    <t>Инструктор по адаптивной физической культуре</t>
  </si>
  <si>
    <t>Водитель автомобиля</t>
  </si>
  <si>
    <t>Механик</t>
  </si>
  <si>
    <t>Слесарь по ремонту автомобиля</t>
  </si>
  <si>
    <t>Инструктор-методист</t>
  </si>
  <si>
    <t>Инструктор по спорту</t>
  </si>
  <si>
    <t>Художник</t>
  </si>
  <si>
    <t>Педагог-психолог</t>
  </si>
  <si>
    <t>Ремонтировщик плоскостных спортивных сооружений</t>
  </si>
  <si>
    <t>Рабочий</t>
  </si>
  <si>
    <t>Уборщик служебных помещений</t>
  </si>
  <si>
    <t>Электромонтер</t>
  </si>
  <si>
    <t>Слесарь-сантехник</t>
  </si>
  <si>
    <t>Сторож</t>
  </si>
  <si>
    <t>Столяр</t>
  </si>
  <si>
    <t>Плотник</t>
  </si>
  <si>
    <t>Техник</t>
  </si>
  <si>
    <t>Уборщик территорий</t>
  </si>
  <si>
    <t>Специалист по охране труда</t>
  </si>
  <si>
    <t>Муниципальное автономное учреждение дополнительного образования "Детско-юношеская спортивная школа" г. Назарово Красноярского края</t>
  </si>
  <si>
    <t>Объекты:</t>
  </si>
  <si>
    <t>СОК "Шахтер", адрес объекта: ул. Парковая, вл. 35а, стр. 3</t>
  </si>
  <si>
    <t>Пристроенное здание спортивного корпуса на стадионе "Шахтер", адрес объекта: ул. Парковая, вл. 35а, стр.2</t>
  </si>
  <si>
    <t>СОК "Горняк", адрес объекта: ул. Гуськова, вл. 4, стр. 1</t>
  </si>
  <si>
    <t>Исходные данные:</t>
  </si>
  <si>
    <t>Спортивно-оздоровительный комплекс "Строитель", адрес объекта: ул. Южная, вл. 1 стр. 1</t>
  </si>
  <si>
    <t>Специализированный зал бокса, адрес объекта: ул. К. Маркса, д. 21, пом. 2</t>
  </si>
  <si>
    <t>Специализированный зал бокса, адрес объекта: ул. К.Маркса, д. 21, пом. 4</t>
  </si>
  <si>
    <t>Наименование показателя объема: Число обучающихся</t>
  </si>
  <si>
    <t>Затраты на оплату труда (с начислениями) работников, непосредственно связанных с оказанием услуги</t>
  </si>
  <si>
    <t>Планируемое число обучающихся: 166</t>
  </si>
  <si>
    <t>Должности по штатному расписанию</t>
  </si>
  <si>
    <t>Заработная плата на одну ставку</t>
  </si>
  <si>
    <t>Экономист (контрактный управляющий)</t>
  </si>
  <si>
    <t>Услуга: реализация дополнительных общеобразовательных общеразвивающих программ (реестровая запись: 11020000000000001002100)</t>
  </si>
  <si>
    <t>Нормативные затраты</t>
  </si>
  <si>
    <t>8 = 6 х 7</t>
  </si>
  <si>
    <t>Материальные запасы и особо ценное движимое имущество</t>
  </si>
  <si>
    <t xml:space="preserve">Наименование запасов и особо ценного движимого имущества по группам </t>
  </si>
  <si>
    <t>Ед. изм. нормы</t>
  </si>
  <si>
    <t>Нормативное количество материальных запасов, ОЦДИ</t>
  </si>
  <si>
    <t>Число обучающихся</t>
  </si>
  <si>
    <t>Норма на 1 обучающегося, (шт)</t>
  </si>
  <si>
    <t>5 = 3/4</t>
  </si>
  <si>
    <t>Срок полезного использования, лет (ПБУ)</t>
  </si>
  <si>
    <t>Цена 1 ед. ресурса, рублей</t>
  </si>
  <si>
    <t>8 = 5 х 7</t>
  </si>
  <si>
    <t>Итого материальные запасы/ОЦДИ</t>
  </si>
  <si>
    <t>Затраты на коммунальные услуги</t>
  </si>
  <si>
    <t>Наименование коммунальных услуг</t>
  </si>
  <si>
    <t>Нормативный объем</t>
  </si>
  <si>
    <t>Норма ресурса на 1 ед. услуги</t>
  </si>
  <si>
    <t>Тариф (цена), рублей</t>
  </si>
  <si>
    <t>6 = 3/4х5</t>
  </si>
  <si>
    <t>Электроэнергия</t>
  </si>
  <si>
    <t>Теплоэнергия</t>
  </si>
  <si>
    <t>Водоснабжение</t>
  </si>
  <si>
    <t>Водоотведение</t>
  </si>
  <si>
    <t>кВт час</t>
  </si>
  <si>
    <t>Гкал</t>
  </si>
  <si>
    <t>м3</t>
  </si>
  <si>
    <t>Итого коммунальные услуги</t>
  </si>
  <si>
    <t>ФОТ за год</t>
  </si>
  <si>
    <t>ФОТ с начислениями на выплаты по оплате труда</t>
  </si>
  <si>
    <t>5 = гр. 4 х 1,302</t>
  </si>
  <si>
    <t>Количество обучающихся</t>
  </si>
  <si>
    <t>Нормативные затраты на одного обучающегося</t>
  </si>
  <si>
    <t>Наименование показателя объема: Число обучающихся 943 чел.</t>
  </si>
  <si>
    <t>4 = гр. 2 х гр. 3 х 12 мес</t>
  </si>
  <si>
    <t>Затраты на оплату труда (с начислениями) работников, непосредственно не связанных с оказанием услуги</t>
  </si>
  <si>
    <t>Работники, непосредственно не связанные с оказанием услуги</t>
  </si>
  <si>
    <t>Затраты на услуги связи</t>
  </si>
  <si>
    <t>Работники, непосредственно связанные с оказанием услуги в т.ч.</t>
  </si>
  <si>
    <t>Работники, непосредственно связанные с оказанием услуги на реализацию дополнительных общеобразовательных общеразвивающих программ</t>
  </si>
  <si>
    <t>Затраты на оплату труда работников  (%)</t>
  </si>
  <si>
    <t>Работники, непосредственно связанные с оказанием услуги на реализацию дополнительных общеобразовательных предпрофессиональных программ</t>
  </si>
  <si>
    <t>Наименование ресурса</t>
  </si>
  <si>
    <t>Ед.изм.</t>
  </si>
  <si>
    <t>Сумма в год</t>
  </si>
  <si>
    <t>Услуги связи</t>
  </si>
  <si>
    <t>кол-во номеров, ед.</t>
  </si>
  <si>
    <t>Транспортные услуги</t>
  </si>
  <si>
    <t>Проезд</t>
  </si>
  <si>
    <t>Наименование услуг</t>
  </si>
  <si>
    <t>Наименованиеуслуг</t>
  </si>
  <si>
    <t>Итого:</t>
  </si>
  <si>
    <t>Затраты на прочие услуги</t>
  </si>
  <si>
    <t xml:space="preserve">Проживание спортсменов </t>
  </si>
  <si>
    <t>Затраты на прочие расходы</t>
  </si>
  <si>
    <t>Питание спортсменов</t>
  </si>
  <si>
    <t>Экономист:</t>
  </si>
  <si>
    <t>Заблотская Е.В.</t>
  </si>
  <si>
    <t>Затраты, непосредственно связанные с оказанием услуги, руб.</t>
  </si>
  <si>
    <t xml:space="preserve">Затраты на общехозяйственные нужды, руб. </t>
  </si>
  <si>
    <t>Базовый норматив затрат на оказание услуги, руб.</t>
  </si>
  <si>
    <t xml:space="preserve">ОТ1 (оплата труда с непосредственно связанная с оказанием услуги) </t>
  </si>
  <si>
    <t>МЗ и ОЦДИ</t>
  </si>
  <si>
    <t>ИНЗ</t>
  </si>
  <si>
    <t>КУ (коммунальные услуги</t>
  </si>
  <si>
    <t>СНИ         ( содержание недвижимого имущества)</t>
  </si>
  <si>
    <t>СОЦДИ       ( содеожание объектов особо ценного движесого имущества)</t>
  </si>
  <si>
    <t xml:space="preserve">УС                    ( услуги связи) </t>
  </si>
  <si>
    <t>ОТ2           ( оплата труда непосредственно не связанных с оказанием услуги)</t>
  </si>
  <si>
    <t>ПНЗ (прочие общ.нужды, ГСМ)</t>
  </si>
  <si>
    <t xml:space="preserve">Питание спортсменов и тренерав </t>
  </si>
  <si>
    <t xml:space="preserve">Проживание тренера и спортсменов </t>
  </si>
  <si>
    <t>ТУ</t>
  </si>
  <si>
    <t>ПНЗ</t>
  </si>
  <si>
    <t>Исходные данные и результаты расчётов объёма нормативных затрат на оказание услуг оказываемых МАУ ДО "ДЮСШ" г. Назарово</t>
  </si>
  <si>
    <t>Наименование услуги</t>
  </si>
  <si>
    <t>реализация дополнительных общеобразовательных общеразвивающих программ</t>
  </si>
  <si>
    <t>реализация дополнительных общеобразовательных предпрофессиональных программ</t>
  </si>
  <si>
    <t>Объем муниципальной услуги</t>
  </si>
  <si>
    <t xml:space="preserve">Учреждение оказывает две услуги. </t>
  </si>
  <si>
    <t>Затраты на оплату труда работников, непосредственно связанных с оказанием услуг составляют:</t>
  </si>
  <si>
    <t>реализация дополнительных общеобразовательных общеразвивающих программ 12%</t>
  </si>
  <si>
    <t>реализация дополнительных общеобразовательных предпрофессиональных программ 88%</t>
  </si>
  <si>
    <t>Итого затраты на услуги</t>
  </si>
  <si>
    <t>Приложение к приказу от 10.12.2015 № 31-п</t>
  </si>
  <si>
    <t>4 =  гр. 3 х 1974</t>
  </si>
  <si>
    <t>Количество затраченных человеко-часов (1974 часа х кол-во ставок)</t>
  </si>
  <si>
    <t>6 = 4/5</t>
  </si>
  <si>
    <t>7= 2х12х1,302/1974</t>
  </si>
  <si>
    <t>8 = 6х7</t>
  </si>
  <si>
    <t>Норма трудозатрат на оказание 1 ед. услуги (человеко-часов)</t>
  </si>
  <si>
    <t>Стоимость 1 человека-часа (ФОТх12мес.х1,302/1974 часов)</t>
  </si>
  <si>
    <t>Заработная плата на одну ставку (ФОТ)</t>
  </si>
  <si>
    <t>Итого оплата труда:</t>
  </si>
  <si>
    <t xml:space="preserve">Время использования объекта на 1 обучающегося - 37,8 </t>
  </si>
  <si>
    <r>
      <t xml:space="preserve">Метод распределения общехозяйственных затрат: </t>
    </r>
    <r>
      <rPr>
        <sz val="11"/>
        <color theme="1"/>
        <rFont val="Times New Roman"/>
        <family val="1"/>
        <charset val="204"/>
      </rPr>
      <t>время использования объекта</t>
    </r>
  </si>
  <si>
    <t>Общее полезное время использования объекта</t>
  </si>
  <si>
    <t>Время использования объекта на 1 обучающегося</t>
  </si>
  <si>
    <t>Услуга: реализация дополнительных общеобразовательных предпрофессиональных программ (реестровая запись: 11019000300000001002100)</t>
  </si>
  <si>
    <t>Планируемое число обучающихся: 777</t>
  </si>
  <si>
    <t xml:space="preserve">Общее полезное время использования: Количество рабочих дней (247) х количество рабочих часов в день (8) х количество потребителей в человека-часах в день (0,48) = 452,64 </t>
  </si>
  <si>
    <t xml:space="preserve">Норма трудозатрат на  оказание  ед. услуги </t>
  </si>
  <si>
    <t>Количество затраченных человеко-часов (897 часа х кол-во ставок)</t>
  </si>
  <si>
    <t>4 =  гр. 3 х 897</t>
  </si>
  <si>
    <t>Стоимость 1 человека-часа (ФОТх12мес.х1,302/897 часов)</t>
  </si>
  <si>
    <t>7= 2х12х1,302/897</t>
  </si>
  <si>
    <t>Время использования объекта на 1 обучающегося - 25,7</t>
  </si>
  <si>
    <t>Месяцев</t>
  </si>
  <si>
    <t>Цена, рубли</t>
  </si>
  <si>
    <t>количество спортсменов, ед.</t>
  </si>
  <si>
    <t>количество поездок, Ед</t>
  </si>
  <si>
    <t>Цена, руб.</t>
  </si>
  <si>
    <t>Метод распределения общехозяйственных расходов: пропорционально количеству обучающихся</t>
  </si>
  <si>
    <t>Наименование расходов</t>
  </si>
  <si>
    <t>Базовый норматив  Услуга 1 (реализация дополнительных общеобразовательных общеразвивающих программ)</t>
  </si>
  <si>
    <t>Базовый норматив  Услуга 2 (реализация дополнительных общеобразовательных предпрофессиональных программ)</t>
  </si>
  <si>
    <t>Сумма, руб. в год</t>
  </si>
  <si>
    <t>Количество обучающихся по услуге №1 -166 (18%); по услуге № 2-777 (82)</t>
  </si>
  <si>
    <t xml:space="preserve">реализация дополнительных общеобразовательных общеразвивающих программ </t>
  </si>
  <si>
    <t xml:space="preserve">реализация дополнительных общеобразовательных предпрофессиональных программ </t>
  </si>
  <si>
    <t>Приложение к постановлению</t>
  </si>
  <si>
    <t>от ____________№_______</t>
  </si>
  <si>
    <t xml:space="preserve">Значения </t>
  </si>
  <si>
    <t>натуральных норм, необходимых для определения базовых</t>
  </si>
  <si>
    <t>нормативов затрат на оказание муниципальных услуг</t>
  </si>
  <si>
    <t>Наименование муниципальной услуги</t>
  </si>
  <si>
    <t>Уникальный номер реестровый записи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</si>
  <si>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</si>
  <si>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</si>
  <si>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</si>
  <si>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11020000000000001002100</t>
  </si>
  <si>
    <t>1101900030000001002100</t>
  </si>
  <si>
    <t>1. Натуральные нормы, непосредственно связанные с оказанием муниципальной услуги</t>
  </si>
  <si>
    <t>1.1. Работники, непосредственно связанные с оказанием муниципальной услуги</t>
  </si>
  <si>
    <t>Рабочие часы</t>
  </si>
  <si>
    <t>2. Натуральные нормы на общехозяйственные нужды</t>
  </si>
  <si>
    <t>2.1. Коммунальные услуги</t>
  </si>
  <si>
    <t>Гкал.</t>
  </si>
  <si>
    <t>Водопотребление</t>
  </si>
  <si>
    <t xml:space="preserve">кВат.час </t>
  </si>
  <si>
    <t>Время использования объекта на 1 обучающегося: 165,98/166=0,9998; 776,568/777=0,9994</t>
  </si>
  <si>
    <t xml:space="preserve">Общее полезное время использования  объекта: 247 дней*8 час.*(166 детей/1974 час.)= 1976*0,084=165,98; 247*8*(777/1974)=1976*0,393=776,568 </t>
  </si>
  <si>
    <t>8=</t>
  </si>
  <si>
    <t xml:space="preserve">Ед.изм. нормы </t>
  </si>
  <si>
    <t>Норма затрат на ед. услуги</t>
  </si>
  <si>
    <t>6=3/4х5</t>
  </si>
  <si>
    <t>9=6х7х8</t>
  </si>
  <si>
    <t>Итого услуги связи</t>
  </si>
  <si>
    <t>чел-час</t>
  </si>
  <si>
    <t>Время использования объекта на 1 обучающегося - 42,1</t>
  </si>
  <si>
    <t>Работники, непосредственно не связанные с оказанием услуги в том числе:</t>
  </si>
  <si>
    <t>Старший инструктор-методист</t>
  </si>
  <si>
    <t>Тренер-преподаватель по адаптивной физической культуре</t>
  </si>
  <si>
    <t>Базовый норматив затрат на оказание муниципальной услуги, руб.</t>
  </si>
  <si>
    <t>Значения базовых нормативов затрат на оказание муниципальных услуг оказываемых МАУ ДО "ДЮСШ" г. Назарово</t>
  </si>
  <si>
    <t>Приложение № 2 к распоряжению № 478-р от 30.12.2015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</si>
</sst>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0"/>
    <numFmt numFmtId="166" formatCode="0.00000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2" fillId="0" borderId="0" xfId="0" applyFont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/>
    <xf numFmtId="2" fontId="1" fillId="0" borderId="1" xfId="0" applyNumberFormat="1" applyFont="1" applyBorder="1"/>
    <xf numFmtId="164" fontId="1" fillId="0" borderId="1" xfId="0" applyNumberFormat="1" applyFont="1" applyBorder="1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wrapText="1"/>
    </xf>
    <xf numFmtId="164" fontId="1" fillId="0" borderId="1" xfId="0" applyNumberFormat="1" applyFont="1" applyBorder="1" applyAlignment="1">
      <alignment wrapText="1"/>
    </xf>
    <xf numFmtId="0" fontId="1" fillId="0" borderId="0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2" fontId="1" fillId="0" borderId="0" xfId="0" applyNumberFormat="1" applyFont="1" applyBorder="1"/>
    <xf numFmtId="0" fontId="1" fillId="0" borderId="0" xfId="0" applyFont="1" applyBorder="1" applyAlignment="1">
      <alignment wrapText="1"/>
    </xf>
    <xf numFmtId="164" fontId="1" fillId="0" borderId="0" xfId="0" applyNumberFormat="1" applyFont="1" applyBorder="1"/>
    <xf numFmtId="2" fontId="1" fillId="0" borderId="0" xfId="0" applyNumberFormat="1" applyFont="1" applyBorder="1" applyAlignment="1">
      <alignment wrapText="1"/>
    </xf>
    <xf numFmtId="0" fontId="4" fillId="0" borderId="0" xfId="0" applyFont="1" applyBorder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164" fontId="5" fillId="0" borderId="1" xfId="0" applyNumberFormat="1" applyFont="1" applyBorder="1"/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Border="1"/>
    <xf numFmtId="0" fontId="7" fillId="2" borderId="0" xfId="0" applyFont="1" applyFill="1" applyBorder="1" applyAlignment="1">
      <alignment horizontal="center" vertical="center" wrapText="1" readingOrder="1"/>
    </xf>
    <xf numFmtId="0" fontId="3" fillId="0" borderId="0" xfId="0" applyFont="1" applyAlignment="1"/>
    <xf numFmtId="0" fontId="8" fillId="0" borderId="0" xfId="0" applyFont="1"/>
    <xf numFmtId="0" fontId="9" fillId="0" borderId="0" xfId="0" applyFont="1" applyAlignment="1"/>
    <xf numFmtId="0" fontId="8" fillId="0" borderId="0" xfId="0" applyFont="1" applyAlignment="1"/>
    <xf numFmtId="0" fontId="10" fillId="2" borderId="5" xfId="0" applyFont="1" applyFill="1" applyBorder="1" applyAlignment="1">
      <alignment horizontal="center" vertical="center" wrapText="1" readingOrder="1"/>
    </xf>
    <xf numFmtId="0" fontId="10" fillId="2" borderId="7" xfId="0" applyFont="1" applyFill="1" applyBorder="1" applyAlignment="1">
      <alignment horizontal="center" vertical="center" wrapText="1" readingOrder="1"/>
    </xf>
    <xf numFmtId="0" fontId="8" fillId="3" borderId="1" xfId="0" applyFont="1" applyFill="1" applyBorder="1" applyAlignment="1">
      <alignment horizontal="center"/>
    </xf>
    <xf numFmtId="0" fontId="10" fillId="3" borderId="5" xfId="0" applyFont="1" applyFill="1" applyBorder="1" applyAlignment="1">
      <alignment horizontal="center" wrapText="1" readingOrder="1"/>
    </xf>
    <xf numFmtId="0" fontId="10" fillId="3" borderId="7" xfId="0" applyFont="1" applyFill="1" applyBorder="1" applyAlignment="1">
      <alignment horizontal="center" wrapText="1" readingOrder="1"/>
    </xf>
    <xf numFmtId="0" fontId="10" fillId="3" borderId="7" xfId="0" applyFont="1" applyFill="1" applyBorder="1" applyAlignment="1">
      <alignment horizontal="center" vertical="center" wrapText="1" readingOrder="1"/>
    </xf>
    <xf numFmtId="0" fontId="8" fillId="3" borderId="2" xfId="0" applyFont="1" applyFill="1" applyBorder="1" applyAlignment="1">
      <alignment wrapText="1"/>
    </xf>
    <xf numFmtId="0" fontId="8" fillId="0" borderId="1" xfId="0" applyFont="1" applyBorder="1" applyAlignment="1">
      <alignment wrapText="1"/>
    </xf>
    <xf numFmtId="0" fontId="8" fillId="0" borderId="1" xfId="0" applyFont="1" applyBorder="1"/>
    <xf numFmtId="2" fontId="10" fillId="3" borderId="10" xfId="0" applyNumberFormat="1" applyFont="1" applyFill="1" applyBorder="1" applyAlignment="1">
      <alignment horizontal="center" wrapText="1" readingOrder="1"/>
    </xf>
    <xf numFmtId="2" fontId="10" fillId="3" borderId="6" xfId="0" applyNumberFormat="1" applyFont="1" applyFill="1" applyBorder="1" applyAlignment="1">
      <alignment horizontal="center" wrapText="1" readingOrder="1"/>
    </xf>
    <xf numFmtId="2" fontId="8" fillId="0" borderId="1" xfId="0" applyNumberFormat="1" applyFont="1" applyBorder="1" applyAlignment="1">
      <alignment horizontal="center"/>
    </xf>
    <xf numFmtId="2" fontId="10" fillId="3" borderId="1" xfId="0" applyNumberFormat="1" applyFont="1" applyFill="1" applyBorder="1" applyAlignment="1">
      <alignment horizontal="center" wrapText="1" readingOrder="1"/>
    </xf>
    <xf numFmtId="0" fontId="7" fillId="2" borderId="0" xfId="0" applyFont="1" applyFill="1" applyBorder="1" applyAlignment="1">
      <alignment horizontal="center" vertical="center" wrapText="1" readingOrder="1"/>
    </xf>
    <xf numFmtId="0" fontId="10" fillId="2" borderId="5" xfId="0" applyFont="1" applyFill="1" applyBorder="1" applyAlignment="1">
      <alignment horizontal="center" vertical="center" wrapText="1" readingOrder="1"/>
    </xf>
    <xf numFmtId="2" fontId="8" fillId="0" borderId="1" xfId="0" applyNumberFormat="1" applyFont="1" applyBorder="1" applyAlignment="1">
      <alignment horizontal="center" readingOrder="1"/>
    </xf>
    <xf numFmtId="0" fontId="1" fillId="0" borderId="0" xfId="0" applyFont="1" applyBorder="1" applyAlignment="1">
      <alignment horizontal="right"/>
    </xf>
    <xf numFmtId="0" fontId="7" fillId="2" borderId="0" xfId="0" applyFont="1" applyFill="1" applyBorder="1" applyAlignment="1">
      <alignment horizontal="center" vertical="center" wrapText="1" readingOrder="1"/>
    </xf>
    <xf numFmtId="0" fontId="10" fillId="2" borderId="5" xfId="0" applyFont="1" applyFill="1" applyBorder="1" applyAlignment="1">
      <alignment horizontal="center" vertical="center" wrapText="1" readingOrder="1"/>
    </xf>
    <xf numFmtId="2" fontId="10" fillId="3" borderId="10" xfId="0" applyNumberFormat="1" applyFont="1" applyFill="1" applyBorder="1" applyAlignment="1">
      <alignment horizontal="center" wrapText="1"/>
    </xf>
    <xf numFmtId="2" fontId="10" fillId="3" borderId="6" xfId="0" applyNumberFormat="1" applyFont="1" applyFill="1" applyBorder="1" applyAlignment="1">
      <alignment horizontal="center" wrapText="1"/>
    </xf>
    <xf numFmtId="2" fontId="10" fillId="3" borderId="1" xfId="0" applyNumberFormat="1" applyFont="1" applyFill="1" applyBorder="1" applyAlignment="1">
      <alignment horizontal="center" wrapText="1"/>
    </xf>
    <xf numFmtId="0" fontId="8" fillId="0" borderId="1" xfId="0" applyFont="1" applyBorder="1" applyAlignment="1"/>
    <xf numFmtId="0" fontId="1" fillId="0" borderId="1" xfId="0" applyFont="1" applyBorder="1" applyAlignment="1"/>
    <xf numFmtId="164" fontId="1" fillId="0" borderId="1" xfId="0" applyNumberFormat="1" applyFont="1" applyBorder="1" applyAlignment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1" fontId="4" fillId="0" borderId="0" xfId="0" applyNumberFormat="1" applyFont="1" applyBorder="1"/>
    <xf numFmtId="2" fontId="8" fillId="0" borderId="12" xfId="0" applyNumberFormat="1" applyFont="1" applyBorder="1" applyAlignment="1">
      <alignment horizontal="center" readingOrder="1"/>
    </xf>
    <xf numFmtId="0" fontId="8" fillId="0" borderId="0" xfId="0" applyFont="1" applyBorder="1"/>
    <xf numFmtId="2" fontId="8" fillId="0" borderId="0" xfId="0" applyNumberFormat="1" applyFont="1" applyBorder="1" applyAlignment="1">
      <alignment horizontal="center" readingOrder="1"/>
    </xf>
    <xf numFmtId="2" fontId="1" fillId="0" borderId="0" xfId="0" applyNumberFormat="1" applyFont="1"/>
    <xf numFmtId="49" fontId="1" fillId="0" borderId="1" xfId="0" applyNumberFormat="1" applyFont="1" applyBorder="1" applyAlignment="1">
      <alignment wrapText="1"/>
    </xf>
    <xf numFmtId="1" fontId="1" fillId="0" borderId="0" xfId="0" applyNumberFormat="1" applyFont="1"/>
    <xf numFmtId="0" fontId="9" fillId="0" borderId="0" xfId="0" applyFont="1"/>
    <xf numFmtId="0" fontId="8" fillId="0" borderId="0" xfId="0" applyFont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164" fontId="8" fillId="0" borderId="1" xfId="0" applyNumberFormat="1" applyFont="1" applyBorder="1" applyAlignment="1">
      <alignment wrapText="1"/>
    </xf>
    <xf numFmtId="164" fontId="8" fillId="0" borderId="1" xfId="0" applyNumberFormat="1" applyFont="1" applyBorder="1"/>
    <xf numFmtId="2" fontId="8" fillId="0" borderId="1" xfId="0" applyNumberFormat="1" applyFont="1" applyBorder="1"/>
    <xf numFmtId="0" fontId="8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left" wrapText="1"/>
    </xf>
    <xf numFmtId="165" fontId="8" fillId="0" borderId="1" xfId="0" applyNumberFormat="1" applyFont="1" applyBorder="1"/>
    <xf numFmtId="2" fontId="8" fillId="0" borderId="0" xfId="0" applyNumberFormat="1" applyFont="1" applyBorder="1"/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2" fontId="8" fillId="0" borderId="0" xfId="0" applyNumberFormat="1" applyFont="1" applyBorder="1" applyAlignment="1">
      <alignment wrapText="1"/>
    </xf>
    <xf numFmtId="0" fontId="8" fillId="0" borderId="0" xfId="0" applyFont="1" applyBorder="1" applyAlignment="1">
      <alignment horizontal="right"/>
    </xf>
    <xf numFmtId="0" fontId="8" fillId="0" borderId="13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8" fillId="0" borderId="13" xfId="0" applyFont="1" applyBorder="1"/>
    <xf numFmtId="0" fontId="8" fillId="0" borderId="0" xfId="0" applyFont="1" applyBorder="1" applyAlignment="1">
      <alignment horizontal="left"/>
    </xf>
    <xf numFmtId="166" fontId="8" fillId="0" borderId="1" xfId="0" applyNumberFormat="1" applyFont="1" applyBorder="1"/>
    <xf numFmtId="0" fontId="8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right"/>
    </xf>
    <xf numFmtId="0" fontId="2" fillId="0" borderId="0" xfId="0" applyFont="1" applyAlignment="1">
      <alignment horizontal="left" wrapText="1"/>
    </xf>
    <xf numFmtId="0" fontId="7" fillId="2" borderId="0" xfId="0" applyFont="1" applyFill="1" applyBorder="1" applyAlignment="1">
      <alignment horizontal="center" vertical="center" wrapText="1" readingOrder="1"/>
    </xf>
    <xf numFmtId="0" fontId="8" fillId="0" borderId="2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 readingOrder="1"/>
    </xf>
    <xf numFmtId="0" fontId="10" fillId="2" borderId="5" xfId="0" applyFont="1" applyFill="1" applyBorder="1" applyAlignment="1">
      <alignment horizontal="center" vertical="center" wrapText="1" readingOrder="1"/>
    </xf>
    <xf numFmtId="0" fontId="10" fillId="2" borderId="3" xfId="0" applyFont="1" applyFill="1" applyBorder="1" applyAlignment="1">
      <alignment horizontal="center" vertical="center" wrapText="1" readingOrder="1"/>
    </xf>
    <xf numFmtId="0" fontId="10" fillId="2" borderId="6" xfId="0" applyFont="1" applyFill="1" applyBorder="1" applyAlignment="1">
      <alignment horizontal="center" vertical="center" wrapText="1" readingOrder="1"/>
    </xf>
    <xf numFmtId="0" fontId="10" fillId="2" borderId="8" xfId="0" applyFont="1" applyFill="1" applyBorder="1" applyAlignment="1">
      <alignment horizontal="center" vertical="center" wrapText="1" readingOrder="1"/>
    </xf>
    <xf numFmtId="0" fontId="1" fillId="0" borderId="2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9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8" fillId="0" borderId="13" xfId="0" applyFont="1" applyBorder="1" applyAlignment="1">
      <alignment horizontal="left" wrapText="1"/>
    </xf>
    <xf numFmtId="0" fontId="8" fillId="0" borderId="14" xfId="0" applyFont="1" applyBorder="1" applyAlignment="1">
      <alignment horizontal="left" wrapText="1"/>
    </xf>
    <xf numFmtId="0" fontId="8" fillId="0" borderId="12" xfId="0" applyFont="1" applyBorder="1" applyAlignment="1">
      <alignment horizontal="left" wrapText="1"/>
    </xf>
    <xf numFmtId="0" fontId="8" fillId="0" borderId="1" xfId="0" applyFont="1" applyBorder="1" applyAlignment="1">
      <alignment horizontal="left"/>
    </xf>
    <xf numFmtId="0" fontId="8" fillId="0" borderId="13" xfId="0" applyFont="1" applyBorder="1" applyAlignment="1">
      <alignment horizontal="right"/>
    </xf>
    <xf numFmtId="0" fontId="8" fillId="0" borderId="14" xfId="0" applyFont="1" applyBorder="1" applyAlignment="1">
      <alignment horizontal="right"/>
    </xf>
    <xf numFmtId="0" fontId="8" fillId="0" borderId="12" xfId="0" applyFont="1" applyBorder="1" applyAlignment="1">
      <alignment horizontal="right"/>
    </xf>
    <xf numFmtId="0" fontId="8" fillId="0" borderId="1" xfId="0" applyFont="1" applyBorder="1" applyAlignment="1">
      <alignment horizontal="right"/>
    </xf>
    <xf numFmtId="0" fontId="8" fillId="0" borderId="0" xfId="0" applyFont="1" applyAlignment="1">
      <alignment horizontal="left" wrapText="1"/>
    </xf>
    <xf numFmtId="0" fontId="1" fillId="0" borderId="13" xfId="0" applyFont="1" applyBorder="1" applyAlignment="1">
      <alignment horizontal="left" wrapText="1"/>
    </xf>
    <xf numFmtId="0" fontId="1" fillId="0" borderId="14" xfId="0" applyFont="1" applyBorder="1" applyAlignment="1">
      <alignment horizontal="left" wrapText="1"/>
    </xf>
    <xf numFmtId="0" fontId="1" fillId="0" borderId="12" xfId="0" applyFont="1" applyBorder="1" applyAlignment="1">
      <alignment horizontal="left" wrapText="1"/>
    </xf>
    <xf numFmtId="0" fontId="1" fillId="0" borderId="13" xfId="0" applyFont="1" applyBorder="1" applyAlignment="1">
      <alignment horizontal="left"/>
    </xf>
    <xf numFmtId="0" fontId="1" fillId="0" borderId="14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95"/>
  <sheetViews>
    <sheetView topLeftCell="A58" workbookViewId="0">
      <selection activeCell="A64" sqref="A64"/>
    </sheetView>
  </sheetViews>
  <sheetFormatPr defaultColWidth="9.109375" defaultRowHeight="13.8"/>
  <cols>
    <col min="1" max="1" width="26.33203125" style="1" customWidth="1"/>
    <col min="2" max="2" width="17.5546875" style="1" customWidth="1"/>
    <col min="3" max="3" width="32.6640625" style="1" customWidth="1"/>
    <col min="4" max="4" width="23.5546875" style="1" customWidth="1"/>
    <col min="5" max="5" width="16" style="1" customWidth="1"/>
    <col min="6" max="6" width="20.33203125" style="1" customWidth="1"/>
    <col min="7" max="7" width="16" style="1" customWidth="1"/>
    <col min="8" max="8" width="13.5546875" style="1" customWidth="1"/>
    <col min="9" max="9" width="9.109375" style="1"/>
    <col min="10" max="10" width="10.88671875" style="1" customWidth="1"/>
    <col min="11" max="16384" width="9.109375" style="1"/>
  </cols>
  <sheetData>
    <row r="1" spans="1:7" ht="15.6">
      <c r="A1" s="9" t="s">
        <v>38</v>
      </c>
    </row>
    <row r="3" spans="1:7">
      <c r="A3" s="1" t="s">
        <v>43</v>
      </c>
    </row>
    <row r="4" spans="1:7">
      <c r="A4" s="1" t="s">
        <v>39</v>
      </c>
    </row>
    <row r="5" spans="1:7">
      <c r="A5" s="1" t="s">
        <v>40</v>
      </c>
    </row>
    <row r="6" spans="1:7">
      <c r="A6" s="1" t="s">
        <v>41</v>
      </c>
    </row>
    <row r="7" spans="1:7">
      <c r="A7" s="1" t="s">
        <v>42</v>
      </c>
    </row>
    <row r="8" spans="1:7">
      <c r="A8" s="1" t="s">
        <v>44</v>
      </c>
    </row>
    <row r="9" spans="1:7">
      <c r="A9" s="1" t="s">
        <v>46</v>
      </c>
    </row>
    <row r="10" spans="1:7">
      <c r="A10" s="1" t="s">
        <v>45</v>
      </c>
    </row>
    <row r="13" spans="1:7">
      <c r="A13" s="1" t="s">
        <v>0</v>
      </c>
    </row>
    <row r="15" spans="1:7" ht="51.75" customHeight="1">
      <c r="A15" s="3" t="s">
        <v>1</v>
      </c>
      <c r="B15" s="3" t="s">
        <v>2</v>
      </c>
      <c r="C15" s="3" t="s">
        <v>3</v>
      </c>
      <c r="D15" s="3" t="s">
        <v>2</v>
      </c>
      <c r="E15" s="2"/>
      <c r="F15" s="2"/>
      <c r="G15" s="2"/>
    </row>
    <row r="16" spans="1:7">
      <c r="A16" s="3" t="s">
        <v>17</v>
      </c>
      <c r="B16" s="3">
        <v>24.28</v>
      </c>
      <c r="C16" s="3" t="s">
        <v>4</v>
      </c>
      <c r="D16" s="3">
        <v>1</v>
      </c>
      <c r="E16" s="2"/>
      <c r="F16" s="2"/>
      <c r="G16" s="2"/>
    </row>
    <row r="17" spans="1:7" ht="41.4">
      <c r="A17" s="3" t="s">
        <v>18</v>
      </c>
      <c r="B17" s="3">
        <v>1.1200000000000001</v>
      </c>
      <c r="C17" s="3" t="s">
        <v>5</v>
      </c>
      <c r="D17" s="3">
        <v>1</v>
      </c>
      <c r="E17" s="2"/>
      <c r="F17" s="2"/>
      <c r="G17" s="2"/>
    </row>
    <row r="18" spans="1:7" ht="41.4">
      <c r="A18" s="3"/>
      <c r="B18" s="3"/>
      <c r="C18" s="3" t="s">
        <v>6</v>
      </c>
      <c r="D18" s="3">
        <v>1</v>
      </c>
      <c r="E18" s="2"/>
      <c r="F18" s="2"/>
      <c r="G18" s="2"/>
    </row>
    <row r="19" spans="1:7" ht="27.6">
      <c r="A19" s="3"/>
      <c r="B19" s="3"/>
      <c r="C19" s="3" t="s">
        <v>7</v>
      </c>
      <c r="D19" s="3">
        <v>3</v>
      </c>
      <c r="E19" s="2"/>
      <c r="F19" s="2"/>
      <c r="G19" s="2"/>
    </row>
    <row r="20" spans="1:7">
      <c r="A20" s="3"/>
      <c r="B20" s="3"/>
      <c r="C20" s="3" t="s">
        <v>8</v>
      </c>
      <c r="D20" s="3">
        <v>1</v>
      </c>
      <c r="E20" s="2"/>
      <c r="F20" s="2"/>
      <c r="G20" s="2"/>
    </row>
    <row r="21" spans="1:7">
      <c r="A21" s="3"/>
      <c r="B21" s="3"/>
      <c r="C21" s="3" t="s">
        <v>9</v>
      </c>
      <c r="D21" s="3">
        <v>1</v>
      </c>
      <c r="E21" s="2"/>
      <c r="F21" s="2"/>
      <c r="G21" s="2"/>
    </row>
    <row r="22" spans="1:7" ht="27.6">
      <c r="A22" s="3"/>
      <c r="B22" s="3"/>
      <c r="C22" s="3" t="s">
        <v>52</v>
      </c>
      <c r="D22" s="3">
        <v>0.5</v>
      </c>
      <c r="E22" s="2"/>
      <c r="F22" s="2"/>
      <c r="G22" s="2"/>
    </row>
    <row r="23" spans="1:7">
      <c r="A23" s="3"/>
      <c r="B23" s="3"/>
      <c r="C23" s="3" t="s">
        <v>10</v>
      </c>
      <c r="D23" s="3">
        <v>1</v>
      </c>
      <c r="E23" s="2"/>
      <c r="F23" s="2"/>
      <c r="G23" s="2"/>
    </row>
    <row r="24" spans="1:7">
      <c r="A24" s="3"/>
      <c r="B24" s="3"/>
      <c r="C24" s="3" t="s">
        <v>11</v>
      </c>
      <c r="D24" s="3">
        <v>2</v>
      </c>
      <c r="E24" s="2"/>
      <c r="F24" s="2"/>
      <c r="G24" s="2"/>
    </row>
    <row r="25" spans="1:7">
      <c r="A25" s="3"/>
      <c r="B25" s="3"/>
      <c r="C25" s="3" t="s">
        <v>12</v>
      </c>
      <c r="D25" s="3">
        <v>1</v>
      </c>
      <c r="E25" s="2"/>
      <c r="F25" s="2"/>
      <c r="G25" s="2"/>
    </row>
    <row r="26" spans="1:7">
      <c r="A26" s="3"/>
      <c r="B26" s="3"/>
      <c r="C26" s="3" t="s">
        <v>23</v>
      </c>
      <c r="D26" s="3">
        <v>3</v>
      </c>
      <c r="E26" s="2"/>
      <c r="F26" s="2"/>
      <c r="G26" s="2"/>
    </row>
    <row r="27" spans="1:7">
      <c r="A27" s="3"/>
      <c r="B27" s="3"/>
      <c r="C27" s="3" t="s">
        <v>13</v>
      </c>
      <c r="D27" s="3">
        <v>1</v>
      </c>
      <c r="E27" s="2"/>
      <c r="F27" s="2"/>
      <c r="G27" s="2"/>
    </row>
    <row r="28" spans="1:7">
      <c r="A28" s="3"/>
      <c r="B28" s="3"/>
      <c r="C28" s="3" t="s">
        <v>14</v>
      </c>
      <c r="D28" s="3">
        <v>0.5</v>
      </c>
      <c r="E28" s="2"/>
      <c r="F28" s="2"/>
      <c r="G28" s="2"/>
    </row>
    <row r="29" spans="1:7">
      <c r="A29" s="3"/>
      <c r="B29" s="3"/>
      <c r="C29" s="3" t="s">
        <v>15</v>
      </c>
      <c r="D29" s="3">
        <v>2</v>
      </c>
      <c r="E29" s="2"/>
      <c r="F29" s="2"/>
      <c r="G29" s="2"/>
    </row>
    <row r="30" spans="1:7">
      <c r="A30" s="3"/>
      <c r="B30" s="3"/>
      <c r="C30" s="3" t="s">
        <v>16</v>
      </c>
      <c r="D30" s="3">
        <v>1</v>
      </c>
      <c r="E30" s="2"/>
      <c r="F30" s="2"/>
      <c r="G30" s="2"/>
    </row>
    <row r="31" spans="1:7" ht="27.6">
      <c r="A31" s="3"/>
      <c r="B31" s="3"/>
      <c r="C31" s="3" t="s">
        <v>19</v>
      </c>
      <c r="D31" s="3">
        <v>1</v>
      </c>
      <c r="E31" s="2"/>
      <c r="F31" s="2"/>
      <c r="G31" s="2"/>
    </row>
    <row r="32" spans="1:7">
      <c r="A32" s="3"/>
      <c r="B32" s="3"/>
      <c r="C32" s="3" t="s">
        <v>20</v>
      </c>
      <c r="D32" s="3">
        <v>3</v>
      </c>
      <c r="E32" s="2"/>
      <c r="F32" s="2"/>
      <c r="G32" s="2"/>
    </row>
    <row r="33" spans="1:7">
      <c r="A33" s="3"/>
      <c r="B33" s="3"/>
      <c r="C33" s="3" t="s">
        <v>21</v>
      </c>
      <c r="D33" s="3">
        <v>1</v>
      </c>
      <c r="E33" s="2"/>
      <c r="F33" s="2"/>
      <c r="G33" s="2"/>
    </row>
    <row r="34" spans="1:7">
      <c r="A34" s="3"/>
      <c r="B34" s="3"/>
      <c r="C34" s="3" t="s">
        <v>22</v>
      </c>
      <c r="D34" s="3">
        <v>1</v>
      </c>
      <c r="E34" s="2"/>
      <c r="F34" s="2"/>
      <c r="G34" s="2"/>
    </row>
    <row r="35" spans="1:7">
      <c r="A35" s="3"/>
      <c r="B35" s="3"/>
      <c r="C35" s="3" t="s">
        <v>24</v>
      </c>
      <c r="D35" s="3">
        <v>3</v>
      </c>
      <c r="E35" s="2"/>
      <c r="F35" s="2"/>
      <c r="G35" s="2"/>
    </row>
    <row r="36" spans="1:7">
      <c r="A36" s="3"/>
      <c r="B36" s="3"/>
      <c r="C36" s="3" t="s">
        <v>25</v>
      </c>
      <c r="D36" s="3">
        <v>1</v>
      </c>
      <c r="E36" s="2"/>
      <c r="F36" s="2"/>
      <c r="G36" s="2"/>
    </row>
    <row r="37" spans="1:7">
      <c r="A37" s="3"/>
      <c r="B37" s="3"/>
      <c r="C37" s="3" t="s">
        <v>26</v>
      </c>
      <c r="D37" s="3">
        <v>1</v>
      </c>
      <c r="E37" s="2"/>
      <c r="F37" s="2"/>
      <c r="G37" s="2"/>
    </row>
    <row r="38" spans="1:7" ht="27.6">
      <c r="A38" s="3"/>
      <c r="B38" s="3"/>
      <c r="C38" s="3" t="s">
        <v>27</v>
      </c>
      <c r="D38" s="3">
        <v>3</v>
      </c>
      <c r="E38" s="2"/>
      <c r="F38" s="2"/>
      <c r="G38" s="2"/>
    </row>
    <row r="39" spans="1:7">
      <c r="A39" s="3"/>
      <c r="B39" s="3"/>
      <c r="C39" s="3" t="s">
        <v>28</v>
      </c>
      <c r="D39" s="3">
        <v>7</v>
      </c>
      <c r="E39" s="2"/>
      <c r="F39" s="2"/>
      <c r="G39" s="2"/>
    </row>
    <row r="40" spans="1:7">
      <c r="A40" s="3"/>
      <c r="B40" s="3"/>
      <c r="C40" s="3" t="s">
        <v>29</v>
      </c>
      <c r="D40" s="3">
        <v>13</v>
      </c>
      <c r="E40" s="2"/>
      <c r="F40" s="2"/>
      <c r="G40" s="2"/>
    </row>
    <row r="41" spans="1:7">
      <c r="A41" s="3"/>
      <c r="B41" s="3"/>
      <c r="C41" s="3" t="s">
        <v>30</v>
      </c>
      <c r="D41" s="3">
        <v>2</v>
      </c>
      <c r="E41" s="2"/>
      <c r="F41" s="2"/>
      <c r="G41" s="2"/>
    </row>
    <row r="42" spans="1:7">
      <c r="A42" s="3"/>
      <c r="B42" s="3"/>
      <c r="C42" s="3" t="s">
        <v>31</v>
      </c>
      <c r="D42" s="3">
        <v>1</v>
      </c>
      <c r="E42" s="2"/>
      <c r="F42" s="2"/>
      <c r="G42" s="2"/>
    </row>
    <row r="43" spans="1:7">
      <c r="A43" s="3"/>
      <c r="B43" s="3"/>
      <c r="C43" s="3" t="s">
        <v>32</v>
      </c>
      <c r="D43" s="3">
        <v>12</v>
      </c>
      <c r="E43" s="2"/>
      <c r="F43" s="2"/>
      <c r="G43" s="2"/>
    </row>
    <row r="44" spans="1:7">
      <c r="A44" s="3"/>
      <c r="B44" s="3"/>
      <c r="C44" s="3" t="s">
        <v>33</v>
      </c>
      <c r="D44" s="3">
        <v>1</v>
      </c>
      <c r="E44" s="2"/>
      <c r="F44" s="2"/>
      <c r="G44" s="2"/>
    </row>
    <row r="45" spans="1:7">
      <c r="A45" s="3"/>
      <c r="B45" s="3"/>
      <c r="C45" s="3" t="s">
        <v>34</v>
      </c>
      <c r="D45" s="3">
        <v>1</v>
      </c>
      <c r="E45" s="2"/>
      <c r="F45" s="2"/>
      <c r="G45" s="2"/>
    </row>
    <row r="46" spans="1:7">
      <c r="A46" s="3"/>
      <c r="B46" s="3"/>
      <c r="C46" s="3" t="s">
        <v>35</v>
      </c>
      <c r="D46" s="3">
        <v>1</v>
      </c>
      <c r="E46" s="2"/>
      <c r="F46" s="2"/>
      <c r="G46" s="2"/>
    </row>
    <row r="47" spans="1:7">
      <c r="A47" s="4"/>
      <c r="B47" s="4"/>
      <c r="C47" s="4" t="s">
        <v>36</v>
      </c>
      <c r="D47" s="4">
        <v>3</v>
      </c>
    </row>
    <row r="48" spans="1:7">
      <c r="A48" s="4"/>
      <c r="B48" s="4"/>
      <c r="C48" s="4" t="s">
        <v>37</v>
      </c>
      <c r="D48" s="4">
        <v>1</v>
      </c>
    </row>
    <row r="50" spans="1:8">
      <c r="A50" s="1" t="s">
        <v>154</v>
      </c>
    </row>
    <row r="51" spans="1:8">
      <c r="A51" s="5" t="s">
        <v>53</v>
      </c>
    </row>
    <row r="53" spans="1:8">
      <c r="A53" s="1" t="s">
        <v>47</v>
      </c>
    </row>
    <row r="55" spans="1:8">
      <c r="A55" s="5" t="s">
        <v>48</v>
      </c>
    </row>
    <row r="56" spans="1:8" ht="14.25" customHeight="1"/>
    <row r="57" spans="1:8">
      <c r="A57" s="1" t="s">
        <v>49</v>
      </c>
    </row>
    <row r="59" spans="1:8" ht="80.25" customHeight="1">
      <c r="A59" s="8" t="s">
        <v>50</v>
      </c>
      <c r="B59" s="8" t="s">
        <v>145</v>
      </c>
      <c r="C59" s="8" t="s">
        <v>2</v>
      </c>
      <c r="D59" s="3" t="s">
        <v>155</v>
      </c>
      <c r="E59" s="8" t="s">
        <v>60</v>
      </c>
      <c r="F59" s="8" t="s">
        <v>143</v>
      </c>
      <c r="G59" s="8" t="s">
        <v>144</v>
      </c>
      <c r="H59" s="8" t="s">
        <v>85</v>
      </c>
    </row>
    <row r="60" spans="1:8" ht="34.5" customHeight="1">
      <c r="A60" s="6">
        <v>1</v>
      </c>
      <c r="B60" s="6">
        <v>2</v>
      </c>
      <c r="C60" s="6">
        <v>3</v>
      </c>
      <c r="D60" s="6" t="s">
        <v>156</v>
      </c>
      <c r="E60" s="6">
        <v>5</v>
      </c>
      <c r="F60" s="6" t="s">
        <v>140</v>
      </c>
      <c r="G60" s="6" t="s">
        <v>141</v>
      </c>
      <c r="H60" s="6" t="s">
        <v>142</v>
      </c>
    </row>
    <row r="61" spans="1:8">
      <c r="A61" s="3" t="s">
        <v>17</v>
      </c>
      <c r="B61" s="3">
        <v>29576.560000000001</v>
      </c>
      <c r="C61" s="3">
        <v>3.18</v>
      </c>
      <c r="D61" s="4">
        <f>C61*897</f>
        <v>2852.46</v>
      </c>
      <c r="E61" s="14">
        <v>166</v>
      </c>
      <c r="F61" s="11">
        <f>D61/E61</f>
        <v>17.183493975903616</v>
      </c>
      <c r="G61" s="11">
        <f>B61*12*1.302/1974</f>
        <v>234.09532595744682</v>
      </c>
      <c r="H61" s="10">
        <f>F61*G61</f>
        <v>4022.5756233769807</v>
      </c>
    </row>
    <row r="62" spans="1:8" ht="18.75" customHeight="1">
      <c r="A62" s="4" t="s">
        <v>147</v>
      </c>
      <c r="B62" s="4"/>
      <c r="C62" s="4"/>
      <c r="D62" s="3"/>
      <c r="E62" s="95" t="s">
        <v>146</v>
      </c>
      <c r="F62" s="95"/>
      <c r="G62" s="95"/>
      <c r="H62" s="10">
        <f>H61</f>
        <v>4022.5756233769807</v>
      </c>
    </row>
    <row r="63" spans="1:8" ht="18.75" customHeight="1">
      <c r="A63" s="15"/>
      <c r="B63" s="15"/>
      <c r="C63" s="15"/>
      <c r="D63" s="19"/>
      <c r="E63" s="52"/>
      <c r="F63" s="52"/>
      <c r="G63" s="52"/>
      <c r="H63" s="15"/>
    </row>
    <row r="64" spans="1:8" ht="18.75" customHeight="1">
      <c r="A64" s="5" t="s">
        <v>151</v>
      </c>
    </row>
    <row r="65" spans="1:8" ht="18.75" customHeight="1"/>
    <row r="66" spans="1:8" ht="18.75" customHeight="1">
      <c r="A66" s="1" t="s">
        <v>47</v>
      </c>
    </row>
    <row r="67" spans="1:8" ht="18.75" customHeight="1"/>
    <row r="68" spans="1:8" ht="18.75" customHeight="1">
      <c r="A68" s="5" t="s">
        <v>48</v>
      </c>
    </row>
    <row r="69" spans="1:8" ht="16.5" customHeight="1"/>
    <row r="70" spans="1:8" ht="18.75" customHeight="1">
      <c r="A70" s="1" t="s">
        <v>152</v>
      </c>
    </row>
    <row r="71" spans="1:8" ht="18.75" customHeight="1"/>
    <row r="72" spans="1:8" ht="77.25" customHeight="1">
      <c r="A72" s="8" t="s">
        <v>50</v>
      </c>
      <c r="B72" s="8" t="s">
        <v>145</v>
      </c>
      <c r="C72" s="8" t="s">
        <v>2</v>
      </c>
      <c r="D72" s="3" t="s">
        <v>139</v>
      </c>
      <c r="E72" s="8" t="s">
        <v>60</v>
      </c>
      <c r="F72" s="8" t="s">
        <v>143</v>
      </c>
      <c r="G72" s="8" t="s">
        <v>144</v>
      </c>
      <c r="H72" s="8" t="s">
        <v>85</v>
      </c>
    </row>
    <row r="73" spans="1:8" ht="18.75" customHeight="1">
      <c r="A73" s="6">
        <v>1</v>
      </c>
      <c r="B73" s="6">
        <v>2</v>
      </c>
      <c r="C73" s="6">
        <v>3</v>
      </c>
      <c r="D73" s="6" t="s">
        <v>138</v>
      </c>
      <c r="E73" s="6">
        <v>5</v>
      </c>
      <c r="F73" s="6" t="s">
        <v>140</v>
      </c>
      <c r="G73" s="6" t="s">
        <v>141</v>
      </c>
      <c r="H73" s="6" t="s">
        <v>142</v>
      </c>
    </row>
    <row r="74" spans="1:8" ht="18.75" customHeight="1">
      <c r="A74" s="3" t="s">
        <v>17</v>
      </c>
      <c r="B74" s="3">
        <v>30580.1</v>
      </c>
      <c r="C74" s="3">
        <v>22.22</v>
      </c>
      <c r="D74" s="4">
        <f>C74*1974</f>
        <v>43862.28</v>
      </c>
      <c r="E74" s="14">
        <v>777</v>
      </c>
      <c r="F74" s="11">
        <f>D74/E74</f>
        <v>56.450810810810808</v>
      </c>
      <c r="G74" s="11">
        <f>B74*12*1.302/1974</f>
        <v>242.03823829787234</v>
      </c>
      <c r="H74" s="10">
        <f>F74*G74</f>
        <v>13663.254799135135</v>
      </c>
    </row>
    <row r="75" spans="1:8">
      <c r="A75" s="4" t="s">
        <v>147</v>
      </c>
      <c r="B75" s="4"/>
      <c r="C75" s="4"/>
      <c r="D75" s="3"/>
      <c r="E75" s="95" t="s">
        <v>146</v>
      </c>
      <c r="F75" s="95"/>
      <c r="G75" s="95"/>
      <c r="H75" s="10">
        <f>H74</f>
        <v>13663.254799135135</v>
      </c>
    </row>
    <row r="78" spans="1:8">
      <c r="A78" s="5" t="s">
        <v>56</v>
      </c>
    </row>
    <row r="80" spans="1:8" ht="45.75" customHeight="1">
      <c r="A80" s="8" t="s">
        <v>57</v>
      </c>
      <c r="B80" s="8" t="s">
        <v>58</v>
      </c>
      <c r="C80" s="8" t="s">
        <v>59</v>
      </c>
      <c r="D80" s="8" t="s">
        <v>60</v>
      </c>
      <c r="E80" s="8" t="s">
        <v>61</v>
      </c>
      <c r="F80" s="8" t="s">
        <v>63</v>
      </c>
      <c r="G80" s="8" t="s">
        <v>64</v>
      </c>
      <c r="H80" s="8" t="s">
        <v>54</v>
      </c>
    </row>
    <row r="81" spans="1:12">
      <c r="A81" s="12">
        <v>1</v>
      </c>
      <c r="B81" s="12">
        <v>2</v>
      </c>
      <c r="C81" s="12">
        <v>3</v>
      </c>
      <c r="D81" s="12">
        <v>4</v>
      </c>
      <c r="E81" s="12" t="s">
        <v>62</v>
      </c>
      <c r="F81" s="12">
        <v>6</v>
      </c>
      <c r="G81" s="12">
        <v>7</v>
      </c>
      <c r="H81" s="12" t="s">
        <v>65</v>
      </c>
    </row>
    <row r="82" spans="1:12">
      <c r="A82" s="4"/>
      <c r="B82" s="4"/>
      <c r="C82" s="4">
        <v>0</v>
      </c>
      <c r="D82" s="4">
        <v>166</v>
      </c>
      <c r="E82" s="4">
        <f>C82/D82</f>
        <v>0</v>
      </c>
      <c r="F82" s="4">
        <v>0</v>
      </c>
      <c r="G82" s="4">
        <v>0</v>
      </c>
      <c r="H82" s="4">
        <f>E82*G82</f>
        <v>0</v>
      </c>
    </row>
    <row r="83" spans="1:12" ht="18.75" customHeight="1">
      <c r="F83" s="4" t="s">
        <v>66</v>
      </c>
      <c r="G83" s="4"/>
      <c r="H83" s="4">
        <v>0</v>
      </c>
    </row>
    <row r="85" spans="1:12">
      <c r="A85" s="5" t="s">
        <v>67</v>
      </c>
    </row>
    <row r="86" spans="1:12">
      <c r="A86" s="5" t="s">
        <v>148</v>
      </c>
    </row>
    <row r="87" spans="1:12" ht="32.25" customHeight="1">
      <c r="A87" s="96" t="s">
        <v>153</v>
      </c>
      <c r="B87" s="96"/>
      <c r="C87" s="96"/>
      <c r="D87" s="96"/>
      <c r="E87" s="96"/>
      <c r="F87" s="96"/>
      <c r="G87" s="96"/>
      <c r="H87" s="96"/>
    </row>
    <row r="89" spans="1:12" ht="75" customHeight="1">
      <c r="A89" s="8" t="s">
        <v>68</v>
      </c>
      <c r="B89" s="8" t="s">
        <v>58</v>
      </c>
      <c r="C89" s="8" t="s">
        <v>69</v>
      </c>
      <c r="D89" s="8" t="s">
        <v>149</v>
      </c>
      <c r="E89" s="8" t="s">
        <v>150</v>
      </c>
      <c r="F89" s="8" t="s">
        <v>70</v>
      </c>
      <c r="G89" s="8" t="s">
        <v>71</v>
      </c>
      <c r="H89" s="8" t="s">
        <v>54</v>
      </c>
    </row>
    <row r="90" spans="1:12">
      <c r="A90" s="12">
        <v>1</v>
      </c>
      <c r="B90" s="12">
        <v>2</v>
      </c>
      <c r="C90" s="12">
        <v>3</v>
      </c>
      <c r="D90" s="12">
        <v>4</v>
      </c>
      <c r="E90" s="12">
        <v>5</v>
      </c>
      <c r="F90" s="12" t="s">
        <v>72</v>
      </c>
      <c r="G90" s="12">
        <v>7</v>
      </c>
      <c r="H90" s="12" t="s">
        <v>55</v>
      </c>
    </row>
    <row r="91" spans="1:12">
      <c r="A91" s="4" t="s">
        <v>73</v>
      </c>
      <c r="B91" s="4" t="s">
        <v>77</v>
      </c>
      <c r="C91" s="4">
        <v>305</v>
      </c>
      <c r="D91" s="4">
        <v>452.64</v>
      </c>
      <c r="E91" s="4">
        <v>37.1</v>
      </c>
      <c r="F91" s="10">
        <f>C91/D91*E91</f>
        <v>24.998895369388478</v>
      </c>
      <c r="G91" s="4">
        <v>4.9600900000000001</v>
      </c>
      <c r="H91" s="10">
        <f>F91*G91</f>
        <v>123.9967709327501</v>
      </c>
    </row>
    <row r="92" spans="1:12">
      <c r="A92" s="4" t="s">
        <v>74</v>
      </c>
      <c r="B92" s="4" t="s">
        <v>78</v>
      </c>
      <c r="C92" s="4">
        <v>1652</v>
      </c>
      <c r="D92" s="4">
        <v>452.64</v>
      </c>
      <c r="E92" s="4">
        <v>37.1</v>
      </c>
      <c r="F92" s="10">
        <f t="shared" ref="F92:F94" si="0">C92/D92*E92</f>
        <v>135.40385295157301</v>
      </c>
      <c r="G92" s="4">
        <v>2.1207500000000001</v>
      </c>
      <c r="H92" s="10">
        <f t="shared" ref="H92:H94" si="1">F92*G92</f>
        <v>287.15772114704851</v>
      </c>
    </row>
    <row r="93" spans="1:12">
      <c r="A93" s="4" t="s">
        <v>75</v>
      </c>
      <c r="B93" s="4" t="s">
        <v>79</v>
      </c>
      <c r="C93" s="4">
        <v>2899</v>
      </c>
      <c r="D93" s="4">
        <v>452.64</v>
      </c>
      <c r="E93" s="4">
        <v>37.1</v>
      </c>
      <c r="F93" s="10">
        <f t="shared" si="0"/>
        <v>237.61245139625311</v>
      </c>
      <c r="G93" s="10">
        <v>30.6</v>
      </c>
      <c r="H93" s="10">
        <f t="shared" si="1"/>
        <v>7270.941012725345</v>
      </c>
    </row>
    <row r="94" spans="1:12">
      <c r="A94" s="4" t="s">
        <v>76</v>
      </c>
      <c r="B94" s="4" t="s">
        <v>79</v>
      </c>
      <c r="C94" s="4">
        <v>3150</v>
      </c>
      <c r="D94" s="4">
        <v>452.64</v>
      </c>
      <c r="E94" s="4">
        <v>37.1</v>
      </c>
      <c r="F94" s="10">
        <f t="shared" si="0"/>
        <v>258.18531283138918</v>
      </c>
      <c r="G94" s="4">
        <v>43.45</v>
      </c>
      <c r="H94" s="10">
        <f t="shared" si="1"/>
        <v>11218.151842523861</v>
      </c>
    </row>
    <row r="95" spans="1:12">
      <c r="F95" s="4" t="s">
        <v>80</v>
      </c>
      <c r="G95" s="4"/>
      <c r="H95" s="10">
        <f>H91+H92+H93+H94</f>
        <v>18900.247347329005</v>
      </c>
      <c r="J95" s="1">
        <v>5241881.7</v>
      </c>
      <c r="K95" s="1">
        <v>5558.73</v>
      </c>
      <c r="L95" s="1">
        <v>4863.3999999999996</v>
      </c>
    </row>
  </sheetData>
  <mergeCells count="3">
    <mergeCell ref="E62:G62"/>
    <mergeCell ref="E75:G75"/>
    <mergeCell ref="A87:H87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W25"/>
  <sheetViews>
    <sheetView tabSelected="1" workbookViewId="0">
      <selection activeCell="I9" sqref="I9"/>
    </sheetView>
  </sheetViews>
  <sheetFormatPr defaultColWidth="9.109375" defaultRowHeight="13.8"/>
  <cols>
    <col min="1" max="1" width="17.88671875" style="1" customWidth="1"/>
    <col min="2" max="2" width="11.5546875" style="1" customWidth="1"/>
    <col min="3" max="3" width="5.6640625" style="1" customWidth="1"/>
    <col min="4" max="4" width="5" style="1" customWidth="1"/>
    <col min="5" max="5" width="9.88671875" style="1" customWidth="1"/>
    <col min="6" max="6" width="5.33203125" style="1" customWidth="1"/>
    <col min="7" max="7" width="7.44140625" style="1" customWidth="1"/>
    <col min="8" max="8" width="8.5546875" style="1" customWidth="1"/>
    <col min="9" max="9" width="11.33203125" style="1" customWidth="1"/>
    <col min="10" max="10" width="5.5546875" style="1" customWidth="1"/>
    <col min="11" max="11" width="8.33203125" style="1" customWidth="1"/>
    <col min="12" max="13" width="9.109375" style="1"/>
    <col min="14" max="14" width="5.88671875" style="1" customWidth="1"/>
    <col min="15" max="15" width="11.88671875" style="1" customWidth="1"/>
    <col min="16" max="17" width="0" style="1" hidden="1" customWidth="1"/>
    <col min="18" max="18" width="12.109375" style="1" hidden="1" customWidth="1"/>
    <col min="19" max="21" width="0" style="1" hidden="1" customWidth="1"/>
    <col min="22" max="16384" width="9.109375" style="1"/>
  </cols>
  <sheetData>
    <row r="1" spans="1:23" ht="15.6">
      <c r="A1" s="33"/>
      <c r="B1" s="33"/>
      <c r="C1" s="33"/>
      <c r="D1" s="33"/>
      <c r="E1" s="33"/>
      <c r="F1" s="33"/>
      <c r="G1" s="33"/>
      <c r="H1" s="33"/>
      <c r="J1" s="33"/>
      <c r="L1" s="29" t="s">
        <v>208</v>
      </c>
      <c r="M1" s="29"/>
      <c r="N1" s="33"/>
      <c r="O1" s="33"/>
      <c r="P1" s="33"/>
      <c r="Q1" s="33"/>
    </row>
    <row r="2" spans="1:23" ht="13.5" customHeight="1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</row>
    <row r="3" spans="1:23" ht="15.75" customHeight="1">
      <c r="A3" s="32" t="s">
        <v>207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S3" s="30"/>
      <c r="T3" s="30"/>
      <c r="U3" s="30"/>
      <c r="V3" s="30"/>
      <c r="W3" s="30"/>
    </row>
    <row r="4" spans="1:23" ht="18.75" customHeight="1">
      <c r="A4" s="35" t="s">
        <v>132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S4" s="30"/>
      <c r="T4" s="30"/>
      <c r="U4" s="30"/>
      <c r="V4" s="30"/>
      <c r="W4" s="30"/>
    </row>
    <row r="5" spans="1:23" ht="13.5" customHeight="1">
      <c r="A5" s="35" t="s">
        <v>171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S5" s="30"/>
      <c r="T5" s="30"/>
      <c r="U5" s="30"/>
      <c r="V5" s="30"/>
      <c r="W5" s="30"/>
    </row>
    <row r="6" spans="1:23" ht="15" customHeight="1">
      <c r="A6" s="35" t="s">
        <v>172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S6" s="30"/>
      <c r="T6" s="30"/>
      <c r="U6" s="30"/>
      <c r="V6" s="30"/>
      <c r="W6" s="30"/>
    </row>
    <row r="7" spans="1:23" ht="10.5" customHeight="1">
      <c r="A7" s="33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</row>
    <row r="8" spans="1:23" ht="45.75" customHeight="1">
      <c r="A8" s="98" t="s">
        <v>128</v>
      </c>
      <c r="B8" s="100" t="s">
        <v>111</v>
      </c>
      <c r="C8" s="100"/>
      <c r="D8" s="101"/>
      <c r="E8" s="102" t="s">
        <v>112</v>
      </c>
      <c r="F8" s="100"/>
      <c r="G8" s="100"/>
      <c r="H8" s="100"/>
      <c r="I8" s="100"/>
      <c r="J8" s="100"/>
      <c r="K8" s="100"/>
      <c r="L8" s="100"/>
      <c r="M8" s="100"/>
      <c r="N8" s="101"/>
      <c r="O8" s="103" t="s">
        <v>206</v>
      </c>
      <c r="P8" s="103" t="s">
        <v>131</v>
      </c>
      <c r="Q8" s="103" t="s">
        <v>113</v>
      </c>
    </row>
    <row r="9" spans="1:23" ht="226.5" customHeight="1">
      <c r="A9" s="99"/>
      <c r="B9" s="50" t="s">
        <v>114</v>
      </c>
      <c r="C9" s="37" t="s">
        <v>115</v>
      </c>
      <c r="D9" s="37" t="s">
        <v>116</v>
      </c>
      <c r="E9" s="37" t="s">
        <v>117</v>
      </c>
      <c r="F9" s="37" t="s">
        <v>118</v>
      </c>
      <c r="G9" s="37" t="s">
        <v>119</v>
      </c>
      <c r="H9" s="37" t="s">
        <v>120</v>
      </c>
      <c r="I9" s="37" t="s">
        <v>121</v>
      </c>
      <c r="J9" s="37" t="s">
        <v>122</v>
      </c>
      <c r="K9" s="37" t="s">
        <v>123</v>
      </c>
      <c r="L9" s="37" t="s">
        <v>124</v>
      </c>
      <c r="M9" s="37" t="s">
        <v>125</v>
      </c>
      <c r="N9" s="37" t="s">
        <v>126</v>
      </c>
      <c r="O9" s="104"/>
      <c r="P9" s="104"/>
      <c r="Q9" s="104"/>
    </row>
    <row r="10" spans="1:23">
      <c r="A10" s="38">
        <v>1</v>
      </c>
      <c r="B10" s="39">
        <v>2</v>
      </c>
      <c r="C10" s="40">
        <v>3</v>
      </c>
      <c r="D10" s="40">
        <v>4</v>
      </c>
      <c r="E10" s="40">
        <v>5</v>
      </c>
      <c r="F10" s="40">
        <v>6</v>
      </c>
      <c r="G10" s="40">
        <v>7</v>
      </c>
      <c r="H10" s="40">
        <v>8</v>
      </c>
      <c r="I10" s="40">
        <v>9</v>
      </c>
      <c r="J10" s="40">
        <v>10</v>
      </c>
      <c r="K10" s="40">
        <v>11</v>
      </c>
      <c r="L10" s="40">
        <v>12</v>
      </c>
      <c r="M10" s="40">
        <v>13</v>
      </c>
      <c r="N10" s="40">
        <v>14</v>
      </c>
      <c r="O10" s="40">
        <v>15</v>
      </c>
      <c r="P10" s="40">
        <v>16</v>
      </c>
      <c r="Q10" s="41">
        <v>17</v>
      </c>
    </row>
    <row r="11" spans="1:23" ht="84.75" customHeight="1">
      <c r="A11" s="42" t="s">
        <v>129</v>
      </c>
      <c r="B11" s="45">
        <v>8852.36</v>
      </c>
      <c r="C11" s="46">
        <v>0</v>
      </c>
      <c r="D11" s="46">
        <v>0</v>
      </c>
      <c r="E11" s="46">
        <v>5684.4</v>
      </c>
      <c r="F11" s="46">
        <v>0</v>
      </c>
      <c r="G11" s="46">
        <v>0</v>
      </c>
      <c r="H11" s="46">
        <v>54.22</v>
      </c>
      <c r="I11" s="46">
        <v>17061.59</v>
      </c>
      <c r="J11" s="46">
        <v>0</v>
      </c>
      <c r="K11" s="46">
        <v>180.48</v>
      </c>
      <c r="L11" s="46">
        <v>252.65</v>
      </c>
      <c r="M11" s="46">
        <v>109.04</v>
      </c>
      <c r="N11" s="46">
        <v>0</v>
      </c>
      <c r="O11" s="46">
        <f>B11+C11+D11+E11+F11+G11+H11+I11+J11+K11+L11+M11+N11</f>
        <v>32194.74</v>
      </c>
      <c r="P11" s="46">
        <v>166</v>
      </c>
      <c r="Q11" s="46">
        <f>O11/P11</f>
        <v>193.94421686746989</v>
      </c>
      <c r="S11" s="1">
        <f>B11*166</f>
        <v>1469491.76</v>
      </c>
    </row>
    <row r="12" spans="1:23" ht="84.75" customHeight="1">
      <c r="A12" s="43" t="s">
        <v>130</v>
      </c>
      <c r="B12" s="48">
        <v>13663.25</v>
      </c>
      <c r="C12" s="48">
        <v>0</v>
      </c>
      <c r="D12" s="48">
        <v>0</v>
      </c>
      <c r="E12" s="48">
        <v>5532.4</v>
      </c>
      <c r="F12" s="48">
        <v>0</v>
      </c>
      <c r="G12" s="48">
        <v>0</v>
      </c>
      <c r="H12" s="48">
        <v>52.77</v>
      </c>
      <c r="I12" s="48">
        <f>расчеты!E115</f>
        <v>16605.34615186615</v>
      </c>
      <c r="J12" s="48">
        <v>0</v>
      </c>
      <c r="K12" s="48">
        <v>175.65</v>
      </c>
      <c r="L12" s="48">
        <v>245.89</v>
      </c>
      <c r="M12" s="48">
        <v>106.13</v>
      </c>
      <c r="N12" s="48">
        <v>0</v>
      </c>
      <c r="O12" s="48">
        <f>B12+C12+D12+E12+F12+G12+H12+I12+J12+K12+L12+M12+N12</f>
        <v>36381.436151866146</v>
      </c>
      <c r="P12" s="48">
        <v>777</v>
      </c>
      <c r="Q12" s="46">
        <f>O12/P12</f>
        <v>46.822955150406884</v>
      </c>
      <c r="R12" s="68"/>
      <c r="S12" s="1">
        <f>B12*777</f>
        <v>10616345.25</v>
      </c>
      <c r="T12" s="1">
        <f>S11+S12</f>
        <v>12085837.01</v>
      </c>
    </row>
    <row r="13" spans="1:23">
      <c r="A13" s="66"/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5">
        <f t="shared" ref="P13" si="0">SUM(P11:P12)</f>
        <v>943</v>
      </c>
      <c r="Q13" s="51">
        <f>O13/P13</f>
        <v>0</v>
      </c>
    </row>
    <row r="14" spans="1:23">
      <c r="A14" s="33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</row>
    <row r="15" spans="1:23" ht="15.6">
      <c r="B15" s="29"/>
      <c r="C15" s="29"/>
      <c r="D15" s="29"/>
      <c r="E15" s="29"/>
      <c r="F15" s="29"/>
      <c r="G15" s="29"/>
      <c r="H15" s="29"/>
      <c r="I15" s="29"/>
    </row>
    <row r="18" spans="2:23">
      <c r="S18" s="15"/>
      <c r="T18" s="15"/>
      <c r="U18" s="15"/>
      <c r="V18" s="15"/>
      <c r="W18" s="15"/>
    </row>
    <row r="19" spans="2:23" ht="15.6"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15"/>
      <c r="S19" s="30"/>
      <c r="T19" s="30"/>
      <c r="U19" s="30"/>
      <c r="V19" s="30"/>
      <c r="W19" s="30"/>
    </row>
    <row r="20" spans="2:23" ht="15.6"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15"/>
      <c r="S20" s="30"/>
      <c r="T20" s="30"/>
      <c r="U20" s="30"/>
      <c r="V20" s="30"/>
      <c r="W20" s="30"/>
    </row>
    <row r="21" spans="2:23" ht="15.6">
      <c r="B21" s="97"/>
      <c r="C21" s="97"/>
      <c r="D21" s="97"/>
      <c r="E21" s="97"/>
      <c r="F21" s="97"/>
      <c r="G21" s="97"/>
      <c r="H21" s="97"/>
      <c r="I21" s="97"/>
      <c r="J21" s="97"/>
      <c r="K21" s="97"/>
      <c r="L21" s="97"/>
      <c r="M21" s="97"/>
      <c r="N21" s="97"/>
      <c r="O21" s="49"/>
      <c r="P21" s="49"/>
      <c r="Q21" s="49"/>
      <c r="R21" s="15"/>
      <c r="S21" s="97"/>
      <c r="T21" s="97"/>
      <c r="U21" s="97"/>
      <c r="V21" s="97"/>
      <c r="W21" s="97"/>
    </row>
    <row r="22" spans="2:23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</row>
    <row r="23" spans="2:23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</row>
    <row r="24" spans="2:23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</row>
    <row r="25" spans="2:23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</row>
  </sheetData>
  <mergeCells count="10">
    <mergeCell ref="B21:D21"/>
    <mergeCell ref="E21:N21"/>
    <mergeCell ref="S21:U21"/>
    <mergeCell ref="V21:W21"/>
    <mergeCell ref="A8:A9"/>
    <mergeCell ref="B8:D8"/>
    <mergeCell ref="E8:N8"/>
    <mergeCell ref="O8:O9"/>
    <mergeCell ref="P8:P9"/>
    <mergeCell ref="Q8:Q9"/>
  </mergeCells>
  <pageMargins left="0.70866141732283472" right="0.70866141732283472" top="0.74803149606299213" bottom="0.74803149606299213" header="0.31496062992125984" footer="0.31496062992125984"/>
  <pageSetup paperSize="9" scale="85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21"/>
  <sheetViews>
    <sheetView topLeftCell="A52" workbookViewId="0">
      <selection activeCell="C91" sqref="C91"/>
    </sheetView>
  </sheetViews>
  <sheetFormatPr defaultColWidth="9.109375" defaultRowHeight="13.8"/>
  <cols>
    <col min="1" max="1" width="24.88671875" style="1" customWidth="1"/>
    <col min="2" max="2" width="12.109375" style="1" customWidth="1"/>
    <col min="3" max="3" width="29.33203125" style="1" customWidth="1"/>
    <col min="4" max="4" width="15.5546875" style="1" customWidth="1"/>
    <col min="5" max="5" width="16" style="1" customWidth="1"/>
    <col min="6" max="6" width="12.5546875" style="1" customWidth="1"/>
    <col min="7" max="7" width="11.33203125" style="1" customWidth="1"/>
    <col min="8" max="8" width="9.109375" style="1" customWidth="1"/>
    <col min="9" max="16384" width="9.109375" style="1"/>
  </cols>
  <sheetData>
    <row r="1" spans="1:7">
      <c r="A1" s="1" t="s">
        <v>43</v>
      </c>
    </row>
    <row r="2" spans="1:7">
      <c r="A2" s="1" t="s">
        <v>39</v>
      </c>
    </row>
    <row r="3" spans="1:7">
      <c r="A3" s="1" t="s">
        <v>40</v>
      </c>
    </row>
    <row r="4" spans="1:7">
      <c r="A4" s="1" t="s">
        <v>41</v>
      </c>
    </row>
    <row r="5" spans="1:7">
      <c r="A5" s="1" t="s">
        <v>42</v>
      </c>
    </row>
    <row r="6" spans="1:7">
      <c r="A6" s="1" t="s">
        <v>44</v>
      </c>
    </row>
    <row r="7" spans="1:7">
      <c r="A7" s="1" t="s">
        <v>46</v>
      </c>
    </row>
    <row r="8" spans="1:7">
      <c r="A8" s="1" t="s">
        <v>45</v>
      </c>
    </row>
    <row r="11" spans="1:7">
      <c r="A11" s="1" t="s">
        <v>0</v>
      </c>
    </row>
    <row r="13" spans="1:7" ht="63" customHeight="1">
      <c r="A13" s="3" t="s">
        <v>1</v>
      </c>
      <c r="B13" s="3" t="s">
        <v>2</v>
      </c>
      <c r="C13" s="3" t="s">
        <v>3</v>
      </c>
      <c r="D13" s="3" t="s">
        <v>2</v>
      </c>
      <c r="E13" s="2"/>
      <c r="F13" s="2"/>
      <c r="G13" s="2"/>
    </row>
    <row r="14" spans="1:7">
      <c r="A14" s="3" t="s">
        <v>17</v>
      </c>
      <c r="B14" s="3">
        <v>24.28</v>
      </c>
      <c r="C14" s="3" t="s">
        <v>4</v>
      </c>
      <c r="D14" s="3">
        <v>1</v>
      </c>
      <c r="E14" s="2"/>
      <c r="F14" s="2"/>
      <c r="G14" s="2"/>
    </row>
    <row r="15" spans="1:7" ht="58.5" customHeight="1">
      <c r="A15" s="3" t="s">
        <v>205</v>
      </c>
      <c r="B15" s="3">
        <v>1.1200000000000001</v>
      </c>
      <c r="C15" s="3" t="s">
        <v>5</v>
      </c>
      <c r="D15" s="3">
        <v>1</v>
      </c>
      <c r="E15" s="2"/>
      <c r="F15" s="2"/>
      <c r="G15" s="2"/>
    </row>
    <row r="16" spans="1:7" ht="41.4">
      <c r="A16" s="3"/>
      <c r="B16" s="3"/>
      <c r="C16" s="3" t="s">
        <v>6</v>
      </c>
      <c r="D16" s="3">
        <v>1</v>
      </c>
      <c r="E16" s="2"/>
      <c r="F16" s="2"/>
      <c r="G16" s="2"/>
    </row>
    <row r="17" spans="1:7" ht="27.6">
      <c r="A17" s="3"/>
      <c r="B17" s="3"/>
      <c r="C17" s="3" t="s">
        <v>7</v>
      </c>
      <c r="D17" s="3">
        <v>3</v>
      </c>
      <c r="E17" s="2"/>
      <c r="F17" s="2"/>
      <c r="G17" s="2"/>
    </row>
    <row r="18" spans="1:7">
      <c r="A18" s="3"/>
      <c r="B18" s="3"/>
      <c r="C18" s="3" t="s">
        <v>8</v>
      </c>
      <c r="D18" s="3">
        <v>1</v>
      </c>
      <c r="E18" s="2"/>
      <c r="F18" s="2"/>
      <c r="G18" s="2"/>
    </row>
    <row r="19" spans="1:7">
      <c r="A19" s="3"/>
      <c r="B19" s="3"/>
      <c r="C19" s="3" t="s">
        <v>9</v>
      </c>
      <c r="D19" s="3">
        <v>1</v>
      </c>
      <c r="E19" s="2"/>
      <c r="F19" s="2"/>
      <c r="G19" s="2"/>
    </row>
    <row r="20" spans="1:7" ht="27.6">
      <c r="A20" s="3"/>
      <c r="B20" s="3"/>
      <c r="C20" s="3" t="s">
        <v>52</v>
      </c>
      <c r="D20" s="3">
        <v>0.5</v>
      </c>
      <c r="E20" s="2"/>
      <c r="F20" s="2"/>
      <c r="G20" s="2"/>
    </row>
    <row r="21" spans="1:7">
      <c r="A21" s="3"/>
      <c r="B21" s="3"/>
      <c r="C21" s="3" t="s">
        <v>10</v>
      </c>
      <c r="D21" s="3">
        <v>1</v>
      </c>
      <c r="E21" s="2"/>
      <c r="F21" s="2"/>
      <c r="G21" s="2"/>
    </row>
    <row r="22" spans="1:7">
      <c r="A22" s="3"/>
      <c r="B22" s="3"/>
      <c r="C22" s="3" t="s">
        <v>11</v>
      </c>
      <c r="D22" s="3">
        <v>2</v>
      </c>
      <c r="E22" s="2"/>
      <c r="F22" s="2"/>
      <c r="G22" s="2"/>
    </row>
    <row r="23" spans="1:7" ht="21" customHeight="1">
      <c r="A23" s="3"/>
      <c r="B23" s="3"/>
      <c r="C23" s="3" t="s">
        <v>204</v>
      </c>
      <c r="D23" s="3">
        <v>1</v>
      </c>
      <c r="E23" s="2"/>
      <c r="F23" s="2"/>
      <c r="G23" s="2"/>
    </row>
    <row r="24" spans="1:7">
      <c r="A24" s="3"/>
      <c r="B24" s="3"/>
      <c r="C24" s="3" t="s">
        <v>23</v>
      </c>
      <c r="D24" s="3">
        <v>3</v>
      </c>
      <c r="E24" s="2"/>
      <c r="F24" s="2"/>
      <c r="G24" s="2"/>
    </row>
    <row r="25" spans="1:7">
      <c r="A25" s="3"/>
      <c r="B25" s="3"/>
      <c r="C25" s="3" t="s">
        <v>13</v>
      </c>
      <c r="D25" s="3">
        <v>1</v>
      </c>
      <c r="E25" s="2"/>
      <c r="F25" s="2"/>
      <c r="G25" s="2"/>
    </row>
    <row r="26" spans="1:7">
      <c r="A26" s="3"/>
      <c r="B26" s="3"/>
      <c r="C26" s="3" t="s">
        <v>14</v>
      </c>
      <c r="D26" s="3">
        <v>0.5</v>
      </c>
      <c r="E26" s="2"/>
      <c r="F26" s="2"/>
      <c r="G26" s="2"/>
    </row>
    <row r="27" spans="1:7">
      <c r="A27" s="3"/>
      <c r="B27" s="3"/>
      <c r="C27" s="3" t="s">
        <v>15</v>
      </c>
      <c r="D27" s="3">
        <v>2</v>
      </c>
      <c r="E27" s="2"/>
      <c r="F27" s="2"/>
      <c r="G27" s="2"/>
    </row>
    <row r="28" spans="1:7">
      <c r="A28" s="3"/>
      <c r="B28" s="3"/>
      <c r="C28" s="3" t="s">
        <v>16</v>
      </c>
      <c r="D28" s="3">
        <v>1</v>
      </c>
      <c r="E28" s="2"/>
      <c r="F28" s="2"/>
      <c r="G28" s="2"/>
    </row>
    <row r="29" spans="1:7" ht="27.6">
      <c r="A29" s="3"/>
      <c r="B29" s="3"/>
      <c r="C29" s="3" t="s">
        <v>19</v>
      </c>
      <c r="D29" s="3">
        <v>1</v>
      </c>
      <c r="E29" s="2"/>
      <c r="F29" s="2"/>
      <c r="G29" s="2"/>
    </row>
    <row r="30" spans="1:7">
      <c r="A30" s="3"/>
      <c r="B30" s="3"/>
      <c r="C30" s="3" t="s">
        <v>20</v>
      </c>
      <c r="D30" s="3">
        <v>3</v>
      </c>
      <c r="E30" s="2"/>
      <c r="F30" s="2"/>
      <c r="G30" s="2"/>
    </row>
    <row r="31" spans="1:7">
      <c r="A31" s="3"/>
      <c r="B31" s="3"/>
      <c r="C31" s="3" t="s">
        <v>21</v>
      </c>
      <c r="D31" s="3">
        <v>1</v>
      </c>
      <c r="E31" s="2"/>
      <c r="F31" s="2"/>
      <c r="G31" s="2"/>
    </row>
    <row r="32" spans="1:7">
      <c r="A32" s="3"/>
      <c r="B32" s="3"/>
      <c r="C32" s="3" t="s">
        <v>22</v>
      </c>
      <c r="D32" s="3">
        <v>1</v>
      </c>
      <c r="E32" s="2"/>
      <c r="F32" s="2"/>
      <c r="G32" s="2"/>
    </row>
    <row r="33" spans="1:7">
      <c r="A33" s="3"/>
      <c r="B33" s="3"/>
      <c r="C33" s="3" t="s">
        <v>24</v>
      </c>
      <c r="D33" s="3">
        <v>3</v>
      </c>
      <c r="E33" s="2"/>
      <c r="F33" s="2"/>
      <c r="G33" s="2"/>
    </row>
    <row r="34" spans="1:7">
      <c r="A34" s="3"/>
      <c r="B34" s="3"/>
      <c r="C34" s="3" t="s">
        <v>25</v>
      </c>
      <c r="D34" s="3">
        <v>1</v>
      </c>
      <c r="E34" s="2"/>
      <c r="F34" s="2"/>
      <c r="G34" s="2"/>
    </row>
    <row r="35" spans="1:7">
      <c r="A35" s="3"/>
      <c r="B35" s="3"/>
      <c r="C35" s="3" t="s">
        <v>26</v>
      </c>
      <c r="D35" s="3">
        <v>1</v>
      </c>
      <c r="E35" s="2"/>
      <c r="F35" s="2"/>
      <c r="G35" s="2"/>
    </row>
    <row r="36" spans="1:7" ht="27.6">
      <c r="A36" s="3"/>
      <c r="B36" s="3"/>
      <c r="C36" s="3" t="s">
        <v>27</v>
      </c>
      <c r="D36" s="3">
        <v>3</v>
      </c>
      <c r="E36" s="2"/>
      <c r="F36" s="2"/>
      <c r="G36" s="2"/>
    </row>
    <row r="37" spans="1:7">
      <c r="A37" s="3"/>
      <c r="B37" s="3"/>
      <c r="C37" s="3" t="s">
        <v>28</v>
      </c>
      <c r="D37" s="3">
        <v>7</v>
      </c>
      <c r="E37" s="2"/>
      <c r="F37" s="2"/>
      <c r="G37" s="2"/>
    </row>
    <row r="38" spans="1:7" ht="27.6">
      <c r="A38" s="3"/>
      <c r="B38" s="3"/>
      <c r="C38" s="3" t="s">
        <v>29</v>
      </c>
      <c r="D38" s="3">
        <v>13</v>
      </c>
      <c r="E38" s="2"/>
      <c r="F38" s="2"/>
      <c r="G38" s="2"/>
    </row>
    <row r="39" spans="1:7">
      <c r="A39" s="3"/>
      <c r="B39" s="3"/>
      <c r="C39" s="3" t="s">
        <v>30</v>
      </c>
      <c r="D39" s="3">
        <v>2</v>
      </c>
      <c r="E39" s="2"/>
      <c r="F39" s="2"/>
      <c r="G39" s="2"/>
    </row>
    <row r="40" spans="1:7">
      <c r="A40" s="3"/>
      <c r="B40" s="3"/>
      <c r="C40" s="3" t="s">
        <v>31</v>
      </c>
      <c r="D40" s="3">
        <v>1</v>
      </c>
      <c r="E40" s="2"/>
      <c r="F40" s="2"/>
      <c r="G40" s="2"/>
    </row>
    <row r="41" spans="1:7">
      <c r="A41" s="3"/>
      <c r="B41" s="3"/>
      <c r="C41" s="3" t="s">
        <v>32</v>
      </c>
      <c r="D41" s="3">
        <v>12</v>
      </c>
      <c r="E41" s="2"/>
      <c r="F41" s="2"/>
      <c r="G41" s="2"/>
    </row>
    <row r="42" spans="1:7">
      <c r="A42" s="3"/>
      <c r="B42" s="3"/>
      <c r="C42" s="3" t="s">
        <v>33</v>
      </c>
      <c r="D42" s="3">
        <v>1</v>
      </c>
      <c r="E42" s="2"/>
      <c r="F42" s="2"/>
      <c r="G42" s="2"/>
    </row>
    <row r="43" spans="1:7">
      <c r="A43" s="3"/>
      <c r="B43" s="3"/>
      <c r="C43" s="3" t="s">
        <v>34</v>
      </c>
      <c r="D43" s="3">
        <v>1</v>
      </c>
      <c r="E43" s="2"/>
      <c r="F43" s="2"/>
      <c r="G43" s="2"/>
    </row>
    <row r="44" spans="1:7">
      <c r="A44" s="3"/>
      <c r="B44" s="3"/>
      <c r="C44" s="3" t="s">
        <v>35</v>
      </c>
      <c r="D44" s="3">
        <v>1</v>
      </c>
      <c r="E44" s="2"/>
      <c r="F44" s="2"/>
      <c r="G44" s="2"/>
    </row>
    <row r="45" spans="1:7">
      <c r="A45" s="4"/>
      <c r="B45" s="4"/>
      <c r="C45" s="4" t="s">
        <v>36</v>
      </c>
      <c r="D45" s="4">
        <v>3</v>
      </c>
    </row>
    <row r="46" spans="1:7">
      <c r="A46" s="4"/>
      <c r="B46" s="4"/>
      <c r="C46" s="4" t="s">
        <v>37</v>
      </c>
      <c r="D46" s="4">
        <v>1</v>
      </c>
    </row>
    <row r="49" spans="1:8">
      <c r="A49" s="1" t="s">
        <v>86</v>
      </c>
    </row>
    <row r="51" spans="1:8">
      <c r="A51" s="5" t="s">
        <v>48</v>
      </c>
      <c r="F51" s="22"/>
      <c r="G51" s="22"/>
    </row>
    <row r="52" spans="1:8" ht="14.25" customHeight="1">
      <c r="F52" s="22"/>
      <c r="G52" s="22"/>
    </row>
    <row r="53" spans="1:8" ht="114" customHeight="1">
      <c r="A53" s="8" t="s">
        <v>95</v>
      </c>
      <c r="B53" s="8" t="s">
        <v>51</v>
      </c>
      <c r="C53" s="8" t="s">
        <v>2</v>
      </c>
      <c r="D53" s="8" t="s">
        <v>81</v>
      </c>
      <c r="E53" s="8" t="s">
        <v>82</v>
      </c>
      <c r="F53" s="23" t="s">
        <v>84</v>
      </c>
      <c r="G53" s="23" t="s">
        <v>85</v>
      </c>
      <c r="H53" s="61" t="s">
        <v>93</v>
      </c>
    </row>
    <row r="54" spans="1:8" ht="33" customHeight="1">
      <c r="A54" s="6">
        <v>1</v>
      </c>
      <c r="B54" s="6">
        <v>2</v>
      </c>
      <c r="C54" s="6">
        <v>3</v>
      </c>
      <c r="D54" s="6" t="s">
        <v>87</v>
      </c>
      <c r="E54" s="6" t="s">
        <v>83</v>
      </c>
      <c r="F54" s="24">
        <v>6</v>
      </c>
      <c r="G54" s="25">
        <v>7</v>
      </c>
      <c r="H54" s="62">
        <v>8</v>
      </c>
    </row>
    <row r="55" spans="1:8" ht="60.6" customHeight="1">
      <c r="A55" s="3" t="s">
        <v>91</v>
      </c>
      <c r="B55" s="3">
        <v>30454.46</v>
      </c>
      <c r="C55" s="3">
        <v>25.4</v>
      </c>
      <c r="D55" s="13">
        <f>B55*C55*12</f>
        <v>9282519.4079999998</v>
      </c>
      <c r="E55" s="11">
        <f>D55*1.302</f>
        <v>12085840.269216001</v>
      </c>
      <c r="F55" s="26">
        <v>943</v>
      </c>
      <c r="G55" s="26">
        <f>E55/F55</f>
        <v>12816.373562265113</v>
      </c>
      <c r="H55" s="63">
        <v>100</v>
      </c>
    </row>
    <row r="56" spans="1:8" ht="101.4" customHeight="1">
      <c r="A56" s="3" t="s">
        <v>92</v>
      </c>
      <c r="B56" s="3">
        <v>29576.560000000001</v>
      </c>
      <c r="C56" s="3">
        <v>3.18</v>
      </c>
      <c r="D56" s="13">
        <f>B56*C56*12</f>
        <v>1128641.5296000002</v>
      </c>
      <c r="E56" s="11">
        <f t="shared" ref="E56:E57" si="0">D56*1.302</f>
        <v>1469491.2715392003</v>
      </c>
      <c r="F56" s="26">
        <v>166</v>
      </c>
      <c r="G56" s="26">
        <f t="shared" ref="G56:G57" si="1">E56/F56</f>
        <v>8852.3570574650621</v>
      </c>
      <c r="H56" s="64">
        <f>E56/E55*100</f>
        <v>12.158784485032129</v>
      </c>
    </row>
    <row r="57" spans="1:8" ht="115.2" customHeight="1">
      <c r="A57" s="3" t="s">
        <v>94</v>
      </c>
      <c r="B57" s="14">
        <f>D57/C57/12</f>
        <v>30580.100054005405</v>
      </c>
      <c r="C57" s="3">
        <f>C55-C56</f>
        <v>22.22</v>
      </c>
      <c r="D57" s="13">
        <f>D55-D56</f>
        <v>8153877.8783999998</v>
      </c>
      <c r="E57" s="11">
        <f t="shared" si="0"/>
        <v>10616348.997676801</v>
      </c>
      <c r="F57" s="26">
        <v>777</v>
      </c>
      <c r="G57" s="26">
        <f t="shared" si="1"/>
        <v>13663.254823264866</v>
      </c>
      <c r="H57" s="64">
        <f>E57/E55*100</f>
        <v>87.841215514967871</v>
      </c>
    </row>
    <row r="58" spans="1:8" ht="18.75" customHeight="1">
      <c r="A58" s="19"/>
      <c r="B58" s="19"/>
      <c r="C58" s="19"/>
      <c r="D58" s="21"/>
      <c r="E58" s="20"/>
      <c r="F58" s="20"/>
      <c r="G58" s="20"/>
      <c r="H58" s="18"/>
    </row>
    <row r="59" spans="1:8" ht="18.75" customHeight="1">
      <c r="A59" s="5" t="s">
        <v>88</v>
      </c>
      <c r="H59" s="15"/>
    </row>
    <row r="60" spans="1:8" ht="18.75" customHeight="1">
      <c r="H60" s="15"/>
    </row>
    <row r="61" spans="1:8" ht="83.25" customHeight="1">
      <c r="A61" s="8" t="s">
        <v>95</v>
      </c>
      <c r="B61" s="8" t="s">
        <v>51</v>
      </c>
      <c r="C61" s="8" t="s">
        <v>2</v>
      </c>
      <c r="D61" s="8" t="s">
        <v>81</v>
      </c>
      <c r="E61" s="8" t="s">
        <v>82</v>
      </c>
      <c r="F61" s="16"/>
      <c r="G61" s="16"/>
      <c r="H61" s="15"/>
    </row>
    <row r="62" spans="1:8" ht="33.75" customHeight="1">
      <c r="A62" s="6">
        <v>1</v>
      </c>
      <c r="B62" s="6">
        <v>2</v>
      </c>
      <c r="C62" s="6">
        <v>3</v>
      </c>
      <c r="D62" s="6" t="s">
        <v>87</v>
      </c>
      <c r="E62" s="6" t="s">
        <v>83</v>
      </c>
      <c r="F62" s="17"/>
      <c r="G62" s="27"/>
      <c r="H62" s="15"/>
    </row>
    <row r="63" spans="1:8" ht="59.25" customHeight="1">
      <c r="A63" s="3" t="s">
        <v>89</v>
      </c>
      <c r="B63" s="3">
        <v>13251.02</v>
      </c>
      <c r="C63" s="3">
        <v>76</v>
      </c>
      <c r="D63" s="13">
        <v>12084929.380000001</v>
      </c>
      <c r="E63" s="10">
        <v>15734578</v>
      </c>
      <c r="F63" s="20"/>
      <c r="G63" s="20"/>
      <c r="H63" s="15"/>
    </row>
    <row r="64" spans="1:8" ht="20.25" customHeight="1">
      <c r="A64" s="3" t="s">
        <v>104</v>
      </c>
      <c r="B64" s="3"/>
      <c r="C64" s="3"/>
      <c r="D64" s="13"/>
      <c r="E64" s="10">
        <v>15734578</v>
      </c>
      <c r="F64" s="20"/>
      <c r="G64" s="20"/>
      <c r="H64" s="15"/>
    </row>
    <row r="65" spans="1:8" ht="20.25" customHeight="1">
      <c r="A65" s="19"/>
      <c r="B65" s="19"/>
      <c r="C65" s="19"/>
      <c r="D65" s="21"/>
      <c r="E65" s="18"/>
      <c r="F65" s="20"/>
      <c r="G65" s="20"/>
      <c r="H65" s="15"/>
    </row>
    <row r="66" spans="1:8" hidden="1"/>
    <row r="67" spans="1:8" hidden="1">
      <c r="A67" s="5" t="s">
        <v>56</v>
      </c>
    </row>
    <row r="68" spans="1:8" hidden="1"/>
    <row r="69" spans="1:8" ht="45.75" hidden="1" customHeight="1">
      <c r="A69" s="8" t="s">
        <v>57</v>
      </c>
      <c r="B69" s="8" t="s">
        <v>58</v>
      </c>
      <c r="C69" s="8" t="s">
        <v>59</v>
      </c>
      <c r="D69" s="8" t="s">
        <v>60</v>
      </c>
      <c r="E69" s="8" t="s">
        <v>61</v>
      </c>
      <c r="F69" s="8" t="s">
        <v>63</v>
      </c>
      <c r="G69" s="8" t="s">
        <v>64</v>
      </c>
      <c r="H69" s="8" t="s">
        <v>54</v>
      </c>
    </row>
    <row r="70" spans="1:8" hidden="1">
      <c r="A70" s="12">
        <v>1</v>
      </c>
      <c r="B70" s="12">
        <v>2</v>
      </c>
      <c r="C70" s="12">
        <v>3</v>
      </c>
      <c r="D70" s="12">
        <v>4</v>
      </c>
      <c r="E70" s="12" t="s">
        <v>62</v>
      </c>
      <c r="F70" s="12">
        <v>6</v>
      </c>
      <c r="G70" s="12">
        <v>7</v>
      </c>
      <c r="H70" s="12" t="s">
        <v>65</v>
      </c>
    </row>
    <row r="71" spans="1:8" hidden="1">
      <c r="A71" s="4"/>
      <c r="B71" s="4"/>
      <c r="C71" s="4">
        <v>0</v>
      </c>
      <c r="D71" s="4">
        <v>166</v>
      </c>
      <c r="E71" s="4">
        <f>C71/D71</f>
        <v>0</v>
      </c>
      <c r="F71" s="4">
        <v>0</v>
      </c>
      <c r="G71" s="4">
        <v>0</v>
      </c>
      <c r="H71" s="4">
        <f>E71*G71</f>
        <v>0</v>
      </c>
    </row>
    <row r="72" spans="1:8" ht="18.75" hidden="1" customHeight="1">
      <c r="F72" s="4" t="s">
        <v>66</v>
      </c>
      <c r="G72" s="4"/>
      <c r="H72" s="4">
        <v>0</v>
      </c>
    </row>
    <row r="73" spans="1:8" ht="18.75" customHeight="1">
      <c r="A73" s="5" t="s">
        <v>90</v>
      </c>
      <c r="F73" s="15"/>
      <c r="G73" s="15"/>
      <c r="H73" s="15"/>
    </row>
    <row r="74" spans="1:8" ht="18.75" customHeight="1">
      <c r="F74" s="15"/>
      <c r="G74" s="15"/>
      <c r="H74" s="15"/>
    </row>
    <row r="75" spans="1:8" ht="32.25" customHeight="1">
      <c r="A75" s="7" t="s">
        <v>102</v>
      </c>
      <c r="B75" s="7" t="s">
        <v>96</v>
      </c>
      <c r="C75" s="7" t="s">
        <v>69</v>
      </c>
      <c r="D75" s="6" t="s">
        <v>71</v>
      </c>
      <c r="E75" s="7" t="s">
        <v>160</v>
      </c>
      <c r="F75" s="7" t="s">
        <v>97</v>
      </c>
      <c r="G75" s="15"/>
      <c r="H75" s="15"/>
    </row>
    <row r="76" spans="1:8" ht="18.75" customHeight="1">
      <c r="A76" s="7">
        <v>1</v>
      </c>
      <c r="B76" s="7">
        <v>2</v>
      </c>
      <c r="C76" s="7">
        <v>3</v>
      </c>
      <c r="D76" s="7">
        <v>4</v>
      </c>
      <c r="E76" s="7">
        <v>4</v>
      </c>
      <c r="F76" s="7">
        <v>4</v>
      </c>
      <c r="G76" s="15"/>
      <c r="H76" s="15"/>
    </row>
    <row r="77" spans="1:8" ht="27.75" customHeight="1">
      <c r="A77" s="59" t="s">
        <v>98</v>
      </c>
      <c r="B77" s="3" t="s">
        <v>99</v>
      </c>
      <c r="C77" s="59">
        <v>6</v>
      </c>
      <c r="D77" s="60">
        <v>694.44500000000005</v>
      </c>
      <c r="E77" s="60">
        <v>12</v>
      </c>
      <c r="F77" s="60">
        <f>C77*D77*E77</f>
        <v>50000.04</v>
      </c>
      <c r="G77" s="15"/>
      <c r="H77" s="15"/>
    </row>
    <row r="78" spans="1:8">
      <c r="A78" s="59" t="s">
        <v>104</v>
      </c>
      <c r="B78" s="3"/>
      <c r="C78" s="59"/>
      <c r="D78" s="60"/>
      <c r="E78" s="60"/>
      <c r="F78" s="60">
        <f>F77</f>
        <v>50000.04</v>
      </c>
      <c r="G78" s="15"/>
      <c r="H78" s="15"/>
    </row>
    <row r="79" spans="1:8" ht="18.75" customHeight="1">
      <c r="F79" s="15"/>
      <c r="G79" s="15"/>
      <c r="H79" s="15"/>
    </row>
    <row r="80" spans="1:8" ht="18.75" customHeight="1">
      <c r="A80" s="5" t="s">
        <v>100</v>
      </c>
      <c r="F80" s="15"/>
      <c r="G80" s="15"/>
      <c r="H80" s="15"/>
    </row>
    <row r="82" spans="1:8" ht="27.75" customHeight="1">
      <c r="A82" s="4" t="s">
        <v>102</v>
      </c>
      <c r="B82" s="4" t="s">
        <v>96</v>
      </c>
      <c r="C82" s="4" t="s">
        <v>69</v>
      </c>
      <c r="D82" s="4" t="s">
        <v>161</v>
      </c>
      <c r="E82" s="4" t="s">
        <v>97</v>
      </c>
      <c r="F82" s="15"/>
      <c r="G82" s="15"/>
    </row>
    <row r="83" spans="1:8">
      <c r="A83" s="7">
        <v>1</v>
      </c>
      <c r="B83" s="7">
        <v>2</v>
      </c>
      <c r="C83" s="7">
        <v>3</v>
      </c>
      <c r="D83" s="7">
        <v>4</v>
      </c>
      <c r="E83" s="7">
        <v>4</v>
      </c>
      <c r="F83" s="17"/>
      <c r="G83" s="17"/>
    </row>
    <row r="84" spans="1:8" ht="27.6">
      <c r="A84" s="4" t="s">
        <v>101</v>
      </c>
      <c r="B84" s="3" t="s">
        <v>163</v>
      </c>
      <c r="C84" s="4">
        <v>10</v>
      </c>
      <c r="D84" s="11">
        <v>10056</v>
      </c>
      <c r="E84" s="11">
        <v>100560</v>
      </c>
      <c r="F84" s="20"/>
      <c r="G84" s="20"/>
    </row>
    <row r="85" spans="1:8">
      <c r="A85" s="4" t="s">
        <v>104</v>
      </c>
      <c r="B85" s="3"/>
      <c r="C85" s="4"/>
      <c r="D85" s="11"/>
      <c r="E85" s="11">
        <v>100560</v>
      </c>
      <c r="F85" s="20"/>
      <c r="G85" s="20"/>
    </row>
    <row r="87" spans="1:8">
      <c r="A87" s="5" t="s">
        <v>67</v>
      </c>
    </row>
    <row r="89" spans="1:8" ht="75" customHeight="1">
      <c r="A89" s="8" t="s">
        <v>103</v>
      </c>
      <c r="B89" s="8" t="s">
        <v>58</v>
      </c>
      <c r="C89" s="8" t="s">
        <v>69</v>
      </c>
      <c r="D89" s="4" t="s">
        <v>97</v>
      </c>
      <c r="E89" s="16"/>
      <c r="F89" s="16"/>
      <c r="G89" s="16"/>
      <c r="H89" s="16"/>
    </row>
    <row r="90" spans="1:8">
      <c r="A90" s="12">
        <v>1</v>
      </c>
      <c r="B90" s="12">
        <v>2</v>
      </c>
      <c r="C90" s="12">
        <v>3</v>
      </c>
      <c r="D90" s="12">
        <v>4</v>
      </c>
      <c r="E90" s="28"/>
      <c r="F90" s="28"/>
      <c r="G90" s="28"/>
      <c r="H90" s="28"/>
    </row>
    <row r="91" spans="1:8">
      <c r="A91" s="4" t="s">
        <v>73</v>
      </c>
      <c r="B91" s="4" t="s">
        <v>77</v>
      </c>
      <c r="C91" s="4">
        <v>305000</v>
      </c>
      <c r="D91" s="4">
        <v>1512828.05</v>
      </c>
      <c r="E91" s="15"/>
      <c r="F91" s="18"/>
      <c r="G91" s="15"/>
      <c r="H91" s="18"/>
    </row>
    <row r="92" spans="1:8">
      <c r="A92" s="4" t="s">
        <v>74</v>
      </c>
      <c r="B92" s="4" t="s">
        <v>78</v>
      </c>
      <c r="C92" s="4">
        <v>1652</v>
      </c>
      <c r="D92" s="4">
        <f>3503493.59+379.45</f>
        <v>3503873.04</v>
      </c>
      <c r="E92" s="15"/>
      <c r="F92" s="18"/>
      <c r="G92" s="15"/>
      <c r="H92" s="18"/>
    </row>
    <row r="93" spans="1:8">
      <c r="A93" s="4" t="s">
        <v>75</v>
      </c>
      <c r="B93" s="4" t="s">
        <v>79</v>
      </c>
      <c r="C93" s="4">
        <v>2899</v>
      </c>
      <c r="D93" s="4">
        <v>88713.11</v>
      </c>
      <c r="E93" s="15"/>
      <c r="F93" s="18"/>
      <c r="G93" s="18"/>
      <c r="H93" s="18"/>
    </row>
    <row r="94" spans="1:8">
      <c r="A94" s="4" t="s">
        <v>76</v>
      </c>
      <c r="B94" s="4" t="s">
        <v>79</v>
      </c>
      <c r="C94" s="4">
        <v>3150</v>
      </c>
      <c r="D94" s="4">
        <v>136867.5</v>
      </c>
      <c r="E94" s="15"/>
      <c r="F94" s="18"/>
      <c r="G94" s="15"/>
      <c r="H94" s="18"/>
    </row>
    <row r="95" spans="1:8">
      <c r="A95" s="4" t="s">
        <v>104</v>
      </c>
      <c r="B95" s="4"/>
      <c r="C95" s="4"/>
      <c r="D95" s="4">
        <f>SUM(D91:D94)</f>
        <v>5242281.7</v>
      </c>
      <c r="E95" s="15"/>
      <c r="F95" s="15"/>
      <c r="G95" s="15"/>
      <c r="H95" s="18"/>
    </row>
    <row r="96" spans="1:8">
      <c r="E96" s="15"/>
      <c r="F96" s="15"/>
      <c r="G96" s="15"/>
      <c r="H96" s="15"/>
    </row>
    <row r="97" spans="1:5">
      <c r="A97" s="5" t="s">
        <v>105</v>
      </c>
    </row>
    <row r="99" spans="1:5">
      <c r="A99" s="4" t="s">
        <v>102</v>
      </c>
      <c r="B99" s="4" t="s">
        <v>96</v>
      </c>
      <c r="C99" s="4" t="s">
        <v>69</v>
      </c>
      <c r="D99" s="4" t="s">
        <v>164</v>
      </c>
      <c r="E99" s="4" t="s">
        <v>97</v>
      </c>
    </row>
    <row r="100" spans="1:5">
      <c r="A100" s="7">
        <v>1</v>
      </c>
      <c r="B100" s="7">
        <v>2</v>
      </c>
      <c r="C100" s="7">
        <v>3</v>
      </c>
      <c r="D100" s="7">
        <v>4</v>
      </c>
      <c r="E100" s="7">
        <v>4</v>
      </c>
    </row>
    <row r="101" spans="1:5" ht="41.4">
      <c r="A101" s="4" t="s">
        <v>106</v>
      </c>
      <c r="B101" s="3" t="s">
        <v>162</v>
      </c>
      <c r="C101" s="4">
        <v>120</v>
      </c>
      <c r="D101" s="10">
        <v>1941.67</v>
      </c>
      <c r="E101" s="10">
        <v>233000</v>
      </c>
    </row>
    <row r="102" spans="1:5">
      <c r="A102" s="4" t="s">
        <v>104</v>
      </c>
      <c r="B102" s="3"/>
      <c r="C102" s="4"/>
      <c r="D102" s="10"/>
      <c r="E102" s="10">
        <v>233000</v>
      </c>
    </row>
    <row r="104" spans="1:5">
      <c r="A104" s="5" t="s">
        <v>107</v>
      </c>
    </row>
    <row r="105" spans="1:5">
      <c r="A105" s="5"/>
    </row>
    <row r="106" spans="1:5">
      <c r="A106" s="4" t="s">
        <v>102</v>
      </c>
      <c r="B106" s="4" t="s">
        <v>96</v>
      </c>
      <c r="C106" s="4" t="s">
        <v>69</v>
      </c>
      <c r="D106" s="4" t="s">
        <v>164</v>
      </c>
      <c r="E106" s="4" t="s">
        <v>97</v>
      </c>
    </row>
    <row r="107" spans="1:5">
      <c r="A107" s="7">
        <v>1</v>
      </c>
      <c r="B107" s="7">
        <v>2</v>
      </c>
      <c r="C107" s="7">
        <v>3</v>
      </c>
      <c r="D107" s="7">
        <v>4</v>
      </c>
      <c r="E107" s="7">
        <v>4</v>
      </c>
    </row>
    <row r="108" spans="1:5" ht="41.4">
      <c r="A108" s="4" t="s">
        <v>108</v>
      </c>
      <c r="B108" s="3" t="s">
        <v>162</v>
      </c>
      <c r="C108" s="4">
        <v>120</v>
      </c>
      <c r="D108" s="10">
        <v>1387</v>
      </c>
      <c r="E108" s="10">
        <v>166440</v>
      </c>
    </row>
    <row r="109" spans="1:5">
      <c r="A109" s="4" t="s">
        <v>104</v>
      </c>
      <c r="B109" s="3"/>
      <c r="C109" s="4"/>
      <c r="D109" s="10"/>
      <c r="E109" s="10">
        <v>166440</v>
      </c>
    </row>
    <row r="112" spans="1:5">
      <c r="A112" s="5" t="s">
        <v>165</v>
      </c>
    </row>
    <row r="114" spans="1:6" ht="138">
      <c r="A114" s="7" t="s">
        <v>166</v>
      </c>
      <c r="B114" s="6" t="s">
        <v>170</v>
      </c>
      <c r="C114" s="6" t="s">
        <v>169</v>
      </c>
      <c r="D114" s="6" t="s">
        <v>167</v>
      </c>
      <c r="E114" s="6" t="s">
        <v>168</v>
      </c>
      <c r="F114" s="27"/>
    </row>
    <row r="115" spans="1:6" ht="90.75" customHeight="1">
      <c r="A115" s="3" t="s">
        <v>88</v>
      </c>
      <c r="B115" s="105">
        <v>943</v>
      </c>
      <c r="C115" s="10">
        <v>15734578</v>
      </c>
      <c r="D115" s="10">
        <v>17061.59</v>
      </c>
      <c r="E115" s="10">
        <f>C115*82%/777</f>
        <v>16605.34615186615</v>
      </c>
      <c r="F115" s="15"/>
    </row>
    <row r="116" spans="1:6">
      <c r="A116" s="4" t="s">
        <v>90</v>
      </c>
      <c r="B116" s="106"/>
      <c r="C116" s="10">
        <v>50000</v>
      </c>
      <c r="D116" s="10">
        <v>54.22</v>
      </c>
      <c r="E116" s="10">
        <f t="shared" ref="E116:E120" si="2">C116*82%/777</f>
        <v>52.767052767052768</v>
      </c>
      <c r="F116" s="15"/>
    </row>
    <row r="117" spans="1:6">
      <c r="A117" s="4" t="s">
        <v>100</v>
      </c>
      <c r="B117" s="106"/>
      <c r="C117" s="10">
        <v>100560</v>
      </c>
      <c r="D117" s="10">
        <f t="shared" ref="D117:D120" si="3">C117*18%/166</f>
        <v>109.04096385542168</v>
      </c>
      <c r="E117" s="10">
        <f t="shared" si="2"/>
        <v>106.12509652509652</v>
      </c>
      <c r="F117" s="15"/>
    </row>
    <row r="118" spans="1:6" ht="27.6">
      <c r="A118" s="3" t="s">
        <v>67</v>
      </c>
      <c r="B118" s="106"/>
      <c r="C118" s="10">
        <v>5242281.7</v>
      </c>
      <c r="D118" s="10">
        <f t="shared" si="3"/>
        <v>5684.4018433734936</v>
      </c>
      <c r="E118" s="10">
        <f t="shared" si="2"/>
        <v>5532.3951016731016</v>
      </c>
      <c r="F118" s="15"/>
    </row>
    <row r="119" spans="1:6" ht="30.75" customHeight="1">
      <c r="A119" s="4" t="s">
        <v>105</v>
      </c>
      <c r="B119" s="106"/>
      <c r="C119" s="10">
        <v>233000</v>
      </c>
      <c r="D119" s="10">
        <f t="shared" si="3"/>
        <v>252.65060240963857</v>
      </c>
      <c r="E119" s="10">
        <f t="shared" si="2"/>
        <v>245.8944658944659</v>
      </c>
      <c r="F119" s="15"/>
    </row>
    <row r="120" spans="1:6" ht="27.6">
      <c r="A120" s="3" t="s">
        <v>107</v>
      </c>
      <c r="B120" s="107"/>
      <c r="C120" s="10">
        <v>166440</v>
      </c>
      <c r="D120" s="10">
        <f t="shared" si="3"/>
        <v>180.47710843373491</v>
      </c>
      <c r="E120" s="10">
        <f t="shared" si="2"/>
        <v>175.65096525096524</v>
      </c>
      <c r="F120" s="15"/>
    </row>
    <row r="121" spans="1:6">
      <c r="A121" s="4" t="s">
        <v>104</v>
      </c>
      <c r="B121" s="4"/>
      <c r="C121" s="11"/>
      <c r="D121" s="10">
        <f>SUM(D115:D120)</f>
        <v>23342.380518072288</v>
      </c>
      <c r="E121" s="10">
        <f>SUM(E115:E120)</f>
        <v>22718.178833976835</v>
      </c>
    </row>
  </sheetData>
  <mergeCells count="1">
    <mergeCell ref="B115:B120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W26"/>
  <sheetViews>
    <sheetView topLeftCell="A7" workbookViewId="0">
      <selection activeCell="B23" sqref="B23"/>
    </sheetView>
  </sheetViews>
  <sheetFormatPr defaultColWidth="9.109375" defaultRowHeight="13.8"/>
  <cols>
    <col min="1" max="1" width="17.88671875" style="1" customWidth="1"/>
    <col min="2" max="2" width="11.5546875" style="1" customWidth="1"/>
    <col min="3" max="3" width="5.6640625" style="1" customWidth="1"/>
    <col min="4" max="4" width="5" style="1" customWidth="1"/>
    <col min="5" max="5" width="9.88671875" style="1" customWidth="1"/>
    <col min="6" max="6" width="5.33203125" style="1" customWidth="1"/>
    <col min="7" max="7" width="7.44140625" style="1" customWidth="1"/>
    <col min="8" max="8" width="8.5546875" style="1" customWidth="1"/>
    <col min="9" max="9" width="11.33203125" style="1" customWidth="1"/>
    <col min="10" max="10" width="5.5546875" style="1" customWidth="1"/>
    <col min="11" max="11" width="8.33203125" style="1" customWidth="1"/>
    <col min="12" max="13" width="9.109375" style="1"/>
    <col min="14" max="14" width="5.88671875" style="1" customWidth="1"/>
    <col min="15" max="15" width="11.88671875" style="1" customWidth="1"/>
    <col min="16" max="16384" width="9.109375" style="1"/>
  </cols>
  <sheetData>
    <row r="1" spans="1:23" ht="15.6">
      <c r="A1" s="33"/>
      <c r="B1" s="33"/>
      <c r="C1" s="33"/>
      <c r="D1" s="33"/>
      <c r="E1" s="33"/>
      <c r="F1" s="33"/>
      <c r="G1" s="33"/>
      <c r="H1" s="33"/>
      <c r="J1" s="33"/>
      <c r="L1" s="33"/>
      <c r="M1" s="29" t="s">
        <v>137</v>
      </c>
      <c r="N1" s="33"/>
      <c r="O1" s="33"/>
      <c r="P1" s="33"/>
      <c r="Q1" s="33"/>
    </row>
    <row r="2" spans="1:23" ht="13.5" customHeight="1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</row>
    <row r="3" spans="1:23" ht="15.75" customHeight="1">
      <c r="A3" s="32" t="s">
        <v>127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S3" s="30"/>
      <c r="T3" s="30"/>
      <c r="U3" s="30"/>
      <c r="V3" s="30"/>
      <c r="W3" s="30"/>
    </row>
    <row r="4" spans="1:23" ht="18.75" customHeight="1">
      <c r="A4" s="35" t="s">
        <v>132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S4" s="30"/>
      <c r="T4" s="30"/>
      <c r="U4" s="30"/>
      <c r="V4" s="30"/>
      <c r="W4" s="30"/>
    </row>
    <row r="5" spans="1:23" ht="14.25" customHeight="1">
      <c r="A5" s="35" t="s">
        <v>133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S5" s="30"/>
      <c r="T5" s="30"/>
      <c r="U5" s="30"/>
      <c r="V5" s="30"/>
      <c r="W5" s="30"/>
    </row>
    <row r="6" spans="1:23" ht="13.5" customHeight="1">
      <c r="A6" s="35" t="s">
        <v>134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S6" s="30"/>
      <c r="T6" s="30"/>
      <c r="U6" s="30"/>
      <c r="V6" s="30"/>
      <c r="W6" s="30"/>
    </row>
    <row r="7" spans="1:23" ht="15" customHeight="1">
      <c r="A7" s="35" t="s">
        <v>135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S7" s="30"/>
      <c r="T7" s="30"/>
      <c r="U7" s="30"/>
      <c r="V7" s="30"/>
      <c r="W7" s="30"/>
    </row>
    <row r="8" spans="1:23" ht="10.5" customHeight="1">
      <c r="A8" s="33"/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</row>
    <row r="9" spans="1:23" ht="45.75" customHeight="1">
      <c r="A9" s="98" t="s">
        <v>128</v>
      </c>
      <c r="B9" s="100" t="s">
        <v>111</v>
      </c>
      <c r="C9" s="100"/>
      <c r="D9" s="101"/>
      <c r="E9" s="102" t="s">
        <v>112</v>
      </c>
      <c r="F9" s="100"/>
      <c r="G9" s="100"/>
      <c r="H9" s="100"/>
      <c r="I9" s="100"/>
      <c r="J9" s="100"/>
      <c r="K9" s="100"/>
      <c r="L9" s="100"/>
      <c r="M9" s="100"/>
      <c r="N9" s="101"/>
      <c r="O9" s="103" t="s">
        <v>136</v>
      </c>
      <c r="P9" s="103" t="s">
        <v>131</v>
      </c>
      <c r="Q9" s="103" t="s">
        <v>113</v>
      </c>
    </row>
    <row r="10" spans="1:23" ht="226.5" customHeight="1">
      <c r="A10" s="99"/>
      <c r="B10" s="36" t="s">
        <v>114</v>
      </c>
      <c r="C10" s="37" t="s">
        <v>115</v>
      </c>
      <c r="D10" s="37" t="s">
        <v>116</v>
      </c>
      <c r="E10" s="37" t="s">
        <v>117</v>
      </c>
      <c r="F10" s="37" t="s">
        <v>118</v>
      </c>
      <c r="G10" s="37" t="s">
        <v>119</v>
      </c>
      <c r="H10" s="37" t="s">
        <v>120</v>
      </c>
      <c r="I10" s="37" t="s">
        <v>121</v>
      </c>
      <c r="J10" s="37" t="s">
        <v>122</v>
      </c>
      <c r="K10" s="37" t="s">
        <v>123</v>
      </c>
      <c r="L10" s="37" t="s">
        <v>124</v>
      </c>
      <c r="M10" s="37" t="s">
        <v>125</v>
      </c>
      <c r="N10" s="37" t="s">
        <v>126</v>
      </c>
      <c r="O10" s="104"/>
      <c r="P10" s="104"/>
      <c r="Q10" s="104"/>
    </row>
    <row r="11" spans="1:23">
      <c r="A11" s="38">
        <v>1</v>
      </c>
      <c r="B11" s="39">
        <v>2</v>
      </c>
      <c r="C11" s="40">
        <v>3</v>
      </c>
      <c r="D11" s="40">
        <v>4</v>
      </c>
      <c r="E11" s="40">
        <v>5</v>
      </c>
      <c r="F11" s="40">
        <v>6</v>
      </c>
      <c r="G11" s="40">
        <v>7</v>
      </c>
      <c r="H11" s="40">
        <v>8</v>
      </c>
      <c r="I11" s="40">
        <v>9</v>
      </c>
      <c r="J11" s="40">
        <v>10</v>
      </c>
      <c r="K11" s="40">
        <v>11</v>
      </c>
      <c r="L11" s="40">
        <v>12</v>
      </c>
      <c r="M11" s="40">
        <v>13</v>
      </c>
      <c r="N11" s="40">
        <v>14</v>
      </c>
      <c r="O11" s="40">
        <v>15</v>
      </c>
      <c r="P11" s="40">
        <v>16</v>
      </c>
      <c r="Q11" s="41">
        <v>17</v>
      </c>
    </row>
    <row r="12" spans="1:23" ht="84.75" customHeight="1">
      <c r="A12" s="42" t="s">
        <v>129</v>
      </c>
      <c r="B12" s="55">
        <v>1469491.3</v>
      </c>
      <c r="C12" s="56">
        <v>0</v>
      </c>
      <c r="D12" s="56">
        <v>0</v>
      </c>
      <c r="E12" s="56">
        <f>5242281.7*12%</f>
        <v>629073.804</v>
      </c>
      <c r="F12" s="56">
        <v>0</v>
      </c>
      <c r="G12" s="56">
        <v>0</v>
      </c>
      <c r="H12" s="56">
        <f>50000*12%</f>
        <v>6000</v>
      </c>
      <c r="I12" s="56">
        <f>15734578*12%</f>
        <v>1888149.3599999999</v>
      </c>
      <c r="J12" s="56">
        <v>0</v>
      </c>
      <c r="K12" s="56">
        <f>166440*12%</f>
        <v>19972.8</v>
      </c>
      <c r="L12" s="56">
        <f>233000*12%</f>
        <v>27960</v>
      </c>
      <c r="M12" s="56">
        <f>100560*12%</f>
        <v>12067.199999999999</v>
      </c>
      <c r="N12" s="56">
        <v>0</v>
      </c>
      <c r="O12" s="56">
        <f>B12+C12+D12+E12+F12+G12+H12+I12+J12+K12+L12+M12+N12</f>
        <v>4052714.4640000002</v>
      </c>
      <c r="P12" s="56">
        <v>166</v>
      </c>
      <c r="Q12" s="56">
        <f>O12/P12</f>
        <v>24413.942554216868</v>
      </c>
    </row>
    <row r="13" spans="1:23" ht="84.75" customHeight="1">
      <c r="A13" s="43" t="s">
        <v>130</v>
      </c>
      <c r="B13" s="57">
        <v>10616349</v>
      </c>
      <c r="C13" s="57">
        <v>0</v>
      </c>
      <c r="D13" s="57">
        <v>0</v>
      </c>
      <c r="E13" s="57">
        <f>5242281.7*88%</f>
        <v>4613207.8960000006</v>
      </c>
      <c r="F13" s="57">
        <v>0</v>
      </c>
      <c r="G13" s="57">
        <v>0</v>
      </c>
      <c r="H13" s="57">
        <f>50000*88%</f>
        <v>44000</v>
      </c>
      <c r="I13" s="57">
        <f>15734578*88%</f>
        <v>13846428.640000001</v>
      </c>
      <c r="J13" s="57">
        <v>0</v>
      </c>
      <c r="K13" s="57">
        <f>166440*88%</f>
        <v>146467.20000000001</v>
      </c>
      <c r="L13" s="57">
        <f>233000*88%</f>
        <v>205040</v>
      </c>
      <c r="M13" s="57">
        <f>100560*88%</f>
        <v>88492.800000000003</v>
      </c>
      <c r="N13" s="57">
        <v>0</v>
      </c>
      <c r="O13" s="56">
        <f>B13+C13+D13+E13+F13+G13+H13+I13+J13+K13+L13+M13+N13</f>
        <v>29559985.536000002</v>
      </c>
      <c r="P13" s="57">
        <v>777</v>
      </c>
      <c r="Q13" s="56">
        <f>O13/P13</f>
        <v>38043.739428571433</v>
      </c>
    </row>
    <row r="14" spans="1:23">
      <c r="A14" s="58" t="s">
        <v>104</v>
      </c>
      <c r="B14" s="47">
        <f>SUM(B12:B13)</f>
        <v>12085840.300000001</v>
      </c>
      <c r="C14" s="47">
        <f t="shared" ref="C14:N14" si="0">SUM(C12:C13)</f>
        <v>0</v>
      </c>
      <c r="D14" s="47">
        <f t="shared" si="0"/>
        <v>0</v>
      </c>
      <c r="E14" s="47">
        <f t="shared" si="0"/>
        <v>5242281.7000000011</v>
      </c>
      <c r="F14" s="47">
        <f t="shared" si="0"/>
        <v>0</v>
      </c>
      <c r="G14" s="47">
        <f t="shared" si="0"/>
        <v>0</v>
      </c>
      <c r="H14" s="47">
        <f t="shared" si="0"/>
        <v>50000</v>
      </c>
      <c r="I14" s="47">
        <f t="shared" si="0"/>
        <v>15734578</v>
      </c>
      <c r="J14" s="47">
        <f t="shared" si="0"/>
        <v>0</v>
      </c>
      <c r="K14" s="47">
        <f t="shared" si="0"/>
        <v>166440</v>
      </c>
      <c r="L14" s="47">
        <f t="shared" si="0"/>
        <v>233000</v>
      </c>
      <c r="M14" s="47">
        <f t="shared" si="0"/>
        <v>100560</v>
      </c>
      <c r="N14" s="47">
        <f t="shared" si="0"/>
        <v>0</v>
      </c>
      <c r="O14" s="47">
        <f t="shared" ref="O14" si="1">SUM(O12:O13)</f>
        <v>33612700</v>
      </c>
      <c r="P14" s="47">
        <f t="shared" ref="P14" si="2">SUM(P12:P13)</f>
        <v>943</v>
      </c>
      <c r="Q14" s="47">
        <f>O14/P14</f>
        <v>35644.432661717925</v>
      </c>
    </row>
    <row r="15" spans="1:23">
      <c r="A15" s="33"/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</row>
    <row r="16" spans="1:23" ht="15.6">
      <c r="B16" s="29"/>
      <c r="C16" s="29"/>
      <c r="D16" s="29"/>
      <c r="E16" s="29"/>
      <c r="F16" s="29"/>
      <c r="G16" s="29"/>
      <c r="H16" s="29"/>
      <c r="I16" s="29"/>
    </row>
    <row r="19" spans="2:23">
      <c r="S19" s="15"/>
      <c r="T19" s="15"/>
      <c r="U19" s="15"/>
      <c r="V19" s="15"/>
      <c r="W19" s="15"/>
    </row>
    <row r="20" spans="2:23" ht="15.6"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15"/>
      <c r="S20" s="30"/>
      <c r="T20" s="30"/>
      <c r="U20" s="30"/>
      <c r="V20" s="30"/>
      <c r="W20" s="30"/>
    </row>
    <row r="21" spans="2:23" ht="15.6"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15"/>
      <c r="S21" s="30"/>
      <c r="T21" s="30"/>
      <c r="U21" s="30"/>
      <c r="V21" s="30"/>
      <c r="W21" s="30"/>
    </row>
    <row r="22" spans="2:23" ht="15.6">
      <c r="B22" s="97"/>
      <c r="C22" s="97"/>
      <c r="D22" s="97"/>
      <c r="E22" s="97"/>
      <c r="F22" s="97"/>
      <c r="G22" s="97"/>
      <c r="H22" s="97"/>
      <c r="I22" s="97"/>
      <c r="J22" s="97"/>
      <c r="K22" s="97"/>
      <c r="L22" s="97"/>
      <c r="M22" s="97"/>
      <c r="N22" s="97"/>
      <c r="O22" s="31"/>
      <c r="P22" s="31"/>
      <c r="Q22" s="31"/>
      <c r="R22" s="15"/>
      <c r="S22" s="97"/>
      <c r="T22" s="97"/>
      <c r="U22" s="97"/>
      <c r="V22" s="97"/>
      <c r="W22" s="97"/>
    </row>
    <row r="23" spans="2:23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</row>
    <row r="24" spans="2:23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</row>
    <row r="25" spans="2:23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</row>
    <row r="26" spans="2:23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</row>
  </sheetData>
  <mergeCells count="10">
    <mergeCell ref="Q9:Q10"/>
    <mergeCell ref="B22:D22"/>
    <mergeCell ref="E22:N22"/>
    <mergeCell ref="S22:U22"/>
    <mergeCell ref="V22:W22"/>
    <mergeCell ref="A9:A10"/>
    <mergeCell ref="P9:P10"/>
    <mergeCell ref="O9:O10"/>
    <mergeCell ref="B9:D9"/>
    <mergeCell ref="E9:N9"/>
  </mergeCells>
  <pageMargins left="0.70866141732283472" right="0.70866141732283472" top="0.74803149606299213" bottom="0.74803149606299213" header="0.31496062992125984" footer="0.31496062992125984"/>
  <pageSetup paperSize="9" scale="85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W26"/>
  <sheetViews>
    <sheetView workbookViewId="0">
      <selection activeCell="A16" sqref="A16"/>
    </sheetView>
  </sheetViews>
  <sheetFormatPr defaultColWidth="9.109375" defaultRowHeight="13.8"/>
  <cols>
    <col min="1" max="1" width="17.88671875" style="1" customWidth="1"/>
    <col min="2" max="2" width="11.5546875" style="1" customWidth="1"/>
    <col min="3" max="3" width="5.6640625" style="1" customWidth="1"/>
    <col min="4" max="4" width="5" style="1" customWidth="1"/>
    <col min="5" max="5" width="9.88671875" style="1" customWidth="1"/>
    <col min="6" max="6" width="5.33203125" style="1" customWidth="1"/>
    <col min="7" max="7" width="7.44140625" style="1" customWidth="1"/>
    <col min="8" max="8" width="8.5546875" style="1" customWidth="1"/>
    <col min="9" max="9" width="11.33203125" style="1" customWidth="1"/>
    <col min="10" max="10" width="5.5546875" style="1" customWidth="1"/>
    <col min="11" max="11" width="8.33203125" style="1" customWidth="1"/>
    <col min="12" max="13" width="9.109375" style="1"/>
    <col min="14" max="14" width="5.88671875" style="1" customWidth="1"/>
    <col min="15" max="15" width="11.88671875" style="1" customWidth="1"/>
    <col min="16" max="17" width="0" style="1" hidden="1" customWidth="1"/>
    <col min="18" max="16384" width="9.109375" style="1"/>
  </cols>
  <sheetData>
    <row r="1" spans="1:23" ht="15.6">
      <c r="A1" s="33"/>
      <c r="B1" s="33"/>
      <c r="C1" s="33"/>
      <c r="D1" s="33"/>
      <c r="E1" s="33"/>
      <c r="F1" s="33"/>
      <c r="G1" s="33"/>
      <c r="H1" s="33"/>
      <c r="J1" s="33"/>
      <c r="L1" s="33"/>
      <c r="M1" s="29" t="s">
        <v>137</v>
      </c>
      <c r="N1" s="33"/>
      <c r="O1" s="33"/>
      <c r="P1" s="33"/>
      <c r="Q1" s="33"/>
    </row>
    <row r="2" spans="1:23" ht="13.5" customHeight="1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</row>
    <row r="3" spans="1:23" ht="15.75" customHeight="1">
      <c r="A3" s="32" t="s">
        <v>127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S3" s="30"/>
      <c r="T3" s="30"/>
      <c r="U3" s="30"/>
      <c r="V3" s="30"/>
      <c r="W3" s="30"/>
    </row>
    <row r="4" spans="1:23" ht="18.75" customHeight="1">
      <c r="A4" s="35" t="s">
        <v>132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S4" s="30"/>
      <c r="T4" s="30"/>
      <c r="U4" s="30"/>
      <c r="V4" s="30"/>
      <c r="W4" s="30"/>
    </row>
    <row r="5" spans="1:23" ht="14.25" customHeight="1">
      <c r="A5" s="35" t="s">
        <v>133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S5" s="30"/>
      <c r="T5" s="30"/>
      <c r="U5" s="30"/>
      <c r="V5" s="30"/>
      <c r="W5" s="30"/>
    </row>
    <row r="6" spans="1:23" ht="13.5" customHeight="1">
      <c r="A6" s="35" t="s">
        <v>134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S6" s="30"/>
      <c r="T6" s="30"/>
      <c r="U6" s="30"/>
      <c r="V6" s="30"/>
      <c r="W6" s="30"/>
    </row>
    <row r="7" spans="1:23" ht="15" customHeight="1">
      <c r="A7" s="35" t="s">
        <v>135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S7" s="30"/>
      <c r="T7" s="30"/>
      <c r="U7" s="30"/>
      <c r="V7" s="30"/>
      <c r="W7" s="30"/>
    </row>
    <row r="8" spans="1:23" ht="10.5" customHeight="1">
      <c r="A8" s="33"/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</row>
    <row r="9" spans="1:23" ht="45.75" customHeight="1">
      <c r="A9" s="98" t="s">
        <v>128</v>
      </c>
      <c r="B9" s="100" t="s">
        <v>111</v>
      </c>
      <c r="C9" s="100"/>
      <c r="D9" s="101"/>
      <c r="E9" s="102" t="s">
        <v>112</v>
      </c>
      <c r="F9" s="100"/>
      <c r="G9" s="100"/>
      <c r="H9" s="100"/>
      <c r="I9" s="100"/>
      <c r="J9" s="100"/>
      <c r="K9" s="100"/>
      <c r="L9" s="100"/>
      <c r="M9" s="100"/>
      <c r="N9" s="101"/>
      <c r="O9" s="103" t="s">
        <v>113</v>
      </c>
      <c r="P9" s="103" t="s">
        <v>131</v>
      </c>
      <c r="Q9" s="103" t="s">
        <v>113</v>
      </c>
    </row>
    <row r="10" spans="1:23" ht="226.5" customHeight="1">
      <c r="A10" s="99"/>
      <c r="B10" s="54" t="s">
        <v>114</v>
      </c>
      <c r="C10" s="37" t="s">
        <v>115</v>
      </c>
      <c r="D10" s="37" t="s">
        <v>116</v>
      </c>
      <c r="E10" s="37" t="s">
        <v>117</v>
      </c>
      <c r="F10" s="37" t="s">
        <v>118</v>
      </c>
      <c r="G10" s="37" t="s">
        <v>119</v>
      </c>
      <c r="H10" s="37" t="s">
        <v>120</v>
      </c>
      <c r="I10" s="37" t="s">
        <v>121</v>
      </c>
      <c r="J10" s="37" t="s">
        <v>122</v>
      </c>
      <c r="K10" s="37" t="s">
        <v>123</v>
      </c>
      <c r="L10" s="37" t="s">
        <v>124</v>
      </c>
      <c r="M10" s="37" t="s">
        <v>125</v>
      </c>
      <c r="N10" s="37" t="s">
        <v>126</v>
      </c>
      <c r="O10" s="104"/>
      <c r="P10" s="104"/>
      <c r="Q10" s="104"/>
    </row>
    <row r="11" spans="1:23">
      <c r="A11" s="38">
        <v>1</v>
      </c>
      <c r="B11" s="39">
        <v>2</v>
      </c>
      <c r="C11" s="40">
        <v>3</v>
      </c>
      <c r="D11" s="40">
        <v>4</v>
      </c>
      <c r="E11" s="40">
        <v>5</v>
      </c>
      <c r="F11" s="40">
        <v>6</v>
      </c>
      <c r="G11" s="40">
        <v>7</v>
      </c>
      <c r="H11" s="40">
        <v>8</v>
      </c>
      <c r="I11" s="40">
        <v>9</v>
      </c>
      <c r="J11" s="40">
        <v>10</v>
      </c>
      <c r="K11" s="40">
        <v>11</v>
      </c>
      <c r="L11" s="40">
        <v>12</v>
      </c>
      <c r="M11" s="40">
        <v>13</v>
      </c>
      <c r="N11" s="40">
        <v>14</v>
      </c>
      <c r="O11" s="40">
        <v>15</v>
      </c>
      <c r="P11" s="40">
        <v>16</v>
      </c>
      <c r="Q11" s="41">
        <v>17</v>
      </c>
    </row>
    <row r="12" spans="1:23" ht="84.75" customHeight="1">
      <c r="A12" s="42" t="s">
        <v>129</v>
      </c>
      <c r="B12" s="45">
        <f>1469491.3/166</f>
        <v>8852.3572289156637</v>
      </c>
      <c r="C12" s="46">
        <v>0</v>
      </c>
      <c r="D12" s="46">
        <v>0</v>
      </c>
      <c r="E12" s="46">
        <f>5242281.7*12%/166</f>
        <v>3789.6012289156629</v>
      </c>
      <c r="F12" s="46">
        <v>0</v>
      </c>
      <c r="G12" s="46">
        <v>0</v>
      </c>
      <c r="H12" s="46">
        <f>50000*12%/166</f>
        <v>36.144578313253014</v>
      </c>
      <c r="I12" s="46">
        <f>15734578*12%/166</f>
        <v>11374.393734939758</v>
      </c>
      <c r="J12" s="46">
        <v>0</v>
      </c>
      <c r="K12" s="46">
        <f>166440*12%/166</f>
        <v>120.31807228915662</v>
      </c>
      <c r="L12" s="46">
        <f>233000*12%/166</f>
        <v>168.43373493975903</v>
      </c>
      <c r="M12" s="46">
        <f>100560*12%/166</f>
        <v>72.693975903614458</v>
      </c>
      <c r="N12" s="46">
        <v>0</v>
      </c>
      <c r="O12" s="46">
        <f>B12+C12+D12+E12+F12+G12+H12+I12+J12+K12+L12+M12+N12</f>
        <v>24413.942554216865</v>
      </c>
      <c r="P12" s="46">
        <v>166</v>
      </c>
      <c r="Q12" s="46">
        <f>O12/P12</f>
        <v>147.07194309769196</v>
      </c>
    </row>
    <row r="13" spans="1:23" ht="84.75" customHeight="1">
      <c r="A13" s="43" t="s">
        <v>130</v>
      </c>
      <c r="B13" s="48">
        <f>10616349/777</f>
        <v>13663.254826254826</v>
      </c>
      <c r="C13" s="48">
        <v>0</v>
      </c>
      <c r="D13" s="48">
        <v>0</v>
      </c>
      <c r="E13" s="48">
        <f>5242281.7*88%/777</f>
        <v>5937.2044993565005</v>
      </c>
      <c r="F13" s="48">
        <v>0</v>
      </c>
      <c r="G13" s="48">
        <v>0</v>
      </c>
      <c r="H13" s="48">
        <f>50000*88%/777</f>
        <v>56.628056628056626</v>
      </c>
      <c r="I13" s="48">
        <f>15734578*88%/777</f>
        <v>17820.371480051479</v>
      </c>
      <c r="J13" s="48">
        <v>0</v>
      </c>
      <c r="K13" s="48">
        <f>166440*88%/777</f>
        <v>188.50347490347491</v>
      </c>
      <c r="L13" s="48">
        <f>233000*88%/777</f>
        <v>263.88674388674389</v>
      </c>
      <c r="M13" s="48">
        <f>100560*88%/777</f>
        <v>113.89034749034749</v>
      </c>
      <c r="N13" s="48">
        <v>0</v>
      </c>
      <c r="O13" s="46">
        <f>B13+C13+D13+E13+F13+G13+H13+I13+J13+K13+L13+M13+N13</f>
        <v>38043.739428571433</v>
      </c>
      <c r="P13" s="48">
        <v>777</v>
      </c>
      <c r="Q13" s="46">
        <f>O13/P13</f>
        <v>48.962341606913043</v>
      </c>
    </row>
    <row r="14" spans="1:23">
      <c r="A14" s="44" t="s">
        <v>104</v>
      </c>
      <c r="B14" s="51">
        <f>SUM(B12:B13)</f>
        <v>22515.612055170488</v>
      </c>
      <c r="C14" s="51">
        <f t="shared" ref="C14:P14" si="0">SUM(C12:C13)</f>
        <v>0</v>
      </c>
      <c r="D14" s="51">
        <f t="shared" si="0"/>
        <v>0</v>
      </c>
      <c r="E14" s="51">
        <f t="shared" si="0"/>
        <v>9726.8057282721638</v>
      </c>
      <c r="F14" s="51">
        <f t="shared" si="0"/>
        <v>0</v>
      </c>
      <c r="G14" s="51">
        <f t="shared" si="0"/>
        <v>0</v>
      </c>
      <c r="H14" s="51">
        <f t="shared" si="0"/>
        <v>92.772634941309633</v>
      </c>
      <c r="I14" s="51">
        <f t="shared" si="0"/>
        <v>29194.765214991239</v>
      </c>
      <c r="J14" s="51">
        <f t="shared" si="0"/>
        <v>0</v>
      </c>
      <c r="K14" s="51">
        <f t="shared" si="0"/>
        <v>308.82154719263156</v>
      </c>
      <c r="L14" s="51">
        <f t="shared" si="0"/>
        <v>432.32047882650295</v>
      </c>
      <c r="M14" s="51">
        <f t="shared" si="0"/>
        <v>186.58432339396194</v>
      </c>
      <c r="N14" s="51">
        <f t="shared" si="0"/>
        <v>0</v>
      </c>
      <c r="O14" s="51">
        <f t="shared" si="0"/>
        <v>62457.681982788301</v>
      </c>
      <c r="P14" s="51">
        <f t="shared" si="0"/>
        <v>943</v>
      </c>
      <c r="Q14" s="51">
        <f>O14/P14</f>
        <v>66.232960745268613</v>
      </c>
    </row>
    <row r="15" spans="1:23">
      <c r="A15" s="33"/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</row>
    <row r="16" spans="1:23" ht="15.6">
      <c r="B16" s="29"/>
      <c r="C16" s="29"/>
      <c r="D16" s="29"/>
      <c r="E16" s="29"/>
      <c r="F16" s="29"/>
      <c r="G16" s="29"/>
      <c r="H16" s="29"/>
      <c r="I16" s="29"/>
    </row>
    <row r="19" spans="2:23">
      <c r="S19" s="15"/>
      <c r="T19" s="15"/>
      <c r="U19" s="15"/>
      <c r="V19" s="15"/>
      <c r="W19" s="15"/>
    </row>
    <row r="20" spans="2:23" ht="15.6"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15"/>
      <c r="S20" s="30"/>
      <c r="T20" s="30"/>
      <c r="U20" s="30"/>
      <c r="V20" s="30"/>
      <c r="W20" s="30"/>
    </row>
    <row r="21" spans="2:23" ht="15.6"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15"/>
      <c r="S21" s="30"/>
      <c r="T21" s="30"/>
      <c r="U21" s="30"/>
      <c r="V21" s="30"/>
      <c r="W21" s="30"/>
    </row>
    <row r="22" spans="2:23" ht="15.6">
      <c r="B22" s="97"/>
      <c r="C22" s="97"/>
      <c r="D22" s="97"/>
      <c r="E22" s="97"/>
      <c r="F22" s="97"/>
      <c r="G22" s="97"/>
      <c r="H22" s="97"/>
      <c r="I22" s="97"/>
      <c r="J22" s="97"/>
      <c r="K22" s="97"/>
      <c r="L22" s="97"/>
      <c r="M22" s="97"/>
      <c r="N22" s="97"/>
      <c r="O22" s="53"/>
      <c r="P22" s="53"/>
      <c r="Q22" s="53"/>
      <c r="R22" s="15"/>
      <c r="S22" s="97"/>
      <c r="T22" s="97"/>
      <c r="U22" s="97"/>
      <c r="V22" s="97"/>
      <c r="W22" s="97"/>
    </row>
    <row r="23" spans="2:23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</row>
    <row r="24" spans="2:23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</row>
    <row r="25" spans="2:23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</row>
    <row r="26" spans="2:23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</row>
  </sheetData>
  <mergeCells count="10">
    <mergeCell ref="B22:D22"/>
    <mergeCell ref="E22:N22"/>
    <mergeCell ref="S22:U22"/>
    <mergeCell ref="V22:W22"/>
    <mergeCell ref="A9:A10"/>
    <mergeCell ref="B9:D9"/>
    <mergeCell ref="E9:N9"/>
    <mergeCell ref="O9:O10"/>
    <mergeCell ref="P9:P10"/>
    <mergeCell ref="Q9:Q10"/>
  </mergeCells>
  <pageMargins left="0.70866141732283472" right="0.70866141732283472" top="0.74803149606299213" bottom="0.74803149606299213" header="0.31496062992125984" footer="0.31496062992125984"/>
  <pageSetup paperSize="9" scale="85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M223"/>
  <sheetViews>
    <sheetView topLeftCell="A61" zoomScale="110" zoomScaleNormal="110" workbookViewId="0">
      <selection activeCell="F197" sqref="F197:F198"/>
    </sheetView>
  </sheetViews>
  <sheetFormatPr defaultColWidth="9.109375" defaultRowHeight="13.2"/>
  <cols>
    <col min="1" max="1" width="22" style="33" customWidth="1"/>
    <col min="2" max="2" width="17.5546875" style="33" customWidth="1"/>
    <col min="3" max="3" width="25.6640625" style="33" customWidth="1"/>
    <col min="4" max="4" width="14.33203125" style="33" customWidth="1"/>
    <col min="5" max="5" width="12.6640625" style="33" customWidth="1"/>
    <col min="6" max="6" width="11.109375" style="33" customWidth="1"/>
    <col min="7" max="7" width="9.109375" style="33" customWidth="1"/>
    <col min="8" max="8" width="7.88671875" style="33" customWidth="1"/>
    <col min="9" max="9" width="8.6640625" style="33" customWidth="1"/>
    <col min="10" max="10" width="13" style="33" customWidth="1"/>
    <col min="11" max="11" width="12.44140625" style="33" customWidth="1"/>
    <col min="12" max="12" width="11.6640625" style="33" customWidth="1"/>
    <col min="13" max="13" width="12.33203125" style="33" customWidth="1"/>
    <col min="14" max="14" width="13.6640625" style="33" customWidth="1"/>
    <col min="15" max="15" width="14.109375" style="33" customWidth="1"/>
    <col min="16" max="16384" width="9.109375" style="33"/>
  </cols>
  <sheetData>
    <row r="1" spans="1:9" ht="27" customHeight="1">
      <c r="A1" s="109" t="s">
        <v>38</v>
      </c>
      <c r="B1" s="109"/>
      <c r="C1" s="109"/>
      <c r="D1" s="109"/>
      <c r="E1" s="109"/>
      <c r="F1" s="109"/>
      <c r="G1" s="109"/>
      <c r="H1" s="109"/>
      <c r="I1" s="109"/>
    </row>
    <row r="3" spans="1:9">
      <c r="A3" s="33" t="s">
        <v>43</v>
      </c>
    </row>
    <row r="4" spans="1:9">
      <c r="A4" s="33" t="s">
        <v>39</v>
      </c>
    </row>
    <row r="5" spans="1:9">
      <c r="A5" s="33" t="s">
        <v>40</v>
      </c>
    </row>
    <row r="6" spans="1:9">
      <c r="A6" s="33" t="s">
        <v>41</v>
      </c>
    </row>
    <row r="7" spans="1:9">
      <c r="A7" s="33" t="s">
        <v>42</v>
      </c>
    </row>
    <row r="8" spans="1:9">
      <c r="A8" s="33" t="s">
        <v>44</v>
      </c>
    </row>
    <row r="9" spans="1:9">
      <c r="A9" s="33" t="s">
        <v>46</v>
      </c>
    </row>
    <row r="10" spans="1:9">
      <c r="A10" s="33" t="s">
        <v>45</v>
      </c>
    </row>
    <row r="13" spans="1:9">
      <c r="A13" s="33" t="s">
        <v>0</v>
      </c>
    </row>
    <row r="15" spans="1:9" ht="81" customHeight="1">
      <c r="A15" s="43" t="s">
        <v>1</v>
      </c>
      <c r="B15" s="43" t="s">
        <v>2</v>
      </c>
      <c r="C15" s="43" t="s">
        <v>3</v>
      </c>
      <c r="D15" s="43" t="s">
        <v>2</v>
      </c>
      <c r="E15" s="72"/>
      <c r="F15" s="72"/>
      <c r="G15" s="72"/>
    </row>
    <row r="16" spans="1:9" ht="28.5" customHeight="1">
      <c r="A16" s="43" t="s">
        <v>17</v>
      </c>
      <c r="B16" s="43">
        <v>24.28</v>
      </c>
      <c r="C16" s="43" t="s">
        <v>4</v>
      </c>
      <c r="D16" s="43">
        <v>1</v>
      </c>
      <c r="E16" s="72"/>
      <c r="F16" s="72"/>
      <c r="G16" s="72"/>
    </row>
    <row r="17" spans="1:7" ht="66.75" customHeight="1">
      <c r="A17" s="43" t="s">
        <v>18</v>
      </c>
      <c r="B17" s="43">
        <v>1.1200000000000001</v>
      </c>
      <c r="C17" s="43" t="s">
        <v>5</v>
      </c>
      <c r="D17" s="43">
        <v>1</v>
      </c>
      <c r="E17" s="72"/>
      <c r="F17" s="72"/>
      <c r="G17" s="72"/>
    </row>
    <row r="18" spans="1:7" ht="39.6">
      <c r="A18" s="43"/>
      <c r="B18" s="43"/>
      <c r="C18" s="43" t="s">
        <v>6</v>
      </c>
      <c r="D18" s="43">
        <v>1</v>
      </c>
      <c r="E18" s="72"/>
      <c r="F18" s="72"/>
      <c r="G18" s="72"/>
    </row>
    <row r="19" spans="1:7" ht="30.75" customHeight="1">
      <c r="A19" s="43"/>
      <c r="B19" s="43"/>
      <c r="C19" s="43" t="s">
        <v>7</v>
      </c>
      <c r="D19" s="43">
        <v>3</v>
      </c>
      <c r="E19" s="72"/>
      <c r="F19" s="72"/>
      <c r="G19" s="72"/>
    </row>
    <row r="20" spans="1:7">
      <c r="A20" s="43"/>
      <c r="B20" s="43"/>
      <c r="C20" s="43" t="s">
        <v>8</v>
      </c>
      <c r="D20" s="43">
        <v>1</v>
      </c>
      <c r="E20" s="72"/>
      <c r="F20" s="72"/>
      <c r="G20" s="72"/>
    </row>
    <row r="21" spans="1:7">
      <c r="A21" s="43"/>
      <c r="B21" s="43"/>
      <c r="C21" s="43" t="s">
        <v>9</v>
      </c>
      <c r="D21" s="43">
        <v>1</v>
      </c>
      <c r="E21" s="72"/>
      <c r="F21" s="72"/>
      <c r="G21" s="72"/>
    </row>
    <row r="22" spans="1:7" ht="26.4">
      <c r="A22" s="43"/>
      <c r="B22" s="43"/>
      <c r="C22" s="43" t="s">
        <v>52</v>
      </c>
      <c r="D22" s="43">
        <v>0.5</v>
      </c>
      <c r="E22" s="72"/>
      <c r="F22" s="72"/>
      <c r="G22" s="72"/>
    </row>
    <row r="23" spans="1:7">
      <c r="A23" s="43"/>
      <c r="B23" s="43"/>
      <c r="C23" s="43" t="s">
        <v>10</v>
      </c>
      <c r="D23" s="43">
        <v>1</v>
      </c>
      <c r="E23" s="72"/>
      <c r="F23" s="72"/>
      <c r="G23" s="72"/>
    </row>
    <row r="24" spans="1:7">
      <c r="A24" s="43"/>
      <c r="B24" s="43"/>
      <c r="C24" s="43" t="s">
        <v>11</v>
      </c>
      <c r="D24" s="43">
        <v>2</v>
      </c>
      <c r="E24" s="72"/>
      <c r="F24" s="72"/>
      <c r="G24" s="72"/>
    </row>
    <row r="25" spans="1:7">
      <c r="A25" s="43"/>
      <c r="B25" s="43"/>
      <c r="C25" s="43" t="s">
        <v>12</v>
      </c>
      <c r="D25" s="43">
        <v>1</v>
      </c>
      <c r="E25" s="72"/>
      <c r="F25" s="72"/>
      <c r="G25" s="72"/>
    </row>
    <row r="26" spans="1:7">
      <c r="A26" s="43"/>
      <c r="B26" s="43"/>
      <c r="C26" s="43" t="s">
        <v>23</v>
      </c>
      <c r="D26" s="43">
        <v>3</v>
      </c>
      <c r="E26" s="72"/>
      <c r="F26" s="72"/>
      <c r="G26" s="72"/>
    </row>
    <row r="27" spans="1:7">
      <c r="A27" s="43"/>
      <c r="B27" s="43"/>
      <c r="C27" s="43" t="s">
        <v>13</v>
      </c>
      <c r="D27" s="43">
        <v>1</v>
      </c>
      <c r="E27" s="72"/>
      <c r="F27" s="72"/>
      <c r="G27" s="72"/>
    </row>
    <row r="28" spans="1:7">
      <c r="A28" s="43"/>
      <c r="B28" s="43"/>
      <c r="C28" s="43" t="s">
        <v>14</v>
      </c>
      <c r="D28" s="43">
        <v>0.5</v>
      </c>
      <c r="E28" s="72"/>
      <c r="F28" s="72"/>
      <c r="G28" s="72"/>
    </row>
    <row r="29" spans="1:7">
      <c r="A29" s="43"/>
      <c r="B29" s="43"/>
      <c r="C29" s="43" t="s">
        <v>15</v>
      </c>
      <c r="D29" s="43">
        <v>2</v>
      </c>
      <c r="E29" s="72"/>
      <c r="F29" s="72"/>
      <c r="G29" s="72"/>
    </row>
    <row r="30" spans="1:7">
      <c r="A30" s="43"/>
      <c r="B30" s="43"/>
      <c r="C30" s="43" t="s">
        <v>16</v>
      </c>
      <c r="D30" s="43">
        <v>1</v>
      </c>
      <c r="E30" s="72"/>
      <c r="F30" s="72"/>
      <c r="G30" s="72"/>
    </row>
    <row r="31" spans="1:7" ht="26.4">
      <c r="A31" s="43"/>
      <c r="B31" s="43"/>
      <c r="C31" s="43" t="s">
        <v>19</v>
      </c>
      <c r="D31" s="43">
        <v>1</v>
      </c>
      <c r="E31" s="72"/>
      <c r="F31" s="72"/>
      <c r="G31" s="72"/>
    </row>
    <row r="32" spans="1:7">
      <c r="A32" s="43"/>
      <c r="B32" s="43"/>
      <c r="C32" s="43" t="s">
        <v>20</v>
      </c>
      <c r="D32" s="43">
        <v>3</v>
      </c>
      <c r="E32" s="72"/>
      <c r="F32" s="72"/>
      <c r="G32" s="72"/>
    </row>
    <row r="33" spans="1:7">
      <c r="A33" s="43"/>
      <c r="B33" s="43"/>
      <c r="C33" s="43" t="s">
        <v>21</v>
      </c>
      <c r="D33" s="43">
        <v>1</v>
      </c>
      <c r="E33" s="72"/>
      <c r="F33" s="72"/>
      <c r="G33" s="72"/>
    </row>
    <row r="34" spans="1:7" ht="26.4">
      <c r="A34" s="43"/>
      <c r="B34" s="43"/>
      <c r="C34" s="43" t="s">
        <v>22</v>
      </c>
      <c r="D34" s="43">
        <v>1</v>
      </c>
      <c r="E34" s="72"/>
      <c r="F34" s="72"/>
      <c r="G34" s="72"/>
    </row>
    <row r="35" spans="1:7">
      <c r="A35" s="43"/>
      <c r="B35" s="43"/>
      <c r="C35" s="43" t="s">
        <v>24</v>
      </c>
      <c r="D35" s="43">
        <v>3</v>
      </c>
      <c r="E35" s="72"/>
      <c r="F35" s="72"/>
      <c r="G35" s="72"/>
    </row>
    <row r="36" spans="1:7">
      <c r="A36" s="43"/>
      <c r="B36" s="43"/>
      <c r="C36" s="43" t="s">
        <v>25</v>
      </c>
      <c r="D36" s="43">
        <v>1</v>
      </c>
      <c r="E36" s="72"/>
      <c r="F36" s="72"/>
      <c r="G36" s="72"/>
    </row>
    <row r="37" spans="1:7">
      <c r="A37" s="43"/>
      <c r="B37" s="43"/>
      <c r="C37" s="43" t="s">
        <v>26</v>
      </c>
      <c r="D37" s="43">
        <v>1</v>
      </c>
      <c r="E37" s="72"/>
      <c r="F37" s="72"/>
      <c r="G37" s="72"/>
    </row>
    <row r="38" spans="1:7" ht="26.4">
      <c r="A38" s="43"/>
      <c r="B38" s="43"/>
      <c r="C38" s="43" t="s">
        <v>27</v>
      </c>
      <c r="D38" s="43">
        <v>3</v>
      </c>
      <c r="E38" s="72"/>
      <c r="F38" s="72"/>
      <c r="G38" s="72"/>
    </row>
    <row r="39" spans="1:7">
      <c r="A39" s="43"/>
      <c r="B39" s="43"/>
      <c r="C39" s="43" t="s">
        <v>28</v>
      </c>
      <c r="D39" s="43">
        <v>7</v>
      </c>
      <c r="E39" s="72"/>
      <c r="F39" s="72"/>
      <c r="G39" s="72"/>
    </row>
    <row r="40" spans="1:7" ht="26.4">
      <c r="A40" s="43"/>
      <c r="B40" s="43"/>
      <c r="C40" s="43" t="s">
        <v>29</v>
      </c>
      <c r="D40" s="43">
        <v>13</v>
      </c>
      <c r="E40" s="72"/>
      <c r="F40" s="72"/>
      <c r="G40" s="72"/>
    </row>
    <row r="41" spans="1:7">
      <c r="A41" s="43"/>
      <c r="B41" s="43"/>
      <c r="C41" s="43" t="s">
        <v>30</v>
      </c>
      <c r="D41" s="43">
        <v>2</v>
      </c>
      <c r="E41" s="72"/>
      <c r="F41" s="72"/>
      <c r="G41" s="72"/>
    </row>
    <row r="42" spans="1:7">
      <c r="A42" s="43"/>
      <c r="B42" s="43"/>
      <c r="C42" s="43" t="s">
        <v>31</v>
      </c>
      <c r="D42" s="43">
        <v>1</v>
      </c>
      <c r="E42" s="72"/>
      <c r="F42" s="72"/>
      <c r="G42" s="72"/>
    </row>
    <row r="43" spans="1:7">
      <c r="A43" s="43"/>
      <c r="B43" s="43"/>
      <c r="C43" s="43" t="s">
        <v>32</v>
      </c>
      <c r="D43" s="43">
        <v>12</v>
      </c>
      <c r="E43" s="72"/>
      <c r="F43" s="72"/>
      <c r="G43" s="72"/>
    </row>
    <row r="44" spans="1:7">
      <c r="A44" s="43"/>
      <c r="B44" s="43"/>
      <c r="C44" s="43" t="s">
        <v>33</v>
      </c>
      <c r="D44" s="43">
        <v>1</v>
      </c>
      <c r="E44" s="72"/>
      <c r="F44" s="72"/>
      <c r="G44" s="72"/>
    </row>
    <row r="45" spans="1:7">
      <c r="A45" s="43"/>
      <c r="B45" s="43"/>
      <c r="C45" s="43" t="s">
        <v>34</v>
      </c>
      <c r="D45" s="43">
        <v>1</v>
      </c>
      <c r="E45" s="72"/>
      <c r="F45" s="72"/>
      <c r="G45" s="72"/>
    </row>
    <row r="46" spans="1:7">
      <c r="A46" s="43"/>
      <c r="B46" s="43"/>
      <c r="C46" s="43" t="s">
        <v>35</v>
      </c>
      <c r="D46" s="43">
        <v>1</v>
      </c>
      <c r="E46" s="72"/>
      <c r="F46" s="72"/>
      <c r="G46" s="72"/>
    </row>
    <row r="47" spans="1:7">
      <c r="A47" s="44"/>
      <c r="B47" s="44"/>
      <c r="C47" s="44" t="s">
        <v>36</v>
      </c>
      <c r="D47" s="44">
        <v>3</v>
      </c>
    </row>
    <row r="48" spans="1:7">
      <c r="A48" s="44"/>
      <c r="B48" s="44"/>
      <c r="C48" s="44" t="s">
        <v>37</v>
      </c>
      <c r="D48" s="44">
        <v>1</v>
      </c>
    </row>
    <row r="50" spans="1:9">
      <c r="A50" s="33" t="s">
        <v>47</v>
      </c>
    </row>
    <row r="52" spans="1:9">
      <c r="A52" s="71" t="s">
        <v>53</v>
      </c>
    </row>
    <row r="53" spans="1:9">
      <c r="A53" s="33" t="s">
        <v>49</v>
      </c>
    </row>
    <row r="54" spans="1:9" ht="24" customHeight="1">
      <c r="A54" s="108" t="s">
        <v>151</v>
      </c>
      <c r="B54" s="108"/>
      <c r="C54" s="108"/>
      <c r="D54" s="108"/>
      <c r="E54" s="108"/>
      <c r="F54" s="108"/>
      <c r="G54" s="108"/>
      <c r="H54" s="108"/>
      <c r="I54" s="108"/>
    </row>
    <row r="55" spans="1:9">
      <c r="A55" s="33" t="s">
        <v>152</v>
      </c>
    </row>
    <row r="57" spans="1:9">
      <c r="A57" s="71" t="s">
        <v>48</v>
      </c>
    </row>
    <row r="58" spans="1:9" ht="14.25" customHeight="1"/>
    <row r="59" spans="1:9" ht="113.25" customHeight="1">
      <c r="A59" s="73" t="s">
        <v>50</v>
      </c>
      <c r="B59" s="73" t="s">
        <v>145</v>
      </c>
      <c r="C59" s="73" t="s">
        <v>2</v>
      </c>
      <c r="D59" s="94" t="s">
        <v>155</v>
      </c>
      <c r="E59" s="73" t="s">
        <v>60</v>
      </c>
      <c r="F59" s="73" t="s">
        <v>143</v>
      </c>
      <c r="G59" s="73" t="s">
        <v>157</v>
      </c>
      <c r="H59" s="73" t="s">
        <v>85</v>
      </c>
    </row>
    <row r="60" spans="1:9" ht="28.5" customHeight="1">
      <c r="A60" s="74">
        <v>1</v>
      </c>
      <c r="B60" s="74">
        <v>2</v>
      </c>
      <c r="C60" s="74">
        <v>3</v>
      </c>
      <c r="D60" s="74" t="s">
        <v>156</v>
      </c>
      <c r="E60" s="74">
        <v>5</v>
      </c>
      <c r="F60" s="74" t="s">
        <v>140</v>
      </c>
      <c r="G60" s="74" t="s">
        <v>158</v>
      </c>
      <c r="H60" s="74" t="s">
        <v>142</v>
      </c>
    </row>
    <row r="61" spans="1:9" ht="17.25" customHeight="1">
      <c r="A61" s="110" t="s">
        <v>53</v>
      </c>
      <c r="B61" s="111"/>
      <c r="C61" s="111"/>
      <c r="D61" s="111"/>
      <c r="E61" s="111"/>
      <c r="F61" s="111"/>
      <c r="G61" s="111"/>
      <c r="H61" s="112"/>
    </row>
    <row r="62" spans="1:9">
      <c r="A62" s="43" t="s">
        <v>17</v>
      </c>
      <c r="B62" s="43">
        <v>23954.53</v>
      </c>
      <c r="C62" s="43">
        <v>2.06</v>
      </c>
      <c r="D62" s="44">
        <f>C62*897</f>
        <v>1847.82</v>
      </c>
      <c r="E62" s="75">
        <v>166</v>
      </c>
      <c r="F62" s="76">
        <f>D62/E62</f>
        <v>11.131445783132529</v>
      </c>
      <c r="G62" s="76">
        <f>B62*12*1.302/897</f>
        <v>417.24144561872913</v>
      </c>
      <c r="H62" s="77">
        <f>F62*G62</f>
        <v>4644.5005303807229</v>
      </c>
    </row>
    <row r="63" spans="1:9" ht="39" customHeight="1">
      <c r="A63" s="43" t="s">
        <v>18</v>
      </c>
      <c r="B63" s="43">
        <v>39917.07</v>
      </c>
      <c r="C63" s="43">
        <v>1.1200000000000001</v>
      </c>
      <c r="D63" s="44">
        <f>C63*897</f>
        <v>1004.6400000000001</v>
      </c>
      <c r="E63" s="75">
        <v>166</v>
      </c>
      <c r="F63" s="76">
        <f>D63/E63</f>
        <v>6.0520481927710845</v>
      </c>
      <c r="G63" s="76">
        <f>B63*12*1.302/897</f>
        <v>695.27792829431439</v>
      </c>
      <c r="H63" s="77">
        <f>F63*G63</f>
        <v>4207.8555294072294</v>
      </c>
    </row>
    <row r="64" spans="1:9" ht="18.75" customHeight="1">
      <c r="A64" s="44" t="s">
        <v>202</v>
      </c>
      <c r="B64" s="44"/>
      <c r="C64" s="44"/>
      <c r="D64" s="43"/>
      <c r="E64" s="117" t="s">
        <v>146</v>
      </c>
      <c r="F64" s="117"/>
      <c r="G64" s="117"/>
      <c r="H64" s="77">
        <f>H62+H63</f>
        <v>8852.3560597879514</v>
      </c>
    </row>
    <row r="65" spans="1:8" ht="18.75" customHeight="1">
      <c r="A65" s="113" t="s">
        <v>151</v>
      </c>
      <c r="B65" s="113"/>
      <c r="C65" s="113"/>
      <c r="D65" s="113"/>
      <c r="E65" s="113"/>
      <c r="F65" s="113"/>
      <c r="G65" s="113"/>
      <c r="H65" s="113"/>
    </row>
    <row r="66" spans="1:8" ht="18.75" customHeight="1">
      <c r="A66" s="43" t="s">
        <v>17</v>
      </c>
      <c r="B66" s="43">
        <v>30580.1</v>
      </c>
      <c r="C66" s="43">
        <v>22.22</v>
      </c>
      <c r="D66" s="44">
        <f>C66*897</f>
        <v>19931.34</v>
      </c>
      <c r="E66" s="75">
        <v>777</v>
      </c>
      <c r="F66" s="76">
        <f>D66/E66</f>
        <v>25.65166023166023</v>
      </c>
      <c r="G66" s="76">
        <f>B66*12*1.302/897</f>
        <v>532.64602274247488</v>
      </c>
      <c r="H66" s="77">
        <f>F66*G66</f>
        <v>13663.254799135133</v>
      </c>
    </row>
    <row r="67" spans="1:8" ht="18.75" customHeight="1">
      <c r="A67" s="44" t="s">
        <v>159</v>
      </c>
      <c r="B67" s="44"/>
      <c r="C67" s="44"/>
      <c r="D67" s="43"/>
      <c r="E67" s="117" t="s">
        <v>146</v>
      </c>
      <c r="F67" s="117"/>
      <c r="G67" s="117"/>
      <c r="H67" s="77">
        <f>H66</f>
        <v>13663.254799135133</v>
      </c>
    </row>
    <row r="68" spans="1:8" ht="18.75" customHeight="1">
      <c r="A68" s="71"/>
    </row>
    <row r="69" spans="1:8">
      <c r="A69" s="71" t="s">
        <v>56</v>
      </c>
    </row>
    <row r="71" spans="1:8" ht="80.25" customHeight="1">
      <c r="A71" s="73" t="s">
        <v>57</v>
      </c>
      <c r="B71" s="73" t="s">
        <v>58</v>
      </c>
      <c r="C71" s="73" t="s">
        <v>59</v>
      </c>
      <c r="D71" s="73" t="s">
        <v>60</v>
      </c>
      <c r="E71" s="73" t="s">
        <v>61</v>
      </c>
      <c r="F71" s="73" t="s">
        <v>63</v>
      </c>
      <c r="G71" s="73" t="s">
        <v>64</v>
      </c>
      <c r="H71" s="73" t="s">
        <v>54</v>
      </c>
    </row>
    <row r="72" spans="1:8">
      <c r="A72" s="78">
        <v>1</v>
      </c>
      <c r="B72" s="78">
        <v>2</v>
      </c>
      <c r="C72" s="78">
        <v>3</v>
      </c>
      <c r="D72" s="78">
        <v>4</v>
      </c>
      <c r="E72" s="78" t="s">
        <v>62</v>
      </c>
      <c r="F72" s="78">
        <v>6</v>
      </c>
      <c r="G72" s="78">
        <v>7</v>
      </c>
      <c r="H72" s="78" t="s">
        <v>65</v>
      </c>
    </row>
    <row r="73" spans="1:8">
      <c r="A73" s="110" t="s">
        <v>53</v>
      </c>
      <c r="B73" s="111"/>
      <c r="C73" s="111"/>
      <c r="D73" s="111"/>
      <c r="E73" s="111"/>
      <c r="F73" s="111"/>
      <c r="G73" s="111"/>
      <c r="H73" s="112"/>
    </row>
    <row r="74" spans="1:8">
      <c r="A74" s="44"/>
      <c r="B74" s="44"/>
      <c r="C74" s="44">
        <v>0</v>
      </c>
      <c r="D74" s="44">
        <v>166</v>
      </c>
      <c r="E74" s="44">
        <f>C74/D74</f>
        <v>0</v>
      </c>
      <c r="F74" s="44">
        <v>0</v>
      </c>
      <c r="G74" s="44">
        <v>0</v>
      </c>
      <c r="H74" s="44">
        <f>E74*G74</f>
        <v>0</v>
      </c>
    </row>
    <row r="75" spans="1:8" ht="15" customHeight="1">
      <c r="A75" s="44"/>
      <c r="B75" s="44"/>
      <c r="C75" s="44"/>
      <c r="D75" s="44"/>
      <c r="E75" s="114" t="s">
        <v>66</v>
      </c>
      <c r="F75" s="115"/>
      <c r="G75" s="116"/>
      <c r="H75" s="44">
        <v>0</v>
      </c>
    </row>
    <row r="76" spans="1:8">
      <c r="A76" s="113" t="s">
        <v>151</v>
      </c>
      <c r="B76" s="113"/>
      <c r="C76" s="113"/>
      <c r="D76" s="113"/>
      <c r="E76" s="113"/>
      <c r="F76" s="113"/>
      <c r="G76" s="113"/>
      <c r="H76" s="113"/>
    </row>
    <row r="77" spans="1:8">
      <c r="A77" s="44"/>
      <c r="B77" s="44"/>
      <c r="C77" s="44">
        <v>0</v>
      </c>
      <c r="D77" s="44">
        <v>777</v>
      </c>
      <c r="E77" s="44">
        <f>C77/D77</f>
        <v>0</v>
      </c>
      <c r="F77" s="44">
        <v>0</v>
      </c>
      <c r="G77" s="44">
        <v>0</v>
      </c>
      <c r="H77" s="44">
        <f>E77*G77</f>
        <v>0</v>
      </c>
    </row>
    <row r="78" spans="1:8" ht="18.75" customHeight="1">
      <c r="A78" s="44"/>
      <c r="B78" s="44"/>
      <c r="C78" s="44"/>
      <c r="D78" s="44"/>
      <c r="E78" s="114" t="s">
        <v>66</v>
      </c>
      <c r="F78" s="115"/>
      <c r="G78" s="116"/>
      <c r="H78" s="44">
        <v>0</v>
      </c>
    </row>
    <row r="81" spans="1:13">
      <c r="A81" s="71" t="s">
        <v>67</v>
      </c>
    </row>
    <row r="82" spans="1:13" ht="15.75" customHeight="1">
      <c r="A82" s="33" t="s">
        <v>194</v>
      </c>
    </row>
    <row r="83" spans="1:13" ht="15.75" customHeight="1">
      <c r="A83" s="118" t="s">
        <v>193</v>
      </c>
      <c r="B83" s="118"/>
      <c r="C83" s="118"/>
      <c r="D83" s="118"/>
      <c r="E83" s="118"/>
      <c r="F83" s="118"/>
      <c r="G83" s="118"/>
      <c r="H83" s="118"/>
    </row>
    <row r="84" spans="1:13" ht="15.75" customHeight="1">
      <c r="A84" s="79"/>
      <c r="B84" s="79"/>
      <c r="C84" s="79"/>
      <c r="D84" s="79"/>
      <c r="E84" s="79"/>
      <c r="F84" s="79"/>
      <c r="G84" s="79"/>
      <c r="H84" s="79"/>
    </row>
    <row r="86" spans="1:13" ht="75" customHeight="1">
      <c r="A86" s="73" t="s">
        <v>68</v>
      </c>
      <c r="B86" s="73" t="s">
        <v>58</v>
      </c>
      <c r="C86" s="73" t="s">
        <v>69</v>
      </c>
      <c r="D86" s="73" t="s">
        <v>149</v>
      </c>
      <c r="E86" s="73" t="s">
        <v>150</v>
      </c>
      <c r="F86" s="73" t="s">
        <v>70</v>
      </c>
      <c r="G86" s="73" t="s">
        <v>71</v>
      </c>
      <c r="H86" s="73" t="s">
        <v>54</v>
      </c>
      <c r="J86" s="66"/>
      <c r="K86" s="66"/>
      <c r="L86" s="66"/>
      <c r="M86" s="66"/>
    </row>
    <row r="87" spans="1:13">
      <c r="A87" s="78">
        <v>1</v>
      </c>
      <c r="B87" s="78">
        <v>2</v>
      </c>
      <c r="C87" s="78">
        <v>3</v>
      </c>
      <c r="D87" s="78">
        <v>4</v>
      </c>
      <c r="E87" s="78">
        <v>5</v>
      </c>
      <c r="F87" s="78" t="s">
        <v>72</v>
      </c>
      <c r="G87" s="78">
        <v>7</v>
      </c>
      <c r="H87" s="78" t="s">
        <v>55</v>
      </c>
      <c r="J87" s="66"/>
      <c r="K87" s="66"/>
      <c r="L87" s="66"/>
      <c r="M87" s="66"/>
    </row>
    <row r="88" spans="1:13">
      <c r="A88" s="110" t="s">
        <v>53</v>
      </c>
      <c r="B88" s="111"/>
      <c r="C88" s="111"/>
      <c r="D88" s="111"/>
      <c r="E88" s="111"/>
      <c r="F88" s="111"/>
      <c r="G88" s="111"/>
      <c r="H88" s="112"/>
      <c r="J88" s="66"/>
      <c r="K88" s="66"/>
      <c r="L88" s="66"/>
      <c r="M88" s="66"/>
    </row>
    <row r="89" spans="1:13">
      <c r="A89" s="44" t="s">
        <v>73</v>
      </c>
      <c r="B89" s="44" t="s">
        <v>77</v>
      </c>
      <c r="C89" s="44">
        <f>305*18%*1000</f>
        <v>54900</v>
      </c>
      <c r="D89" s="44">
        <v>165.98</v>
      </c>
      <c r="E89" s="80">
        <f>D89/166</f>
        <v>0.99987951807228914</v>
      </c>
      <c r="F89" s="77">
        <f>C89/D89*E89</f>
        <v>330.7228915662651</v>
      </c>
      <c r="G89" s="44">
        <v>4.9600900000000001</v>
      </c>
      <c r="H89" s="77">
        <f>F89*G89</f>
        <v>1640.4153072289159</v>
      </c>
      <c r="J89" s="66"/>
      <c r="K89" s="66"/>
      <c r="L89" s="66"/>
      <c r="M89" s="66"/>
    </row>
    <row r="90" spans="1:13">
      <c r="A90" s="44" t="s">
        <v>74</v>
      </c>
      <c r="B90" s="44" t="s">
        <v>78</v>
      </c>
      <c r="C90" s="44">
        <f>1652*18%</f>
        <v>297.36</v>
      </c>
      <c r="D90" s="44">
        <v>165.98</v>
      </c>
      <c r="E90" s="80">
        <f>D90/166</f>
        <v>0.99987951807228914</v>
      </c>
      <c r="F90" s="77">
        <f t="shared" ref="F90:F92" si="0">C90/D90*E90</f>
        <v>1.7913253012048194</v>
      </c>
      <c r="G90" s="44">
        <v>2120.9899999999998</v>
      </c>
      <c r="H90" s="77">
        <f t="shared" ref="H90:H92" si="1">F90*G90</f>
        <v>3799.3830506024096</v>
      </c>
      <c r="J90" s="66"/>
      <c r="K90" s="66"/>
      <c r="L90" s="66"/>
      <c r="M90" s="66"/>
    </row>
    <row r="91" spans="1:13">
      <c r="A91" s="44" t="s">
        <v>75</v>
      </c>
      <c r="B91" s="44" t="s">
        <v>79</v>
      </c>
      <c r="C91" s="44">
        <f>2899*18%</f>
        <v>521.81999999999994</v>
      </c>
      <c r="D91" s="44">
        <v>165.98</v>
      </c>
      <c r="E91" s="80">
        <f>D91/166</f>
        <v>0.99987951807228914</v>
      </c>
      <c r="F91" s="77">
        <f t="shared" si="0"/>
        <v>3.1434939759036142</v>
      </c>
      <c r="G91" s="77">
        <v>30.6</v>
      </c>
      <c r="H91" s="77">
        <f t="shared" si="1"/>
        <v>96.190915662650596</v>
      </c>
      <c r="J91" s="66"/>
      <c r="K91" s="66"/>
      <c r="L91" s="66"/>
      <c r="M91" s="66"/>
    </row>
    <row r="92" spans="1:13">
      <c r="A92" s="44" t="s">
        <v>76</v>
      </c>
      <c r="B92" s="44" t="s">
        <v>79</v>
      </c>
      <c r="C92" s="44">
        <f>3150*18%</f>
        <v>567</v>
      </c>
      <c r="D92" s="44">
        <v>165.98</v>
      </c>
      <c r="E92" s="80">
        <f>D92/166</f>
        <v>0.99987951807228914</v>
      </c>
      <c r="F92" s="77">
        <f t="shared" si="0"/>
        <v>3.4156626506024099</v>
      </c>
      <c r="G92" s="44">
        <v>43.45</v>
      </c>
      <c r="H92" s="77">
        <f t="shared" si="1"/>
        <v>148.41054216867471</v>
      </c>
      <c r="J92" s="66"/>
      <c r="K92" s="66"/>
      <c r="L92" s="66"/>
      <c r="M92" s="66"/>
    </row>
    <row r="93" spans="1:13" ht="15" customHeight="1">
      <c r="A93" s="44"/>
      <c r="B93" s="44"/>
      <c r="C93" s="44"/>
      <c r="D93" s="44"/>
      <c r="E93" s="114" t="s">
        <v>80</v>
      </c>
      <c r="F93" s="115"/>
      <c r="G93" s="116"/>
      <c r="H93" s="77">
        <f>H89+H90+H91+H92</f>
        <v>5684.3998156626503</v>
      </c>
      <c r="J93" s="66"/>
      <c r="K93" s="66"/>
      <c r="L93" s="66"/>
      <c r="M93" s="66"/>
    </row>
    <row r="94" spans="1:13">
      <c r="A94" s="113" t="s">
        <v>151</v>
      </c>
      <c r="B94" s="113"/>
      <c r="C94" s="113"/>
      <c r="D94" s="113"/>
      <c r="E94" s="113"/>
      <c r="F94" s="113"/>
      <c r="G94" s="113"/>
      <c r="H94" s="113"/>
      <c r="J94" s="66"/>
      <c r="K94" s="66"/>
      <c r="L94" s="66"/>
      <c r="M94" s="66"/>
    </row>
    <row r="95" spans="1:13">
      <c r="A95" s="44" t="s">
        <v>73</v>
      </c>
      <c r="B95" s="44" t="s">
        <v>77</v>
      </c>
      <c r="C95" s="44">
        <v>250100</v>
      </c>
      <c r="D95" s="44">
        <v>776.56799999999998</v>
      </c>
      <c r="E95" s="80">
        <f>D95/777</f>
        <v>0.9994440154440154</v>
      </c>
      <c r="F95" s="77">
        <f>C95/D95*E95</f>
        <v>321.87902187902188</v>
      </c>
      <c r="G95" s="44">
        <v>4.9600900000000001</v>
      </c>
      <c r="H95" s="77">
        <f>F95*G95</f>
        <v>1596.5489176319177</v>
      </c>
      <c r="J95" s="66"/>
      <c r="K95" s="66"/>
      <c r="L95" s="66"/>
      <c r="M95" s="66"/>
    </row>
    <row r="96" spans="1:13">
      <c r="A96" s="44" t="s">
        <v>74</v>
      </c>
      <c r="B96" s="44" t="s">
        <v>78</v>
      </c>
      <c r="C96" s="44">
        <v>1354.64</v>
      </c>
      <c r="D96" s="44">
        <v>776.56799999999998</v>
      </c>
      <c r="E96" s="80">
        <f>D96/777</f>
        <v>0.9994440154440154</v>
      </c>
      <c r="F96" s="77">
        <f t="shared" ref="F96:F98" si="2">C96/D96*E96</f>
        <v>1.7434234234234234</v>
      </c>
      <c r="G96" s="44">
        <v>2120.9899999999998</v>
      </c>
      <c r="H96" s="77">
        <v>3697.79</v>
      </c>
      <c r="J96" s="66"/>
      <c r="K96" s="66"/>
      <c r="L96" s="66"/>
      <c r="M96" s="66"/>
    </row>
    <row r="97" spans="1:13">
      <c r="A97" s="44" t="s">
        <v>75</v>
      </c>
      <c r="B97" s="44" t="s">
        <v>79</v>
      </c>
      <c r="C97" s="44">
        <v>2377.1799999999998</v>
      </c>
      <c r="D97" s="44">
        <v>776.56799999999998</v>
      </c>
      <c r="E97" s="80">
        <f>D97/777</f>
        <v>0.9994440154440154</v>
      </c>
      <c r="F97" s="77">
        <f t="shared" si="2"/>
        <v>3.0594337194337191</v>
      </c>
      <c r="G97" s="77">
        <v>30.6</v>
      </c>
      <c r="H97" s="77">
        <f t="shared" ref="H97:H98" si="3">F97*G97</f>
        <v>93.618671814671814</v>
      </c>
      <c r="J97" s="66"/>
      <c r="K97" s="66"/>
      <c r="L97" s="66"/>
      <c r="M97" s="66"/>
    </row>
    <row r="98" spans="1:13">
      <c r="A98" s="44" t="s">
        <v>76</v>
      </c>
      <c r="B98" s="44" t="s">
        <v>79</v>
      </c>
      <c r="C98" s="44">
        <v>2583</v>
      </c>
      <c r="D98" s="44">
        <v>776.56799999999998</v>
      </c>
      <c r="E98" s="80">
        <f>D98/777</f>
        <v>0.9994440154440154</v>
      </c>
      <c r="F98" s="77">
        <f t="shared" si="2"/>
        <v>3.3243243243243246</v>
      </c>
      <c r="G98" s="44">
        <v>43.45</v>
      </c>
      <c r="H98" s="77">
        <f t="shared" si="3"/>
        <v>144.44189189189191</v>
      </c>
      <c r="J98" s="66"/>
      <c r="K98" s="66"/>
      <c r="L98" s="66"/>
      <c r="M98" s="66"/>
    </row>
    <row r="99" spans="1:13" ht="15" customHeight="1">
      <c r="A99" s="44"/>
      <c r="B99" s="44"/>
      <c r="C99" s="44"/>
      <c r="D99" s="44"/>
      <c r="E99" s="114" t="s">
        <v>80</v>
      </c>
      <c r="F99" s="115"/>
      <c r="G99" s="116"/>
      <c r="H99" s="77">
        <f>H95+H96+H97+H98</f>
        <v>5532.3994813384816</v>
      </c>
      <c r="J99" s="66"/>
      <c r="K99" s="66"/>
      <c r="L99" s="66"/>
      <c r="M99" s="66"/>
    </row>
    <row r="100" spans="1:13">
      <c r="F100" s="66"/>
      <c r="G100" s="66"/>
      <c r="H100" s="81"/>
      <c r="J100" s="66"/>
      <c r="K100" s="66"/>
      <c r="L100" s="66"/>
      <c r="M100" s="66"/>
    </row>
    <row r="101" spans="1:13">
      <c r="A101" s="71" t="s">
        <v>88</v>
      </c>
      <c r="J101" s="66"/>
      <c r="K101" s="66"/>
      <c r="L101" s="66"/>
      <c r="M101" s="66"/>
    </row>
    <row r="102" spans="1:13" ht="17.25" customHeight="1">
      <c r="J102" s="82"/>
      <c r="K102" s="82"/>
      <c r="L102" s="82"/>
      <c r="M102" s="82"/>
    </row>
    <row r="103" spans="1:13" ht="115.5" customHeight="1">
      <c r="A103" s="73" t="s">
        <v>50</v>
      </c>
      <c r="B103" s="73" t="s">
        <v>145</v>
      </c>
      <c r="C103" s="73" t="s">
        <v>2</v>
      </c>
      <c r="D103" s="94" t="s">
        <v>139</v>
      </c>
      <c r="E103" s="73" t="s">
        <v>60</v>
      </c>
      <c r="F103" s="73" t="s">
        <v>143</v>
      </c>
      <c r="G103" s="73" t="s">
        <v>144</v>
      </c>
      <c r="H103" s="73" t="s">
        <v>85</v>
      </c>
      <c r="J103" s="83"/>
      <c r="K103" s="83"/>
      <c r="L103" s="83"/>
      <c r="M103" s="83"/>
    </row>
    <row r="104" spans="1:13" ht="42" customHeight="1">
      <c r="A104" s="74">
        <v>1</v>
      </c>
      <c r="B104" s="74">
        <v>2</v>
      </c>
      <c r="C104" s="74">
        <v>3</v>
      </c>
      <c r="D104" s="74" t="s">
        <v>138</v>
      </c>
      <c r="E104" s="74">
        <v>5</v>
      </c>
      <c r="F104" s="74" t="s">
        <v>140</v>
      </c>
      <c r="G104" s="74" t="s">
        <v>141</v>
      </c>
      <c r="H104" s="74" t="s">
        <v>142</v>
      </c>
      <c r="J104" s="84"/>
      <c r="K104" s="84"/>
      <c r="L104" s="85"/>
      <c r="M104" s="81"/>
    </row>
    <row r="105" spans="1:13" ht="23.25" customHeight="1">
      <c r="A105" s="110" t="s">
        <v>53</v>
      </c>
      <c r="B105" s="111"/>
      <c r="C105" s="111"/>
      <c r="D105" s="111"/>
      <c r="E105" s="111"/>
      <c r="F105" s="111"/>
      <c r="G105" s="111"/>
      <c r="H105" s="112"/>
      <c r="J105" s="84"/>
      <c r="K105" s="84"/>
      <c r="L105" s="85"/>
      <c r="M105" s="81"/>
    </row>
    <row r="106" spans="1:13" ht="49.5" customHeight="1">
      <c r="A106" s="43" t="s">
        <v>203</v>
      </c>
      <c r="B106" s="43">
        <v>13251.02</v>
      </c>
      <c r="C106" s="43">
        <v>13.68</v>
      </c>
      <c r="D106" s="44">
        <f>C106*1974</f>
        <v>27004.32</v>
      </c>
      <c r="E106" s="75">
        <v>166</v>
      </c>
      <c r="F106" s="76">
        <f>D106/E106</f>
        <v>162.67662650602409</v>
      </c>
      <c r="G106" s="76">
        <f>B106*12*1.302/1974</f>
        <v>104.88041361702128</v>
      </c>
      <c r="H106" s="77">
        <f>F106*G106</f>
        <v>17061.591873773494</v>
      </c>
      <c r="J106" s="84"/>
      <c r="K106" s="84"/>
      <c r="L106" s="85"/>
      <c r="M106" s="81"/>
    </row>
    <row r="107" spans="1:13">
      <c r="A107" s="43" t="s">
        <v>4</v>
      </c>
      <c r="B107" s="77">
        <v>46342.400000000001</v>
      </c>
      <c r="C107" s="43">
        <f>1*0.18</f>
        <v>0.18</v>
      </c>
      <c r="D107" s="44">
        <f>C107*1974</f>
        <v>355.32</v>
      </c>
      <c r="E107" s="75">
        <v>166</v>
      </c>
      <c r="F107" s="76">
        <f>D107/E107</f>
        <v>2.1404819277108431</v>
      </c>
      <c r="G107" s="76">
        <f t="shared" ref="G107:G139" si="4">B107*12*1.302/1974</f>
        <v>366.79516595744684</v>
      </c>
      <c r="H107" s="77">
        <f t="shared" ref="H107:H139" si="5">F107*G107</f>
        <v>785.11842390361448</v>
      </c>
      <c r="J107" s="84"/>
      <c r="K107" s="84"/>
      <c r="L107" s="85"/>
      <c r="M107" s="81"/>
    </row>
    <row r="108" spans="1:13">
      <c r="A108" s="43" t="s">
        <v>5</v>
      </c>
      <c r="B108" s="77">
        <v>27736.35</v>
      </c>
      <c r="C108" s="43">
        <v>0.18</v>
      </c>
      <c r="D108" s="44">
        <f t="shared" ref="D108:D139" si="6">C108*1974</f>
        <v>355.32</v>
      </c>
      <c r="E108" s="75">
        <v>166</v>
      </c>
      <c r="F108" s="76">
        <f t="shared" ref="F108:F139" si="7">D108/E108</f>
        <v>2.1404819277108431</v>
      </c>
      <c r="G108" s="76">
        <f t="shared" si="4"/>
        <v>219.53025957446806</v>
      </c>
      <c r="H108" s="77">
        <f t="shared" si="5"/>
        <v>469.90055320481918</v>
      </c>
      <c r="J108" s="84"/>
      <c r="K108" s="84"/>
      <c r="L108" s="85"/>
      <c r="M108" s="81"/>
    </row>
    <row r="109" spans="1:13" ht="39.6">
      <c r="A109" s="43" t="s">
        <v>6</v>
      </c>
      <c r="B109" s="77">
        <v>27736.35</v>
      </c>
      <c r="C109" s="43">
        <v>0.18</v>
      </c>
      <c r="D109" s="44">
        <f t="shared" si="6"/>
        <v>355.32</v>
      </c>
      <c r="E109" s="75">
        <v>166</v>
      </c>
      <c r="F109" s="76">
        <f t="shared" si="7"/>
        <v>2.1404819277108431</v>
      </c>
      <c r="G109" s="76">
        <f t="shared" si="4"/>
        <v>219.53025957446806</v>
      </c>
      <c r="H109" s="77">
        <f t="shared" si="5"/>
        <v>469.90055320481918</v>
      </c>
      <c r="J109" s="84"/>
      <c r="K109" s="84"/>
      <c r="L109" s="85"/>
      <c r="M109" s="81"/>
    </row>
    <row r="110" spans="1:13" ht="52.8">
      <c r="A110" s="43" t="s">
        <v>7</v>
      </c>
      <c r="B110" s="77">
        <v>20528.47</v>
      </c>
      <c r="C110" s="43">
        <v>0.54</v>
      </c>
      <c r="D110" s="44">
        <f t="shared" si="6"/>
        <v>1065.96</v>
      </c>
      <c r="E110" s="75">
        <v>166</v>
      </c>
      <c r="F110" s="76">
        <f t="shared" si="7"/>
        <v>6.4214457831325307</v>
      </c>
      <c r="G110" s="76">
        <f t="shared" si="4"/>
        <v>162.4806561702128</v>
      </c>
      <c r="H110" s="77">
        <f t="shared" si="5"/>
        <v>1043.3607244048196</v>
      </c>
      <c r="J110" s="84"/>
      <c r="K110" s="84"/>
      <c r="L110" s="85"/>
      <c r="M110" s="81"/>
    </row>
    <row r="111" spans="1:13">
      <c r="A111" s="43" t="s">
        <v>8</v>
      </c>
      <c r="B111" s="77">
        <v>29800</v>
      </c>
      <c r="C111" s="43">
        <v>0.18</v>
      </c>
      <c r="D111" s="44">
        <f t="shared" si="6"/>
        <v>355.32</v>
      </c>
      <c r="E111" s="75">
        <v>166</v>
      </c>
      <c r="F111" s="76">
        <f t="shared" si="7"/>
        <v>2.1404819277108431</v>
      </c>
      <c r="G111" s="76">
        <f t="shared" si="4"/>
        <v>235.86382978723404</v>
      </c>
      <c r="H111" s="77">
        <f t="shared" si="5"/>
        <v>504.86226506024087</v>
      </c>
      <c r="J111" s="84"/>
      <c r="K111" s="84"/>
      <c r="L111" s="85"/>
      <c r="M111" s="81"/>
    </row>
    <row r="112" spans="1:13">
      <c r="A112" s="43" t="s">
        <v>9</v>
      </c>
      <c r="B112" s="77">
        <v>25000</v>
      </c>
      <c r="C112" s="43">
        <v>0.18</v>
      </c>
      <c r="D112" s="44">
        <f t="shared" si="6"/>
        <v>355.32</v>
      </c>
      <c r="E112" s="75">
        <v>166</v>
      </c>
      <c r="F112" s="76">
        <f t="shared" si="7"/>
        <v>2.1404819277108431</v>
      </c>
      <c r="G112" s="76">
        <f t="shared" si="4"/>
        <v>197.87234042553192</v>
      </c>
      <c r="H112" s="77">
        <f t="shared" si="5"/>
        <v>423.54216867469876</v>
      </c>
      <c r="J112" s="84"/>
      <c r="K112" s="84"/>
      <c r="L112" s="85"/>
      <c r="M112" s="81"/>
    </row>
    <row r="113" spans="1:13" ht="26.4">
      <c r="A113" s="43" t="s">
        <v>52</v>
      </c>
      <c r="B113" s="77">
        <v>19088</v>
      </c>
      <c r="C113" s="43">
        <v>0.09</v>
      </c>
      <c r="D113" s="44">
        <f t="shared" si="6"/>
        <v>177.66</v>
      </c>
      <c r="E113" s="75">
        <v>166</v>
      </c>
      <c r="F113" s="76">
        <f t="shared" si="7"/>
        <v>1.0702409638554216</v>
      </c>
      <c r="G113" s="76">
        <f t="shared" si="4"/>
        <v>151.07948936170214</v>
      </c>
      <c r="H113" s="77">
        <f t="shared" si="5"/>
        <v>161.69145831325301</v>
      </c>
      <c r="J113" s="84"/>
      <c r="K113" s="84"/>
      <c r="L113" s="85"/>
      <c r="M113" s="81"/>
    </row>
    <row r="114" spans="1:13">
      <c r="A114" s="43" t="s">
        <v>10</v>
      </c>
      <c r="B114" s="77">
        <v>18750</v>
      </c>
      <c r="C114" s="43">
        <v>0.18</v>
      </c>
      <c r="D114" s="44">
        <f t="shared" si="6"/>
        <v>355.32</v>
      </c>
      <c r="E114" s="75">
        <v>166</v>
      </c>
      <c r="F114" s="76">
        <f t="shared" si="7"/>
        <v>2.1404819277108431</v>
      </c>
      <c r="G114" s="76">
        <f t="shared" si="4"/>
        <v>148.40425531914894</v>
      </c>
      <c r="H114" s="77">
        <f t="shared" si="5"/>
        <v>317.65662650602405</v>
      </c>
      <c r="J114" s="84"/>
      <c r="K114" s="84"/>
      <c r="L114" s="85"/>
      <c r="M114" s="81"/>
    </row>
    <row r="115" spans="1:13">
      <c r="A115" s="43" t="s">
        <v>11</v>
      </c>
      <c r="B115" s="77">
        <v>13883.2</v>
      </c>
      <c r="C115" s="43">
        <v>0.36</v>
      </c>
      <c r="D115" s="44">
        <f t="shared" si="6"/>
        <v>710.64</v>
      </c>
      <c r="E115" s="75">
        <v>166</v>
      </c>
      <c r="F115" s="76">
        <f t="shared" si="7"/>
        <v>4.2809638554216862</v>
      </c>
      <c r="G115" s="76">
        <f t="shared" si="4"/>
        <v>109.88405106382982</v>
      </c>
      <c r="H115" s="77">
        <f t="shared" si="5"/>
        <v>470.40965089156634</v>
      </c>
      <c r="J115" s="84"/>
      <c r="K115" s="84"/>
      <c r="L115" s="85"/>
      <c r="M115" s="81"/>
    </row>
    <row r="116" spans="1:13" ht="26.4">
      <c r="A116" s="43" t="s">
        <v>12</v>
      </c>
      <c r="B116" s="77">
        <v>19917.52</v>
      </c>
      <c r="C116" s="43">
        <v>0.18</v>
      </c>
      <c r="D116" s="44">
        <f t="shared" si="6"/>
        <v>355.32</v>
      </c>
      <c r="E116" s="75">
        <v>166</v>
      </c>
      <c r="F116" s="76">
        <f t="shared" si="7"/>
        <v>2.1404819277108431</v>
      </c>
      <c r="G116" s="76">
        <f t="shared" si="4"/>
        <v>157.6450519148936</v>
      </c>
      <c r="H116" s="77">
        <f t="shared" si="5"/>
        <v>337.43638461686737</v>
      </c>
      <c r="J116" s="84"/>
      <c r="K116" s="84"/>
      <c r="L116" s="85"/>
      <c r="M116" s="81"/>
    </row>
    <row r="117" spans="1:13">
      <c r="A117" s="43" t="s">
        <v>23</v>
      </c>
      <c r="B117" s="77">
        <v>19783</v>
      </c>
      <c r="C117" s="43">
        <v>0.54</v>
      </c>
      <c r="D117" s="44">
        <f t="shared" si="6"/>
        <v>1065.96</v>
      </c>
      <c r="E117" s="75">
        <v>166</v>
      </c>
      <c r="F117" s="76">
        <f t="shared" si="7"/>
        <v>6.4214457831325307</v>
      </c>
      <c r="G117" s="76">
        <f t="shared" si="4"/>
        <v>156.58034042553192</v>
      </c>
      <c r="H117" s="77">
        <f t="shared" si="5"/>
        <v>1005.472166746988</v>
      </c>
      <c r="J117" s="84"/>
      <c r="K117" s="84"/>
      <c r="L117" s="85"/>
      <c r="M117" s="81"/>
    </row>
    <row r="118" spans="1:13">
      <c r="A118" s="43" t="s">
        <v>13</v>
      </c>
      <c r="B118" s="77">
        <v>15011.2</v>
      </c>
      <c r="C118" s="43">
        <v>0.18</v>
      </c>
      <c r="D118" s="44">
        <f t="shared" si="6"/>
        <v>355.32</v>
      </c>
      <c r="E118" s="75">
        <v>166</v>
      </c>
      <c r="F118" s="76">
        <f t="shared" si="7"/>
        <v>2.1404819277108431</v>
      </c>
      <c r="G118" s="76">
        <f t="shared" si="4"/>
        <v>118.81205106382981</v>
      </c>
      <c r="H118" s="77">
        <f t="shared" si="5"/>
        <v>254.31504809638557</v>
      </c>
      <c r="J118" s="84"/>
      <c r="K118" s="84"/>
      <c r="L118" s="85"/>
      <c r="M118" s="81"/>
    </row>
    <row r="119" spans="1:13">
      <c r="A119" s="43" t="s">
        <v>14</v>
      </c>
      <c r="B119" s="77">
        <v>14667.2</v>
      </c>
      <c r="C119" s="43">
        <v>0.09</v>
      </c>
      <c r="D119" s="44">
        <f t="shared" si="6"/>
        <v>177.66</v>
      </c>
      <c r="E119" s="75">
        <v>166</v>
      </c>
      <c r="F119" s="76">
        <f t="shared" si="7"/>
        <v>1.0702409638554216</v>
      </c>
      <c r="G119" s="76">
        <f t="shared" si="4"/>
        <v>116.08932765957448</v>
      </c>
      <c r="H119" s="77">
        <f t="shared" si="5"/>
        <v>124.24355392771083</v>
      </c>
      <c r="J119" s="84"/>
      <c r="K119" s="84"/>
      <c r="L119" s="85"/>
      <c r="M119" s="81"/>
    </row>
    <row r="120" spans="1:13">
      <c r="A120" s="43" t="s">
        <v>15</v>
      </c>
      <c r="B120" s="77">
        <v>13371.9</v>
      </c>
      <c r="C120" s="43">
        <v>0.36</v>
      </c>
      <c r="D120" s="44">
        <f t="shared" si="6"/>
        <v>710.64</v>
      </c>
      <c r="E120" s="75">
        <v>166</v>
      </c>
      <c r="F120" s="76">
        <f t="shared" si="7"/>
        <v>4.2809638554216862</v>
      </c>
      <c r="G120" s="76">
        <f t="shared" si="4"/>
        <v>105.83716595744681</v>
      </c>
      <c r="H120" s="77">
        <f t="shared" si="5"/>
        <v>453.08508202409638</v>
      </c>
      <c r="J120" s="84"/>
      <c r="K120" s="84"/>
      <c r="L120" s="85"/>
      <c r="M120" s="81"/>
    </row>
    <row r="121" spans="1:13">
      <c r="A121" s="43" t="s">
        <v>16</v>
      </c>
      <c r="B121" s="77">
        <v>17772.8</v>
      </c>
      <c r="C121" s="43">
        <v>0.18</v>
      </c>
      <c r="D121" s="44">
        <f t="shared" si="6"/>
        <v>355.32</v>
      </c>
      <c r="E121" s="75">
        <v>166</v>
      </c>
      <c r="F121" s="76">
        <f t="shared" si="7"/>
        <v>2.1404819277108431</v>
      </c>
      <c r="G121" s="76">
        <f t="shared" si="4"/>
        <v>140.66982127659574</v>
      </c>
      <c r="H121" s="77">
        <f t="shared" si="5"/>
        <v>301.1012102168674</v>
      </c>
      <c r="J121" s="84"/>
      <c r="K121" s="84"/>
      <c r="L121" s="85"/>
      <c r="M121" s="81"/>
    </row>
    <row r="122" spans="1:13" ht="39.6">
      <c r="A122" s="43" t="s">
        <v>19</v>
      </c>
      <c r="B122" s="77">
        <v>9544</v>
      </c>
      <c r="C122" s="43">
        <v>0.18</v>
      </c>
      <c r="D122" s="44">
        <f t="shared" si="6"/>
        <v>355.32</v>
      </c>
      <c r="E122" s="75">
        <v>166</v>
      </c>
      <c r="F122" s="76">
        <f t="shared" si="7"/>
        <v>2.1404819277108431</v>
      </c>
      <c r="G122" s="76">
        <f t="shared" si="4"/>
        <v>75.539744680851072</v>
      </c>
      <c r="H122" s="77">
        <f t="shared" si="5"/>
        <v>161.69145831325301</v>
      </c>
      <c r="J122" s="84"/>
      <c r="K122" s="84"/>
      <c r="L122" s="85"/>
      <c r="M122" s="81"/>
    </row>
    <row r="123" spans="1:13">
      <c r="A123" s="43" t="s">
        <v>20</v>
      </c>
      <c r="B123" s="77">
        <v>18000</v>
      </c>
      <c r="C123" s="43">
        <v>0.54</v>
      </c>
      <c r="D123" s="44">
        <f t="shared" si="6"/>
        <v>1065.96</v>
      </c>
      <c r="E123" s="75">
        <v>166</v>
      </c>
      <c r="F123" s="76">
        <f t="shared" si="7"/>
        <v>6.4214457831325307</v>
      </c>
      <c r="G123" s="76">
        <f t="shared" si="4"/>
        <v>142.46808510638297</v>
      </c>
      <c r="H123" s="77">
        <f t="shared" si="5"/>
        <v>914.85108433734945</v>
      </c>
      <c r="J123" s="84"/>
      <c r="K123" s="84"/>
      <c r="L123" s="85"/>
      <c r="M123" s="81"/>
    </row>
    <row r="124" spans="1:13">
      <c r="A124" s="43" t="s">
        <v>21</v>
      </c>
      <c r="B124" s="77">
        <v>9544</v>
      </c>
      <c r="C124" s="43">
        <v>0.18</v>
      </c>
      <c r="D124" s="44">
        <f t="shared" si="6"/>
        <v>355.32</v>
      </c>
      <c r="E124" s="75">
        <v>166</v>
      </c>
      <c r="F124" s="76">
        <f t="shared" si="7"/>
        <v>2.1404819277108431</v>
      </c>
      <c r="G124" s="76">
        <f t="shared" si="4"/>
        <v>75.539744680851072</v>
      </c>
      <c r="H124" s="77">
        <f t="shared" si="5"/>
        <v>161.69145831325301</v>
      </c>
      <c r="J124" s="84"/>
      <c r="K124" s="84"/>
      <c r="L124" s="85"/>
      <c r="M124" s="81"/>
    </row>
    <row r="125" spans="1:13" ht="26.4">
      <c r="A125" s="43" t="s">
        <v>22</v>
      </c>
      <c r="B125" s="77">
        <v>9544</v>
      </c>
      <c r="C125" s="43">
        <v>0.18</v>
      </c>
      <c r="D125" s="44">
        <f t="shared" si="6"/>
        <v>355.32</v>
      </c>
      <c r="E125" s="75">
        <v>166</v>
      </c>
      <c r="F125" s="76">
        <f t="shared" si="7"/>
        <v>2.1404819277108431</v>
      </c>
      <c r="G125" s="76">
        <f t="shared" si="4"/>
        <v>75.539744680851072</v>
      </c>
      <c r="H125" s="77">
        <f t="shared" si="5"/>
        <v>161.69145831325301</v>
      </c>
      <c r="J125" s="84"/>
      <c r="K125" s="84"/>
      <c r="L125" s="85"/>
      <c r="M125" s="81"/>
    </row>
    <row r="126" spans="1:13">
      <c r="A126" s="43" t="s">
        <v>24</v>
      </c>
      <c r="B126" s="77">
        <v>9544</v>
      </c>
      <c r="C126" s="43">
        <v>0.54</v>
      </c>
      <c r="D126" s="44">
        <f t="shared" si="6"/>
        <v>1065.96</v>
      </c>
      <c r="E126" s="75">
        <v>166</v>
      </c>
      <c r="F126" s="76">
        <f t="shared" si="7"/>
        <v>6.4214457831325307</v>
      </c>
      <c r="G126" s="76">
        <f t="shared" si="4"/>
        <v>75.539744680851072</v>
      </c>
      <c r="H126" s="77">
        <f t="shared" si="5"/>
        <v>485.07437493975914</v>
      </c>
      <c r="J126" s="84"/>
      <c r="K126" s="84"/>
      <c r="L126" s="85"/>
      <c r="M126" s="81"/>
    </row>
    <row r="127" spans="1:13">
      <c r="A127" s="43" t="s">
        <v>25</v>
      </c>
      <c r="B127" s="77">
        <v>9544</v>
      </c>
      <c r="C127" s="43">
        <v>0.18</v>
      </c>
      <c r="D127" s="44">
        <f t="shared" si="6"/>
        <v>355.32</v>
      </c>
      <c r="E127" s="75">
        <v>166</v>
      </c>
      <c r="F127" s="76">
        <f t="shared" si="7"/>
        <v>2.1404819277108431</v>
      </c>
      <c r="G127" s="76">
        <f t="shared" si="4"/>
        <v>75.539744680851072</v>
      </c>
      <c r="H127" s="77">
        <f t="shared" si="5"/>
        <v>161.69145831325301</v>
      </c>
      <c r="J127" s="84"/>
      <c r="K127" s="84"/>
      <c r="L127" s="85"/>
      <c r="M127" s="81"/>
    </row>
    <row r="128" spans="1:13">
      <c r="A128" s="43" t="s">
        <v>26</v>
      </c>
      <c r="B128" s="77">
        <v>16840.72</v>
      </c>
      <c r="C128" s="43">
        <v>0.18</v>
      </c>
      <c r="D128" s="44">
        <f t="shared" si="6"/>
        <v>355.32</v>
      </c>
      <c r="E128" s="75">
        <v>166</v>
      </c>
      <c r="F128" s="76">
        <f t="shared" si="7"/>
        <v>2.1404819277108431</v>
      </c>
      <c r="G128" s="76">
        <f t="shared" si="4"/>
        <v>133.29250723404257</v>
      </c>
      <c r="H128" s="77">
        <f t="shared" si="5"/>
        <v>285.31020283373493</v>
      </c>
      <c r="J128" s="84"/>
      <c r="K128" s="84"/>
      <c r="L128" s="85"/>
      <c r="M128" s="81"/>
    </row>
    <row r="129" spans="1:13" ht="42" customHeight="1">
      <c r="A129" s="43" t="s">
        <v>27</v>
      </c>
      <c r="B129" s="77">
        <v>9544</v>
      </c>
      <c r="C129" s="43">
        <v>0.54</v>
      </c>
      <c r="D129" s="44">
        <f t="shared" si="6"/>
        <v>1065.96</v>
      </c>
      <c r="E129" s="75">
        <v>166</v>
      </c>
      <c r="F129" s="76">
        <f t="shared" si="7"/>
        <v>6.4214457831325307</v>
      </c>
      <c r="G129" s="76">
        <f t="shared" si="4"/>
        <v>75.539744680851072</v>
      </c>
      <c r="H129" s="77">
        <f t="shared" si="5"/>
        <v>485.07437493975914</v>
      </c>
      <c r="J129" s="84"/>
      <c r="K129" s="84"/>
      <c r="L129" s="85"/>
      <c r="M129" s="81"/>
    </row>
    <row r="130" spans="1:13" ht="19.5" customHeight="1">
      <c r="A130" s="43" t="s">
        <v>28</v>
      </c>
      <c r="B130" s="77">
        <v>9544</v>
      </c>
      <c r="C130" s="43">
        <v>1.26</v>
      </c>
      <c r="D130" s="44">
        <f t="shared" si="6"/>
        <v>2487.2400000000002</v>
      </c>
      <c r="E130" s="75">
        <v>166</v>
      </c>
      <c r="F130" s="76">
        <f t="shared" si="7"/>
        <v>14.983373493975906</v>
      </c>
      <c r="G130" s="76">
        <f t="shared" si="4"/>
        <v>75.539744680851072</v>
      </c>
      <c r="H130" s="77">
        <f t="shared" si="5"/>
        <v>1131.8402081927713</v>
      </c>
      <c r="J130" s="84"/>
      <c r="K130" s="84"/>
      <c r="L130" s="85"/>
      <c r="M130" s="81"/>
    </row>
    <row r="131" spans="1:13" ht="26.4">
      <c r="A131" s="43" t="s">
        <v>29</v>
      </c>
      <c r="B131" s="77">
        <v>9544</v>
      </c>
      <c r="C131" s="43">
        <v>2.34</v>
      </c>
      <c r="D131" s="44">
        <f t="shared" si="6"/>
        <v>4619.16</v>
      </c>
      <c r="E131" s="75">
        <v>166</v>
      </c>
      <c r="F131" s="76">
        <f t="shared" si="7"/>
        <v>27.826265060240964</v>
      </c>
      <c r="G131" s="76">
        <f t="shared" si="4"/>
        <v>75.539744680851072</v>
      </c>
      <c r="H131" s="77">
        <f t="shared" si="5"/>
        <v>2101.9889580722893</v>
      </c>
      <c r="J131" s="84"/>
      <c r="K131" s="84"/>
      <c r="L131" s="85"/>
      <c r="M131" s="81"/>
    </row>
    <row r="132" spans="1:13">
      <c r="A132" s="43" t="s">
        <v>30</v>
      </c>
      <c r="B132" s="77">
        <v>9544</v>
      </c>
      <c r="C132" s="43">
        <v>0.36</v>
      </c>
      <c r="D132" s="44">
        <f t="shared" si="6"/>
        <v>710.64</v>
      </c>
      <c r="E132" s="75">
        <v>166</v>
      </c>
      <c r="F132" s="76">
        <f t="shared" si="7"/>
        <v>4.2809638554216862</v>
      </c>
      <c r="G132" s="76">
        <f t="shared" si="4"/>
        <v>75.539744680851072</v>
      </c>
      <c r="H132" s="77">
        <f t="shared" si="5"/>
        <v>323.38291662650602</v>
      </c>
      <c r="J132" s="84"/>
      <c r="K132" s="84"/>
      <c r="L132" s="85"/>
      <c r="M132" s="81"/>
    </row>
    <row r="133" spans="1:13">
      <c r="A133" s="43" t="s">
        <v>31</v>
      </c>
      <c r="B133" s="77">
        <v>16401.2</v>
      </c>
      <c r="C133" s="43">
        <v>0.18</v>
      </c>
      <c r="D133" s="44">
        <f t="shared" si="6"/>
        <v>355.32</v>
      </c>
      <c r="E133" s="75">
        <v>166</v>
      </c>
      <c r="F133" s="76">
        <f t="shared" si="7"/>
        <v>2.1404819277108431</v>
      </c>
      <c r="G133" s="76">
        <f t="shared" si="4"/>
        <v>129.81375319148938</v>
      </c>
      <c r="H133" s="77">
        <f t="shared" si="5"/>
        <v>277.86399267469881</v>
      </c>
      <c r="J133" s="84"/>
      <c r="K133" s="84"/>
      <c r="L133" s="85"/>
      <c r="M133" s="81"/>
    </row>
    <row r="134" spans="1:13">
      <c r="A134" s="43" t="s">
        <v>32</v>
      </c>
      <c r="B134" s="77">
        <v>10602.54</v>
      </c>
      <c r="C134" s="43">
        <v>2.16</v>
      </c>
      <c r="D134" s="44">
        <f t="shared" si="6"/>
        <v>4263.84</v>
      </c>
      <c r="E134" s="75">
        <v>166</v>
      </c>
      <c r="F134" s="76">
        <f t="shared" si="7"/>
        <v>25.685783132530123</v>
      </c>
      <c r="G134" s="76">
        <f t="shared" si="4"/>
        <v>83.917976170212768</v>
      </c>
      <c r="H134" s="77">
        <f t="shared" si="5"/>
        <v>2155.4989368289157</v>
      </c>
      <c r="J134" s="84"/>
      <c r="K134" s="84"/>
      <c r="L134" s="85"/>
      <c r="M134" s="81"/>
    </row>
    <row r="135" spans="1:13">
      <c r="A135" s="43" t="s">
        <v>33</v>
      </c>
      <c r="B135" s="77">
        <v>9544</v>
      </c>
      <c r="C135" s="43">
        <v>0.18</v>
      </c>
      <c r="D135" s="44">
        <f t="shared" si="6"/>
        <v>355.32</v>
      </c>
      <c r="E135" s="75">
        <v>166</v>
      </c>
      <c r="F135" s="76">
        <f t="shared" si="7"/>
        <v>2.1404819277108431</v>
      </c>
      <c r="G135" s="76">
        <f t="shared" si="4"/>
        <v>75.539744680851072</v>
      </c>
      <c r="H135" s="77">
        <f t="shared" si="5"/>
        <v>161.69145831325301</v>
      </c>
      <c r="J135" s="84"/>
      <c r="K135" s="84"/>
      <c r="L135" s="85"/>
      <c r="M135" s="81"/>
    </row>
    <row r="136" spans="1:13">
      <c r="A136" s="43" t="s">
        <v>34</v>
      </c>
      <c r="B136" s="77">
        <v>9544</v>
      </c>
      <c r="C136" s="43">
        <v>0.18</v>
      </c>
      <c r="D136" s="44">
        <f t="shared" si="6"/>
        <v>355.32</v>
      </c>
      <c r="E136" s="75">
        <v>166</v>
      </c>
      <c r="F136" s="76">
        <f t="shared" si="7"/>
        <v>2.1404819277108431</v>
      </c>
      <c r="G136" s="76">
        <f t="shared" si="4"/>
        <v>75.539744680851072</v>
      </c>
      <c r="H136" s="77">
        <f t="shared" si="5"/>
        <v>161.69145831325301</v>
      </c>
      <c r="J136" s="84"/>
      <c r="K136" s="84"/>
      <c r="L136" s="85"/>
      <c r="M136" s="81"/>
    </row>
    <row r="137" spans="1:13">
      <c r="A137" s="43" t="s">
        <v>35</v>
      </c>
      <c r="B137" s="77">
        <v>9544</v>
      </c>
      <c r="C137" s="43">
        <v>0.18</v>
      </c>
      <c r="D137" s="44">
        <f t="shared" si="6"/>
        <v>355.32</v>
      </c>
      <c r="E137" s="75">
        <v>166</v>
      </c>
      <c r="F137" s="76">
        <f t="shared" si="7"/>
        <v>2.1404819277108431</v>
      </c>
      <c r="G137" s="76">
        <f t="shared" si="4"/>
        <v>75.539744680851072</v>
      </c>
      <c r="H137" s="77">
        <f t="shared" si="5"/>
        <v>161.69145831325301</v>
      </c>
      <c r="J137" s="84"/>
      <c r="K137" s="84"/>
      <c r="L137" s="85"/>
      <c r="M137" s="81"/>
    </row>
    <row r="138" spans="1:13">
      <c r="A138" s="44" t="s">
        <v>36</v>
      </c>
      <c r="B138" s="77">
        <v>9544</v>
      </c>
      <c r="C138" s="44">
        <v>0.54</v>
      </c>
      <c r="D138" s="44">
        <f t="shared" si="6"/>
        <v>1065.96</v>
      </c>
      <c r="E138" s="75">
        <v>166</v>
      </c>
      <c r="F138" s="76">
        <f t="shared" si="7"/>
        <v>6.4214457831325307</v>
      </c>
      <c r="G138" s="76">
        <f t="shared" si="4"/>
        <v>75.539744680851072</v>
      </c>
      <c r="H138" s="77">
        <f t="shared" si="5"/>
        <v>485.07437493975914</v>
      </c>
      <c r="J138" s="84"/>
      <c r="K138" s="84"/>
      <c r="L138" s="85"/>
      <c r="M138" s="81"/>
    </row>
    <row r="139" spans="1:13" ht="24.75" customHeight="1">
      <c r="A139" s="43" t="s">
        <v>37</v>
      </c>
      <c r="B139" s="77">
        <v>9544</v>
      </c>
      <c r="C139" s="44">
        <v>0.18</v>
      </c>
      <c r="D139" s="44">
        <f t="shared" si="6"/>
        <v>355.32</v>
      </c>
      <c r="E139" s="75">
        <v>166</v>
      </c>
      <c r="F139" s="76">
        <f t="shared" si="7"/>
        <v>2.1404819277108431</v>
      </c>
      <c r="G139" s="76">
        <f t="shared" si="4"/>
        <v>75.539744680851072</v>
      </c>
      <c r="H139" s="77">
        <f t="shared" si="5"/>
        <v>161.69145831325301</v>
      </c>
      <c r="J139" s="84"/>
      <c r="K139" s="85"/>
      <c r="L139" s="85"/>
      <c r="M139" s="81"/>
    </row>
    <row r="140" spans="1:13" ht="16.5" customHeight="1">
      <c r="A140" s="114" t="s">
        <v>146</v>
      </c>
      <c r="B140" s="115"/>
      <c r="C140" s="115"/>
      <c r="D140" s="115"/>
      <c r="E140" s="115"/>
      <c r="F140" s="115"/>
      <c r="G140" s="116"/>
      <c r="H140" s="77">
        <f>H106</f>
        <v>17061.591873773494</v>
      </c>
      <c r="J140" s="84"/>
      <c r="K140" s="84"/>
      <c r="L140" s="85"/>
      <c r="M140" s="81"/>
    </row>
    <row r="141" spans="1:13">
      <c r="A141" s="113" t="s">
        <v>151</v>
      </c>
      <c r="B141" s="113"/>
      <c r="C141" s="113"/>
      <c r="D141" s="113"/>
      <c r="E141" s="113"/>
      <c r="F141" s="113"/>
      <c r="G141" s="113"/>
      <c r="H141" s="113"/>
      <c r="J141" s="66"/>
      <c r="K141" s="66"/>
      <c r="L141" s="66"/>
      <c r="M141" s="66"/>
    </row>
    <row r="142" spans="1:13" ht="52.8">
      <c r="A142" s="43" t="s">
        <v>89</v>
      </c>
      <c r="B142" s="43">
        <v>13251.02</v>
      </c>
      <c r="C142" s="43">
        <v>62.32</v>
      </c>
      <c r="D142" s="44">
        <f>C142*1974</f>
        <v>123019.68000000001</v>
      </c>
      <c r="E142" s="75">
        <v>777</v>
      </c>
      <c r="F142" s="76">
        <f>D142/E142</f>
        <v>158.32648648648649</v>
      </c>
      <c r="G142" s="76">
        <f>B142*12*1.302/1974</f>
        <v>104.88041361702128</v>
      </c>
      <c r="H142" s="77">
        <f>F142*G142</f>
        <v>16605.347389232433</v>
      </c>
      <c r="J142" s="66"/>
      <c r="K142" s="66"/>
      <c r="L142" s="66"/>
      <c r="M142" s="66"/>
    </row>
    <row r="143" spans="1:13">
      <c r="A143" s="43" t="s">
        <v>4</v>
      </c>
      <c r="B143" s="77">
        <v>46342.400000000001</v>
      </c>
      <c r="C143" s="43">
        <v>0.82</v>
      </c>
      <c r="D143" s="44">
        <f>C143*1974</f>
        <v>1618.6799999999998</v>
      </c>
      <c r="E143" s="75">
        <v>777</v>
      </c>
      <c r="F143" s="76">
        <f>D143/E143</f>
        <v>2.0832432432432428</v>
      </c>
      <c r="G143" s="76">
        <f t="shared" ref="G143:G175" si="8">B143*12*1.302/1974</f>
        <v>366.79516595744684</v>
      </c>
      <c r="H143" s="77">
        <v>764.12</v>
      </c>
      <c r="J143" s="66"/>
      <c r="K143" s="66"/>
      <c r="L143" s="66"/>
      <c r="M143" s="66"/>
    </row>
    <row r="144" spans="1:13">
      <c r="A144" s="43" t="s">
        <v>5</v>
      </c>
      <c r="B144" s="77">
        <v>27736.35</v>
      </c>
      <c r="C144" s="43">
        <v>0.82</v>
      </c>
      <c r="D144" s="44">
        <f t="shared" ref="D144:D175" si="9">C144*1974</f>
        <v>1618.6799999999998</v>
      </c>
      <c r="E144" s="75">
        <v>777</v>
      </c>
      <c r="F144" s="76">
        <f t="shared" ref="F144:F175" si="10">D144/E144</f>
        <v>2.0832432432432428</v>
      </c>
      <c r="G144" s="76">
        <f t="shared" si="8"/>
        <v>219.53025957446806</v>
      </c>
      <c r="H144" s="77">
        <f t="shared" ref="H144:H175" si="11">F144*G144</f>
        <v>457.33492994594582</v>
      </c>
      <c r="J144" s="66"/>
      <c r="K144" s="66"/>
      <c r="L144" s="66"/>
      <c r="M144" s="66"/>
    </row>
    <row r="145" spans="1:13" ht="39.6">
      <c r="A145" s="43" t="s">
        <v>6</v>
      </c>
      <c r="B145" s="77">
        <v>27736.35</v>
      </c>
      <c r="C145" s="43">
        <v>0.82</v>
      </c>
      <c r="D145" s="44">
        <f t="shared" si="9"/>
        <v>1618.6799999999998</v>
      </c>
      <c r="E145" s="75">
        <v>777</v>
      </c>
      <c r="F145" s="76">
        <f t="shared" si="10"/>
        <v>2.0832432432432428</v>
      </c>
      <c r="G145" s="76">
        <f t="shared" si="8"/>
        <v>219.53025957446806</v>
      </c>
      <c r="H145" s="77">
        <f t="shared" si="11"/>
        <v>457.33492994594582</v>
      </c>
      <c r="J145" s="66"/>
      <c r="K145" s="66"/>
      <c r="L145" s="66"/>
      <c r="M145" s="66"/>
    </row>
    <row r="146" spans="1:13" ht="52.8">
      <c r="A146" s="43" t="s">
        <v>7</v>
      </c>
      <c r="B146" s="77">
        <v>20528.47</v>
      </c>
      <c r="C146" s="43">
        <v>2.46</v>
      </c>
      <c r="D146" s="44">
        <f t="shared" si="9"/>
        <v>4856.04</v>
      </c>
      <c r="E146" s="75">
        <v>777</v>
      </c>
      <c r="F146" s="76">
        <f t="shared" si="10"/>
        <v>6.2497297297297294</v>
      </c>
      <c r="G146" s="76">
        <f t="shared" si="8"/>
        <v>162.4806561702128</v>
      </c>
      <c r="H146" s="77">
        <f t="shared" si="11"/>
        <v>1015.4601873729731</v>
      </c>
      <c r="J146" s="66"/>
      <c r="K146" s="66"/>
      <c r="L146" s="66"/>
      <c r="M146" s="66"/>
    </row>
    <row r="147" spans="1:13">
      <c r="A147" s="43" t="s">
        <v>8</v>
      </c>
      <c r="B147" s="77">
        <v>29800</v>
      </c>
      <c r="C147" s="43">
        <v>0.82</v>
      </c>
      <c r="D147" s="44">
        <f t="shared" si="9"/>
        <v>1618.6799999999998</v>
      </c>
      <c r="E147" s="75">
        <v>777</v>
      </c>
      <c r="F147" s="76">
        <f t="shared" si="10"/>
        <v>2.0832432432432428</v>
      </c>
      <c r="G147" s="76">
        <f t="shared" si="8"/>
        <v>235.86382978723404</v>
      </c>
      <c r="H147" s="77">
        <f t="shared" si="11"/>
        <v>491.36172972972963</v>
      </c>
      <c r="J147" s="66"/>
      <c r="K147" s="66"/>
      <c r="L147" s="66"/>
      <c r="M147" s="66"/>
    </row>
    <row r="148" spans="1:13">
      <c r="A148" s="43" t="s">
        <v>9</v>
      </c>
      <c r="B148" s="77">
        <v>25000</v>
      </c>
      <c r="C148" s="43">
        <v>0.82</v>
      </c>
      <c r="D148" s="44">
        <f t="shared" si="9"/>
        <v>1618.6799999999998</v>
      </c>
      <c r="E148" s="75">
        <v>777</v>
      </c>
      <c r="F148" s="76">
        <f t="shared" si="10"/>
        <v>2.0832432432432428</v>
      </c>
      <c r="G148" s="76">
        <f t="shared" si="8"/>
        <v>197.87234042553192</v>
      </c>
      <c r="H148" s="77">
        <f t="shared" si="11"/>
        <v>412.21621621621614</v>
      </c>
      <c r="J148" s="66"/>
      <c r="K148" s="66"/>
      <c r="L148" s="66"/>
      <c r="M148" s="66"/>
    </row>
    <row r="149" spans="1:13" ht="26.4">
      <c r="A149" s="43" t="s">
        <v>52</v>
      </c>
      <c r="B149" s="77">
        <v>19088</v>
      </c>
      <c r="C149" s="43">
        <v>0.41</v>
      </c>
      <c r="D149" s="44">
        <f t="shared" si="9"/>
        <v>809.33999999999992</v>
      </c>
      <c r="E149" s="75">
        <v>777</v>
      </c>
      <c r="F149" s="76">
        <f t="shared" si="10"/>
        <v>1.0416216216216214</v>
      </c>
      <c r="G149" s="76">
        <f t="shared" si="8"/>
        <v>151.07948936170214</v>
      </c>
      <c r="H149" s="77">
        <f t="shared" si="11"/>
        <v>157.36766270270269</v>
      </c>
      <c r="J149" s="66"/>
      <c r="K149" s="66"/>
      <c r="L149" s="66"/>
      <c r="M149" s="66"/>
    </row>
    <row r="150" spans="1:13">
      <c r="A150" s="43" t="s">
        <v>10</v>
      </c>
      <c r="B150" s="77">
        <v>18750</v>
      </c>
      <c r="C150" s="43">
        <v>0.82</v>
      </c>
      <c r="D150" s="44">
        <f t="shared" si="9"/>
        <v>1618.6799999999998</v>
      </c>
      <c r="E150" s="75">
        <v>777</v>
      </c>
      <c r="F150" s="76">
        <f t="shared" si="10"/>
        <v>2.0832432432432428</v>
      </c>
      <c r="G150" s="76">
        <f t="shared" si="8"/>
        <v>148.40425531914894</v>
      </c>
      <c r="H150" s="77">
        <f t="shared" si="11"/>
        <v>309.16216216216213</v>
      </c>
      <c r="J150" s="66"/>
      <c r="K150" s="66"/>
      <c r="L150" s="66"/>
      <c r="M150" s="66"/>
    </row>
    <row r="151" spans="1:13">
      <c r="A151" s="43" t="s">
        <v>11</v>
      </c>
      <c r="B151" s="77">
        <v>13883.2</v>
      </c>
      <c r="C151" s="43">
        <v>1.64</v>
      </c>
      <c r="D151" s="44">
        <f t="shared" si="9"/>
        <v>3237.3599999999997</v>
      </c>
      <c r="E151" s="75">
        <v>777</v>
      </c>
      <c r="F151" s="76">
        <f t="shared" si="10"/>
        <v>4.1664864864864857</v>
      </c>
      <c r="G151" s="76">
        <f t="shared" si="8"/>
        <v>109.88405106382982</v>
      </c>
      <c r="H151" s="77">
        <f t="shared" si="11"/>
        <v>457.83041383783785</v>
      </c>
      <c r="J151" s="66"/>
      <c r="K151" s="66"/>
      <c r="L151" s="66"/>
      <c r="M151" s="66"/>
    </row>
    <row r="152" spans="1:13" ht="26.4">
      <c r="A152" s="43" t="s">
        <v>12</v>
      </c>
      <c r="B152" s="77">
        <v>19917.52</v>
      </c>
      <c r="C152" s="43">
        <v>0.82</v>
      </c>
      <c r="D152" s="44">
        <f t="shared" si="9"/>
        <v>1618.6799999999998</v>
      </c>
      <c r="E152" s="75">
        <v>777</v>
      </c>
      <c r="F152" s="76">
        <f t="shared" si="10"/>
        <v>2.0832432432432428</v>
      </c>
      <c r="G152" s="76">
        <f t="shared" si="8"/>
        <v>157.6450519148936</v>
      </c>
      <c r="H152" s="77">
        <f t="shared" si="11"/>
        <v>328.41298923243232</v>
      </c>
      <c r="J152" s="66"/>
      <c r="K152" s="66"/>
      <c r="L152" s="66"/>
      <c r="M152" s="66"/>
    </row>
    <row r="153" spans="1:13">
      <c r="A153" s="43" t="s">
        <v>23</v>
      </c>
      <c r="B153" s="77">
        <v>19783</v>
      </c>
      <c r="C153" s="43">
        <v>2.46</v>
      </c>
      <c r="D153" s="44">
        <f t="shared" si="9"/>
        <v>4856.04</v>
      </c>
      <c r="E153" s="75">
        <v>777</v>
      </c>
      <c r="F153" s="76">
        <f t="shared" si="10"/>
        <v>6.2497297297297294</v>
      </c>
      <c r="G153" s="76">
        <f t="shared" si="8"/>
        <v>156.58034042553192</v>
      </c>
      <c r="H153" s="77">
        <f t="shared" si="11"/>
        <v>978.58480864864862</v>
      </c>
      <c r="J153" s="66"/>
      <c r="K153" s="66"/>
      <c r="L153" s="66"/>
      <c r="M153" s="66"/>
    </row>
    <row r="154" spans="1:13">
      <c r="A154" s="43" t="s">
        <v>13</v>
      </c>
      <c r="B154" s="77">
        <v>15011.2</v>
      </c>
      <c r="C154" s="43">
        <v>0.82</v>
      </c>
      <c r="D154" s="44">
        <f t="shared" si="9"/>
        <v>1618.6799999999998</v>
      </c>
      <c r="E154" s="75">
        <v>777</v>
      </c>
      <c r="F154" s="76">
        <f t="shared" si="10"/>
        <v>2.0832432432432428</v>
      </c>
      <c r="G154" s="76">
        <f t="shared" si="8"/>
        <v>118.81205106382981</v>
      </c>
      <c r="H154" s="77">
        <f t="shared" si="11"/>
        <v>247.5144025945946</v>
      </c>
      <c r="J154" s="66"/>
      <c r="K154" s="66"/>
      <c r="L154" s="66"/>
      <c r="M154" s="66"/>
    </row>
    <row r="155" spans="1:13">
      <c r="A155" s="43" t="s">
        <v>14</v>
      </c>
      <c r="B155" s="77">
        <v>14667.2</v>
      </c>
      <c r="C155" s="43">
        <v>0.41</v>
      </c>
      <c r="D155" s="44">
        <f t="shared" si="9"/>
        <v>809.33999999999992</v>
      </c>
      <c r="E155" s="75">
        <v>777</v>
      </c>
      <c r="F155" s="76">
        <f t="shared" si="10"/>
        <v>1.0416216216216214</v>
      </c>
      <c r="G155" s="76">
        <f t="shared" si="8"/>
        <v>116.08932765957448</v>
      </c>
      <c r="H155" s="77">
        <f t="shared" si="11"/>
        <v>120.92115372972972</v>
      </c>
      <c r="J155" s="66"/>
      <c r="K155" s="66"/>
      <c r="L155" s="66"/>
      <c r="M155" s="66"/>
    </row>
    <row r="156" spans="1:13">
      <c r="A156" s="43" t="s">
        <v>15</v>
      </c>
      <c r="B156" s="77">
        <v>13371.9</v>
      </c>
      <c r="C156" s="43">
        <v>1.64</v>
      </c>
      <c r="D156" s="44">
        <f t="shared" si="9"/>
        <v>3237.3599999999997</v>
      </c>
      <c r="E156" s="75">
        <v>777</v>
      </c>
      <c r="F156" s="76">
        <f t="shared" si="10"/>
        <v>4.1664864864864857</v>
      </c>
      <c r="G156" s="76">
        <f t="shared" si="8"/>
        <v>105.83716595744681</v>
      </c>
      <c r="H156" s="77">
        <f t="shared" si="11"/>
        <v>440.96912172972969</v>
      </c>
      <c r="J156" s="66"/>
      <c r="K156" s="66"/>
      <c r="L156" s="66"/>
      <c r="M156" s="66"/>
    </row>
    <row r="157" spans="1:13">
      <c r="A157" s="43" t="s">
        <v>16</v>
      </c>
      <c r="B157" s="77">
        <v>17772.8</v>
      </c>
      <c r="C157" s="43">
        <v>0.82</v>
      </c>
      <c r="D157" s="44">
        <f t="shared" si="9"/>
        <v>1618.6799999999998</v>
      </c>
      <c r="E157" s="75">
        <v>777</v>
      </c>
      <c r="F157" s="76">
        <f t="shared" si="10"/>
        <v>2.0832432432432428</v>
      </c>
      <c r="G157" s="76">
        <f t="shared" si="8"/>
        <v>140.66982127659574</v>
      </c>
      <c r="H157" s="77">
        <f t="shared" si="11"/>
        <v>293.04945470270263</v>
      </c>
      <c r="J157" s="66"/>
      <c r="K157" s="66"/>
      <c r="L157" s="66"/>
      <c r="M157" s="66"/>
    </row>
    <row r="158" spans="1:13" ht="39.6">
      <c r="A158" s="43" t="s">
        <v>19</v>
      </c>
      <c r="B158" s="77">
        <v>9544</v>
      </c>
      <c r="C158" s="43">
        <v>0.82</v>
      </c>
      <c r="D158" s="44">
        <f t="shared" si="9"/>
        <v>1618.6799999999998</v>
      </c>
      <c r="E158" s="75">
        <v>777</v>
      </c>
      <c r="F158" s="76">
        <f t="shared" si="10"/>
        <v>2.0832432432432428</v>
      </c>
      <c r="G158" s="76">
        <f t="shared" si="8"/>
        <v>75.539744680851072</v>
      </c>
      <c r="H158" s="77">
        <f t="shared" si="11"/>
        <v>157.36766270270269</v>
      </c>
      <c r="J158" s="66"/>
      <c r="K158" s="66"/>
      <c r="L158" s="66"/>
      <c r="M158" s="66"/>
    </row>
    <row r="159" spans="1:13">
      <c r="A159" s="43" t="s">
        <v>20</v>
      </c>
      <c r="B159" s="77">
        <v>18000</v>
      </c>
      <c r="C159" s="43">
        <v>2.46</v>
      </c>
      <c r="D159" s="44">
        <f t="shared" si="9"/>
        <v>4856.04</v>
      </c>
      <c r="E159" s="75">
        <v>777</v>
      </c>
      <c r="F159" s="76">
        <f t="shared" si="10"/>
        <v>6.2497297297297294</v>
      </c>
      <c r="G159" s="76">
        <f t="shared" si="8"/>
        <v>142.46808510638297</v>
      </c>
      <c r="H159" s="77">
        <f t="shared" si="11"/>
        <v>890.38702702702699</v>
      </c>
      <c r="J159" s="66"/>
      <c r="K159" s="66"/>
      <c r="L159" s="66"/>
      <c r="M159" s="66"/>
    </row>
    <row r="160" spans="1:13">
      <c r="A160" s="43" t="s">
        <v>21</v>
      </c>
      <c r="B160" s="77">
        <v>9544</v>
      </c>
      <c r="C160" s="43">
        <v>0.82</v>
      </c>
      <c r="D160" s="44">
        <f t="shared" si="9"/>
        <v>1618.6799999999998</v>
      </c>
      <c r="E160" s="75">
        <v>777</v>
      </c>
      <c r="F160" s="76">
        <f t="shared" si="10"/>
        <v>2.0832432432432428</v>
      </c>
      <c r="G160" s="76">
        <f t="shared" si="8"/>
        <v>75.539744680851072</v>
      </c>
      <c r="H160" s="77">
        <f t="shared" si="11"/>
        <v>157.36766270270269</v>
      </c>
      <c r="J160" s="66"/>
      <c r="K160" s="66"/>
      <c r="L160" s="66"/>
      <c r="M160" s="66"/>
    </row>
    <row r="161" spans="1:13" ht="26.4">
      <c r="A161" s="43" t="s">
        <v>22</v>
      </c>
      <c r="B161" s="77">
        <v>9544</v>
      </c>
      <c r="C161" s="43">
        <v>0.82</v>
      </c>
      <c r="D161" s="44">
        <f t="shared" si="9"/>
        <v>1618.6799999999998</v>
      </c>
      <c r="E161" s="75">
        <v>777</v>
      </c>
      <c r="F161" s="76">
        <f t="shared" si="10"/>
        <v>2.0832432432432428</v>
      </c>
      <c r="G161" s="76">
        <f t="shared" si="8"/>
        <v>75.539744680851072</v>
      </c>
      <c r="H161" s="77">
        <f t="shared" si="11"/>
        <v>157.36766270270269</v>
      </c>
      <c r="J161" s="66"/>
      <c r="K161" s="66"/>
      <c r="L161" s="66"/>
      <c r="M161" s="66"/>
    </row>
    <row r="162" spans="1:13">
      <c r="A162" s="43" t="s">
        <v>24</v>
      </c>
      <c r="B162" s="77">
        <v>9544</v>
      </c>
      <c r="C162" s="43">
        <v>2.46</v>
      </c>
      <c r="D162" s="44">
        <f t="shared" si="9"/>
        <v>4856.04</v>
      </c>
      <c r="E162" s="75">
        <v>777</v>
      </c>
      <c r="F162" s="76">
        <f t="shared" si="10"/>
        <v>6.2497297297297294</v>
      </c>
      <c r="G162" s="76">
        <f t="shared" si="8"/>
        <v>75.539744680851072</v>
      </c>
      <c r="H162" s="77">
        <f t="shared" si="11"/>
        <v>472.10298810810815</v>
      </c>
      <c r="J162" s="66"/>
      <c r="K162" s="66"/>
      <c r="L162" s="66"/>
      <c r="M162" s="66"/>
    </row>
    <row r="163" spans="1:13">
      <c r="A163" s="43" t="s">
        <v>25</v>
      </c>
      <c r="B163" s="77">
        <v>9544</v>
      </c>
      <c r="C163" s="43">
        <v>0.82</v>
      </c>
      <c r="D163" s="44">
        <f t="shared" si="9"/>
        <v>1618.6799999999998</v>
      </c>
      <c r="E163" s="75">
        <v>777</v>
      </c>
      <c r="F163" s="76">
        <f t="shared" si="10"/>
        <v>2.0832432432432428</v>
      </c>
      <c r="G163" s="76">
        <f t="shared" si="8"/>
        <v>75.539744680851072</v>
      </c>
      <c r="H163" s="77">
        <f t="shared" si="11"/>
        <v>157.36766270270269</v>
      </c>
      <c r="J163" s="66"/>
      <c r="K163" s="66"/>
      <c r="L163" s="66"/>
      <c r="M163" s="66"/>
    </row>
    <row r="164" spans="1:13">
      <c r="A164" s="43" t="s">
        <v>26</v>
      </c>
      <c r="B164" s="77">
        <v>16840.72</v>
      </c>
      <c r="C164" s="43">
        <v>0.82</v>
      </c>
      <c r="D164" s="44">
        <f t="shared" si="9"/>
        <v>1618.6799999999998</v>
      </c>
      <c r="E164" s="75">
        <v>777</v>
      </c>
      <c r="F164" s="76">
        <f t="shared" si="10"/>
        <v>2.0832432432432428</v>
      </c>
      <c r="G164" s="76">
        <f t="shared" si="8"/>
        <v>133.29250723404257</v>
      </c>
      <c r="H164" s="77">
        <f t="shared" si="11"/>
        <v>277.68071507027025</v>
      </c>
      <c r="J164" s="66"/>
      <c r="K164" s="66"/>
      <c r="L164" s="66"/>
      <c r="M164" s="66"/>
    </row>
    <row r="165" spans="1:13" ht="39.6">
      <c r="A165" s="43" t="s">
        <v>27</v>
      </c>
      <c r="B165" s="77">
        <v>9544</v>
      </c>
      <c r="C165" s="43">
        <v>2.46</v>
      </c>
      <c r="D165" s="44">
        <f t="shared" si="9"/>
        <v>4856.04</v>
      </c>
      <c r="E165" s="75">
        <v>777</v>
      </c>
      <c r="F165" s="76">
        <f t="shared" si="10"/>
        <v>6.2497297297297294</v>
      </c>
      <c r="G165" s="76">
        <f t="shared" si="8"/>
        <v>75.539744680851072</v>
      </c>
      <c r="H165" s="77">
        <f t="shared" si="11"/>
        <v>472.10298810810815</v>
      </c>
      <c r="J165" s="66"/>
      <c r="K165" s="66"/>
      <c r="L165" s="66"/>
      <c r="M165" s="66"/>
    </row>
    <row r="166" spans="1:13">
      <c r="A166" s="43" t="s">
        <v>28</v>
      </c>
      <c r="B166" s="77">
        <v>9544</v>
      </c>
      <c r="C166" s="43">
        <v>5.74</v>
      </c>
      <c r="D166" s="44">
        <f t="shared" si="9"/>
        <v>11330.76</v>
      </c>
      <c r="E166" s="75">
        <v>777</v>
      </c>
      <c r="F166" s="76">
        <f t="shared" si="10"/>
        <v>14.582702702702703</v>
      </c>
      <c r="G166" s="76">
        <f t="shared" si="8"/>
        <v>75.539744680851072</v>
      </c>
      <c r="H166" s="77">
        <f t="shared" si="11"/>
        <v>1101.573638918919</v>
      </c>
      <c r="J166" s="66"/>
      <c r="K166" s="66"/>
      <c r="L166" s="66"/>
      <c r="M166" s="66"/>
    </row>
    <row r="167" spans="1:13" ht="26.4">
      <c r="A167" s="43" t="s">
        <v>29</v>
      </c>
      <c r="B167" s="77">
        <v>9544</v>
      </c>
      <c r="C167" s="43">
        <v>10.66</v>
      </c>
      <c r="D167" s="44">
        <f t="shared" si="9"/>
        <v>21042.84</v>
      </c>
      <c r="E167" s="75">
        <v>777</v>
      </c>
      <c r="F167" s="76">
        <f t="shared" si="10"/>
        <v>27.082162162162163</v>
      </c>
      <c r="G167" s="76">
        <f t="shared" si="8"/>
        <v>75.539744680851072</v>
      </c>
      <c r="H167" s="77">
        <f t="shared" si="11"/>
        <v>2045.7796151351354</v>
      </c>
      <c r="J167" s="66"/>
      <c r="K167" s="66"/>
      <c r="L167" s="66"/>
      <c r="M167" s="66"/>
    </row>
    <row r="168" spans="1:13">
      <c r="A168" s="43" t="s">
        <v>30</v>
      </c>
      <c r="B168" s="77">
        <v>9544</v>
      </c>
      <c r="C168" s="43">
        <v>1.64</v>
      </c>
      <c r="D168" s="44">
        <f t="shared" si="9"/>
        <v>3237.3599999999997</v>
      </c>
      <c r="E168" s="75">
        <v>777</v>
      </c>
      <c r="F168" s="76">
        <f t="shared" si="10"/>
        <v>4.1664864864864857</v>
      </c>
      <c r="G168" s="76">
        <f t="shared" si="8"/>
        <v>75.539744680851072</v>
      </c>
      <c r="H168" s="77">
        <f t="shared" si="11"/>
        <v>314.73532540540538</v>
      </c>
      <c r="J168" s="66"/>
      <c r="K168" s="66"/>
      <c r="L168" s="66"/>
      <c r="M168" s="66"/>
    </row>
    <row r="169" spans="1:13">
      <c r="A169" s="43" t="s">
        <v>31</v>
      </c>
      <c r="B169" s="77">
        <v>16401.2</v>
      </c>
      <c r="C169" s="43">
        <v>0.82</v>
      </c>
      <c r="D169" s="44">
        <f t="shared" si="9"/>
        <v>1618.6799999999998</v>
      </c>
      <c r="E169" s="75">
        <v>777</v>
      </c>
      <c r="F169" s="76">
        <f t="shared" si="10"/>
        <v>2.0832432432432428</v>
      </c>
      <c r="G169" s="76">
        <f t="shared" si="8"/>
        <v>129.81375319148938</v>
      </c>
      <c r="H169" s="77">
        <f t="shared" si="11"/>
        <v>270.43362421621623</v>
      </c>
      <c r="J169" s="66"/>
      <c r="K169" s="66"/>
      <c r="L169" s="66"/>
      <c r="M169" s="66"/>
    </row>
    <row r="170" spans="1:13">
      <c r="A170" s="43" t="s">
        <v>32</v>
      </c>
      <c r="B170" s="77">
        <v>10602.54</v>
      </c>
      <c r="C170" s="43">
        <v>9.84</v>
      </c>
      <c r="D170" s="44">
        <f t="shared" si="9"/>
        <v>19424.16</v>
      </c>
      <c r="E170" s="75">
        <v>777</v>
      </c>
      <c r="F170" s="76">
        <f t="shared" si="10"/>
        <v>24.998918918918918</v>
      </c>
      <c r="G170" s="76">
        <f t="shared" si="8"/>
        <v>83.917976170212768</v>
      </c>
      <c r="H170" s="77">
        <v>2097.87</v>
      </c>
      <c r="J170" s="66"/>
      <c r="K170" s="66"/>
      <c r="L170" s="66"/>
      <c r="M170" s="66"/>
    </row>
    <row r="171" spans="1:13">
      <c r="A171" s="43" t="s">
        <v>33</v>
      </c>
      <c r="B171" s="77">
        <v>9544</v>
      </c>
      <c r="C171" s="43">
        <v>0.82</v>
      </c>
      <c r="D171" s="44">
        <f t="shared" si="9"/>
        <v>1618.6799999999998</v>
      </c>
      <c r="E171" s="75">
        <v>777</v>
      </c>
      <c r="F171" s="76">
        <f t="shared" si="10"/>
        <v>2.0832432432432428</v>
      </c>
      <c r="G171" s="76">
        <f t="shared" si="8"/>
        <v>75.539744680851072</v>
      </c>
      <c r="H171" s="77">
        <f t="shared" si="11"/>
        <v>157.36766270270269</v>
      </c>
      <c r="J171" s="66"/>
      <c r="K171" s="66"/>
      <c r="L171" s="66"/>
      <c r="M171" s="66"/>
    </row>
    <row r="172" spans="1:13">
      <c r="A172" s="43" t="s">
        <v>34</v>
      </c>
      <c r="B172" s="77">
        <v>9544</v>
      </c>
      <c r="C172" s="43">
        <v>0.82</v>
      </c>
      <c r="D172" s="44">
        <f t="shared" si="9"/>
        <v>1618.6799999999998</v>
      </c>
      <c r="E172" s="75">
        <v>777</v>
      </c>
      <c r="F172" s="76">
        <f t="shared" si="10"/>
        <v>2.0832432432432428</v>
      </c>
      <c r="G172" s="76">
        <f t="shared" si="8"/>
        <v>75.539744680851072</v>
      </c>
      <c r="H172" s="77">
        <f t="shared" si="11"/>
        <v>157.36766270270269</v>
      </c>
      <c r="J172" s="66"/>
      <c r="K172" s="66"/>
      <c r="L172" s="66"/>
      <c r="M172" s="66"/>
    </row>
    <row r="173" spans="1:13">
      <c r="A173" s="43" t="s">
        <v>35</v>
      </c>
      <c r="B173" s="77">
        <v>9544</v>
      </c>
      <c r="C173" s="43">
        <v>0.82</v>
      </c>
      <c r="D173" s="44">
        <f t="shared" si="9"/>
        <v>1618.6799999999998</v>
      </c>
      <c r="E173" s="75">
        <v>777</v>
      </c>
      <c r="F173" s="76">
        <f t="shared" si="10"/>
        <v>2.0832432432432428</v>
      </c>
      <c r="G173" s="76">
        <f t="shared" si="8"/>
        <v>75.539744680851072</v>
      </c>
      <c r="H173" s="77">
        <f t="shared" si="11"/>
        <v>157.36766270270269</v>
      </c>
      <c r="J173" s="66"/>
      <c r="K173" s="66"/>
      <c r="L173" s="66"/>
      <c r="M173" s="66"/>
    </row>
    <row r="174" spans="1:13">
      <c r="A174" s="44" t="s">
        <v>36</v>
      </c>
      <c r="B174" s="77">
        <v>9544</v>
      </c>
      <c r="C174" s="44">
        <v>2.46</v>
      </c>
      <c r="D174" s="44">
        <f t="shared" si="9"/>
        <v>4856.04</v>
      </c>
      <c r="E174" s="75">
        <v>777</v>
      </c>
      <c r="F174" s="76">
        <f t="shared" si="10"/>
        <v>6.2497297297297294</v>
      </c>
      <c r="G174" s="76">
        <f t="shared" si="8"/>
        <v>75.539744680851072</v>
      </c>
      <c r="H174" s="77">
        <f t="shared" si="11"/>
        <v>472.10298810810815</v>
      </c>
      <c r="J174" s="66"/>
      <c r="K174" s="66"/>
      <c r="L174" s="66"/>
      <c r="M174" s="66"/>
    </row>
    <row r="175" spans="1:13" ht="26.4">
      <c r="A175" s="43" t="s">
        <v>37</v>
      </c>
      <c r="B175" s="77">
        <v>9544</v>
      </c>
      <c r="C175" s="44">
        <v>0.82</v>
      </c>
      <c r="D175" s="44">
        <f t="shared" si="9"/>
        <v>1618.6799999999998</v>
      </c>
      <c r="E175" s="75">
        <v>777</v>
      </c>
      <c r="F175" s="76">
        <f t="shared" si="10"/>
        <v>2.0832432432432428</v>
      </c>
      <c r="G175" s="76">
        <f t="shared" si="8"/>
        <v>75.539744680851072</v>
      </c>
      <c r="H175" s="77">
        <f t="shared" si="11"/>
        <v>157.36766270270269</v>
      </c>
      <c r="J175" s="66"/>
      <c r="K175" s="66"/>
      <c r="L175" s="66"/>
      <c r="M175" s="66"/>
    </row>
    <row r="176" spans="1:13">
      <c r="A176" s="44"/>
      <c r="B176" s="44"/>
      <c r="C176" s="44"/>
      <c r="D176" s="43"/>
      <c r="E176" s="117" t="s">
        <v>146</v>
      </c>
      <c r="F176" s="117"/>
      <c r="G176" s="117"/>
      <c r="H176" s="77">
        <f>H142</f>
        <v>16605.347389232433</v>
      </c>
      <c r="J176" s="66"/>
      <c r="K176" s="66"/>
      <c r="L176" s="66"/>
      <c r="M176" s="66"/>
    </row>
    <row r="177" spans="1:13">
      <c r="A177" s="66"/>
      <c r="B177" s="66"/>
      <c r="C177" s="66"/>
      <c r="D177" s="84"/>
      <c r="E177" s="86"/>
      <c r="F177" s="86"/>
      <c r="G177" s="86"/>
      <c r="H177" s="81"/>
      <c r="J177" s="66"/>
      <c r="K177" s="66"/>
      <c r="L177" s="66"/>
      <c r="M177" s="66"/>
    </row>
    <row r="178" spans="1:13">
      <c r="A178" s="71" t="s">
        <v>56</v>
      </c>
      <c r="J178" s="66"/>
      <c r="K178" s="66"/>
      <c r="L178" s="66"/>
      <c r="M178" s="66"/>
    </row>
    <row r="179" spans="1:13">
      <c r="J179" s="66"/>
      <c r="K179" s="66"/>
      <c r="L179" s="66"/>
      <c r="M179" s="66"/>
    </row>
    <row r="180" spans="1:13" ht="66.75" customHeight="1">
      <c r="A180" s="73" t="s">
        <v>57</v>
      </c>
      <c r="B180" s="73" t="s">
        <v>58</v>
      </c>
      <c r="C180" s="73" t="s">
        <v>59</v>
      </c>
      <c r="D180" s="73" t="s">
        <v>60</v>
      </c>
      <c r="E180" s="73" t="s">
        <v>61</v>
      </c>
      <c r="F180" s="87" t="s">
        <v>63</v>
      </c>
      <c r="G180" s="74" t="s">
        <v>64</v>
      </c>
      <c r="H180" s="74" t="s">
        <v>54</v>
      </c>
    </row>
    <row r="181" spans="1:13">
      <c r="A181" s="78">
        <v>1</v>
      </c>
      <c r="B181" s="78">
        <v>2</v>
      </c>
      <c r="C181" s="78">
        <v>3</v>
      </c>
      <c r="D181" s="78">
        <v>4</v>
      </c>
      <c r="E181" s="78" t="s">
        <v>62</v>
      </c>
      <c r="F181" s="88">
        <v>6</v>
      </c>
      <c r="G181" s="89">
        <f>7</f>
        <v>7</v>
      </c>
      <c r="H181" s="90" t="s">
        <v>195</v>
      </c>
    </row>
    <row r="182" spans="1:13" ht="15" customHeight="1">
      <c r="A182" s="110" t="s">
        <v>53</v>
      </c>
      <c r="B182" s="111"/>
      <c r="C182" s="111"/>
      <c r="D182" s="111"/>
      <c r="E182" s="111"/>
      <c r="F182" s="111"/>
      <c r="G182" s="111"/>
      <c r="H182" s="112"/>
    </row>
    <row r="183" spans="1:13">
      <c r="A183" s="44"/>
      <c r="B183" s="44"/>
      <c r="C183" s="44">
        <v>0</v>
      </c>
      <c r="D183" s="44">
        <v>166</v>
      </c>
      <c r="E183" s="44">
        <f>C183/D183</f>
        <v>0</v>
      </c>
      <c r="F183" s="91">
        <v>0</v>
      </c>
      <c r="G183" s="44">
        <v>0</v>
      </c>
      <c r="H183" s="44"/>
    </row>
    <row r="184" spans="1:13" ht="15" customHeight="1">
      <c r="A184" s="44"/>
      <c r="B184" s="44"/>
      <c r="C184" s="44"/>
      <c r="D184" s="44"/>
      <c r="E184" s="114" t="s">
        <v>66</v>
      </c>
      <c r="F184" s="115"/>
      <c r="G184" s="115"/>
      <c r="H184" s="116"/>
    </row>
    <row r="185" spans="1:13">
      <c r="A185" s="113" t="s">
        <v>151</v>
      </c>
      <c r="B185" s="113"/>
      <c r="C185" s="113"/>
      <c r="D185" s="113"/>
      <c r="E185" s="113"/>
      <c r="F185" s="113"/>
      <c r="G185" s="113"/>
      <c r="H185" s="113"/>
    </row>
    <row r="186" spans="1:13">
      <c r="A186" s="44"/>
      <c r="B186" s="44"/>
      <c r="C186" s="44">
        <v>0</v>
      </c>
      <c r="D186" s="44">
        <v>777</v>
      </c>
      <c r="E186" s="44">
        <f>C186/D186</f>
        <v>0</v>
      </c>
      <c r="F186" s="91">
        <v>0</v>
      </c>
      <c r="G186" s="44"/>
      <c r="H186" s="44"/>
    </row>
    <row r="187" spans="1:13" ht="15" customHeight="1">
      <c r="A187" s="44"/>
      <c r="B187" s="44"/>
      <c r="C187" s="44"/>
      <c r="D187" s="44"/>
      <c r="E187" s="114" t="s">
        <v>66</v>
      </c>
      <c r="F187" s="115"/>
      <c r="G187" s="115"/>
      <c r="H187" s="116"/>
    </row>
    <row r="188" spans="1:13">
      <c r="A188" s="92"/>
      <c r="B188" s="92"/>
      <c r="C188" s="92"/>
      <c r="D188" s="92"/>
      <c r="E188" s="92"/>
      <c r="F188" s="92"/>
      <c r="G188" s="92"/>
      <c r="H188" s="92"/>
    </row>
    <row r="189" spans="1:13">
      <c r="A189" s="71" t="s">
        <v>90</v>
      </c>
      <c r="F189" s="66"/>
    </row>
    <row r="190" spans="1:13">
      <c r="F190" s="66"/>
    </row>
    <row r="191" spans="1:13" ht="60" customHeight="1">
      <c r="A191" s="89" t="s">
        <v>102</v>
      </c>
      <c r="B191" s="89" t="s">
        <v>196</v>
      </c>
      <c r="C191" s="89" t="s">
        <v>69</v>
      </c>
      <c r="D191" s="74" t="s">
        <v>149</v>
      </c>
      <c r="E191" s="74" t="s">
        <v>150</v>
      </c>
      <c r="F191" s="74" t="s">
        <v>197</v>
      </c>
      <c r="G191" s="74" t="s">
        <v>71</v>
      </c>
      <c r="H191" s="74" t="s">
        <v>160</v>
      </c>
      <c r="I191" s="43" t="s">
        <v>54</v>
      </c>
    </row>
    <row r="192" spans="1:13">
      <c r="A192" s="89">
        <v>1</v>
      </c>
      <c r="B192" s="89">
        <v>2</v>
      </c>
      <c r="C192" s="89">
        <v>3</v>
      </c>
      <c r="D192" s="89">
        <v>4</v>
      </c>
      <c r="E192" s="89">
        <v>5</v>
      </c>
      <c r="F192" s="89" t="s">
        <v>198</v>
      </c>
      <c r="G192" s="89">
        <v>7</v>
      </c>
      <c r="H192" s="89">
        <v>8</v>
      </c>
      <c r="I192" s="89" t="s">
        <v>199</v>
      </c>
    </row>
    <row r="193" spans="1:9">
      <c r="A193" s="110" t="s">
        <v>53</v>
      </c>
      <c r="B193" s="111"/>
      <c r="C193" s="111"/>
      <c r="D193" s="111"/>
      <c r="E193" s="111"/>
      <c r="F193" s="111"/>
      <c r="G193" s="111"/>
      <c r="H193" s="112"/>
      <c r="I193" s="89"/>
    </row>
    <row r="194" spans="1:9">
      <c r="A194" s="44" t="s">
        <v>98</v>
      </c>
      <c r="B194" s="43" t="s">
        <v>99</v>
      </c>
      <c r="C194" s="44">
        <v>1.08</v>
      </c>
      <c r="D194" s="76">
        <v>165.98</v>
      </c>
      <c r="E194" s="44">
        <v>0.99990000000000001</v>
      </c>
      <c r="F194" s="93">
        <f>C194/D194*E194</f>
        <v>6.5061573683576337E-3</v>
      </c>
      <c r="G194" s="44">
        <v>694.44</v>
      </c>
      <c r="H194" s="44">
        <v>12</v>
      </c>
      <c r="I194" s="77">
        <f>F194*G194*H194</f>
        <v>54.217631074587302</v>
      </c>
    </row>
    <row r="195" spans="1:9">
      <c r="A195" s="44" t="s">
        <v>104</v>
      </c>
      <c r="B195" s="43"/>
      <c r="C195" s="44"/>
      <c r="D195" s="76"/>
      <c r="E195" s="44"/>
      <c r="F195" s="44"/>
      <c r="G195" s="44" t="s">
        <v>200</v>
      </c>
      <c r="H195" s="44"/>
      <c r="I195" s="77">
        <f>I194</f>
        <v>54.217631074587302</v>
      </c>
    </row>
    <row r="196" spans="1:9">
      <c r="A196" s="113" t="s">
        <v>151</v>
      </c>
      <c r="B196" s="113"/>
      <c r="C196" s="113"/>
      <c r="D196" s="113"/>
      <c r="E196" s="113"/>
      <c r="F196" s="113"/>
      <c r="G196" s="113"/>
      <c r="H196" s="113"/>
      <c r="I196" s="44"/>
    </row>
    <row r="197" spans="1:9">
      <c r="A197" s="44" t="s">
        <v>98</v>
      </c>
      <c r="B197" s="43" t="s">
        <v>99</v>
      </c>
      <c r="C197" s="44">
        <v>4.92</v>
      </c>
      <c r="D197" s="76">
        <v>776.56799999999998</v>
      </c>
      <c r="E197" s="44">
        <v>0.99939999999999996</v>
      </c>
      <c r="F197" s="93">
        <f>C197/D197*E197</f>
        <v>6.3317674691720487E-3</v>
      </c>
      <c r="G197" s="44">
        <v>694.44</v>
      </c>
      <c r="H197" s="44">
        <v>12</v>
      </c>
      <c r="I197" s="77">
        <v>52.77</v>
      </c>
    </row>
    <row r="198" spans="1:9">
      <c r="A198" s="44" t="s">
        <v>104</v>
      </c>
      <c r="B198" s="43"/>
      <c r="C198" s="44"/>
      <c r="D198" s="76"/>
      <c r="E198" s="44"/>
      <c r="F198" s="44"/>
      <c r="G198" s="44"/>
      <c r="H198" s="44"/>
      <c r="I198" s="77">
        <f>I197</f>
        <v>52.77</v>
      </c>
    </row>
    <row r="199" spans="1:9">
      <c r="F199" s="66"/>
    </row>
    <row r="200" spans="1:9">
      <c r="A200" s="71" t="s">
        <v>100</v>
      </c>
      <c r="F200" s="66"/>
    </row>
    <row r="202" spans="1:9">
      <c r="A202" s="44" t="s">
        <v>102</v>
      </c>
      <c r="B202" s="44" t="s">
        <v>96</v>
      </c>
      <c r="C202" s="44" t="s">
        <v>69</v>
      </c>
      <c r="D202" s="44" t="s">
        <v>161</v>
      </c>
      <c r="E202" s="44" t="s">
        <v>97</v>
      </c>
    </row>
    <row r="203" spans="1:9">
      <c r="A203" s="89">
        <v>1</v>
      </c>
      <c r="B203" s="89">
        <v>2</v>
      </c>
      <c r="C203" s="89">
        <v>3</v>
      </c>
      <c r="D203" s="89">
        <v>4</v>
      </c>
      <c r="E203" s="89">
        <v>4</v>
      </c>
    </row>
    <row r="204" spans="1:9" ht="26.4">
      <c r="A204" s="44" t="s">
        <v>101</v>
      </c>
      <c r="B204" s="43" t="s">
        <v>163</v>
      </c>
      <c r="C204" s="44">
        <v>15</v>
      </c>
      <c r="D204" s="76">
        <v>10056</v>
      </c>
      <c r="E204" s="76">
        <v>100560</v>
      </c>
    </row>
    <row r="205" spans="1:9">
      <c r="A205" s="44" t="s">
        <v>104</v>
      </c>
      <c r="B205" s="43"/>
      <c r="C205" s="44"/>
      <c r="D205" s="76"/>
      <c r="E205" s="76">
        <v>100560</v>
      </c>
    </row>
    <row r="207" spans="1:9">
      <c r="E207" s="66"/>
      <c r="F207" s="66"/>
    </row>
    <row r="208" spans="1:9">
      <c r="A208" s="71" t="s">
        <v>105</v>
      </c>
    </row>
    <row r="210" spans="1:5">
      <c r="A210" s="44" t="s">
        <v>102</v>
      </c>
      <c r="B210" s="44" t="s">
        <v>96</v>
      </c>
      <c r="C210" s="44" t="s">
        <v>69</v>
      </c>
      <c r="D210" s="44" t="s">
        <v>164</v>
      </c>
      <c r="E210" s="44" t="s">
        <v>97</v>
      </c>
    </row>
    <row r="211" spans="1:5">
      <c r="A211" s="89">
        <v>1</v>
      </c>
      <c r="B211" s="89">
        <v>2</v>
      </c>
      <c r="C211" s="89">
        <v>3</v>
      </c>
      <c r="D211" s="89">
        <v>4</v>
      </c>
      <c r="E211" s="89">
        <v>4</v>
      </c>
    </row>
    <row r="212" spans="1:5" ht="26.4">
      <c r="A212" s="44" t="s">
        <v>106</v>
      </c>
      <c r="B212" s="43" t="s">
        <v>162</v>
      </c>
      <c r="C212" s="44">
        <v>120</v>
      </c>
      <c r="D212" s="76">
        <v>1941.67</v>
      </c>
      <c r="E212" s="76">
        <v>233000</v>
      </c>
    </row>
    <row r="213" spans="1:5">
      <c r="A213" s="44" t="s">
        <v>104</v>
      </c>
      <c r="B213" s="43"/>
      <c r="C213" s="44"/>
      <c r="D213" s="76"/>
      <c r="E213" s="76">
        <v>233000</v>
      </c>
    </row>
    <row r="215" spans="1:5">
      <c r="A215" s="71" t="s">
        <v>107</v>
      </c>
    </row>
    <row r="216" spans="1:5">
      <c r="A216" s="71"/>
    </row>
    <row r="217" spans="1:5">
      <c r="A217" s="44" t="s">
        <v>102</v>
      </c>
      <c r="B217" s="44" t="s">
        <v>96</v>
      </c>
      <c r="C217" s="44" t="s">
        <v>69</v>
      </c>
      <c r="D217" s="44" t="s">
        <v>164</v>
      </c>
      <c r="E217" s="44" t="s">
        <v>97</v>
      </c>
    </row>
    <row r="218" spans="1:5">
      <c r="A218" s="89">
        <v>1</v>
      </c>
      <c r="B218" s="89">
        <v>2</v>
      </c>
      <c r="C218" s="89">
        <v>3</v>
      </c>
      <c r="D218" s="89">
        <v>4</v>
      </c>
      <c r="E218" s="89">
        <v>4</v>
      </c>
    </row>
    <row r="219" spans="1:5" ht="26.4">
      <c r="A219" s="44" t="s">
        <v>108</v>
      </c>
      <c r="B219" s="43" t="s">
        <v>162</v>
      </c>
      <c r="C219" s="44">
        <v>120</v>
      </c>
      <c r="D219" s="76">
        <v>1387</v>
      </c>
      <c r="E219" s="76">
        <v>166440</v>
      </c>
    </row>
    <row r="220" spans="1:5">
      <c r="A220" s="44" t="s">
        <v>104</v>
      </c>
      <c r="B220" s="43"/>
      <c r="C220" s="44"/>
      <c r="D220" s="76"/>
      <c r="E220" s="76">
        <v>166440</v>
      </c>
    </row>
    <row r="223" spans="1:5">
      <c r="A223" s="33" t="s">
        <v>109</v>
      </c>
      <c r="C223" s="33" t="s">
        <v>110</v>
      </c>
    </row>
  </sheetData>
  <mergeCells count="25">
    <mergeCell ref="A88:H88"/>
    <mergeCell ref="A94:H94"/>
    <mergeCell ref="E93:G93"/>
    <mergeCell ref="E99:G99"/>
    <mergeCell ref="A61:H61"/>
    <mergeCell ref="A65:H65"/>
    <mergeCell ref="E67:G67"/>
    <mergeCell ref="A73:H73"/>
    <mergeCell ref="A76:H76"/>
    <mergeCell ref="A54:I54"/>
    <mergeCell ref="A1:I1"/>
    <mergeCell ref="A193:H193"/>
    <mergeCell ref="A196:H196"/>
    <mergeCell ref="E187:H187"/>
    <mergeCell ref="E184:H184"/>
    <mergeCell ref="E75:G75"/>
    <mergeCell ref="E78:G78"/>
    <mergeCell ref="A182:H182"/>
    <mergeCell ref="A185:H185"/>
    <mergeCell ref="E176:G176"/>
    <mergeCell ref="A105:H105"/>
    <mergeCell ref="A141:H141"/>
    <mergeCell ref="A140:G140"/>
    <mergeCell ref="E64:G64"/>
    <mergeCell ref="A83:H83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I20"/>
  <sheetViews>
    <sheetView workbookViewId="0">
      <selection activeCell="B19" sqref="B19"/>
    </sheetView>
  </sheetViews>
  <sheetFormatPr defaultColWidth="9.109375" defaultRowHeight="13.8"/>
  <cols>
    <col min="1" max="1" width="26.33203125" style="1" customWidth="1"/>
    <col min="2" max="2" width="23.109375" style="1" customWidth="1"/>
    <col min="3" max="3" width="17.109375" style="1" customWidth="1"/>
    <col min="4" max="4" width="16" style="1" customWidth="1"/>
    <col min="5" max="5" width="13.6640625" style="1" customWidth="1"/>
    <col min="6" max="6" width="9.109375" style="1"/>
    <col min="7" max="7" width="15.88671875" style="1" customWidth="1"/>
    <col min="8" max="16384" width="9.109375" style="1"/>
  </cols>
  <sheetData>
    <row r="1" spans="1:7">
      <c r="E1" s="1" t="s">
        <v>173</v>
      </c>
    </row>
    <row r="2" spans="1:7">
      <c r="E2" s="1" t="s">
        <v>174</v>
      </c>
    </row>
    <row r="4" spans="1:7">
      <c r="D4" s="1" t="s">
        <v>175</v>
      </c>
    </row>
    <row r="5" spans="1:7">
      <c r="B5" s="1" t="s">
        <v>176</v>
      </c>
    </row>
    <row r="6" spans="1:7">
      <c r="B6" s="1" t="s">
        <v>177</v>
      </c>
    </row>
    <row r="8" spans="1:7" ht="65.25" customHeight="1">
      <c r="A8" s="3" t="s">
        <v>178</v>
      </c>
      <c r="B8" s="3" t="s">
        <v>179</v>
      </c>
      <c r="C8" s="3" t="s">
        <v>180</v>
      </c>
      <c r="D8" s="3" t="s">
        <v>181</v>
      </c>
      <c r="E8" s="3" t="s">
        <v>182</v>
      </c>
    </row>
    <row r="9" spans="1:7">
      <c r="A9" s="7">
        <v>1</v>
      </c>
      <c r="B9" s="7">
        <v>2</v>
      </c>
      <c r="C9" s="7">
        <v>3</v>
      </c>
      <c r="D9" s="7">
        <v>4</v>
      </c>
      <c r="E9" s="7">
        <v>5</v>
      </c>
    </row>
    <row r="10" spans="1:7" ht="80.25" customHeight="1">
      <c r="A10" s="3" t="s">
        <v>171</v>
      </c>
      <c r="B10" s="69" t="s">
        <v>183</v>
      </c>
      <c r="C10" s="119" t="s">
        <v>185</v>
      </c>
      <c r="D10" s="120"/>
      <c r="E10" s="121"/>
      <c r="G10" s="19"/>
    </row>
    <row r="11" spans="1:7" ht="32.25" customHeight="1">
      <c r="A11" s="3"/>
      <c r="B11" s="69"/>
      <c r="C11" s="119" t="s">
        <v>186</v>
      </c>
      <c r="D11" s="120"/>
      <c r="E11" s="121"/>
      <c r="G11" s="19"/>
    </row>
    <row r="12" spans="1:7" ht="31.5" customHeight="1">
      <c r="A12" s="3"/>
      <c r="B12" s="69"/>
      <c r="C12" s="7" t="s">
        <v>187</v>
      </c>
      <c r="D12" s="7" t="s">
        <v>201</v>
      </c>
      <c r="E12" s="7">
        <v>515.20000000000005</v>
      </c>
      <c r="G12" s="19"/>
    </row>
    <row r="13" spans="1:7" ht="31.5" customHeight="1">
      <c r="A13" s="3"/>
      <c r="B13" s="69"/>
      <c r="C13" s="7"/>
      <c r="D13" s="7"/>
      <c r="E13" s="7"/>
      <c r="G13" s="19"/>
    </row>
    <row r="14" spans="1:7" ht="31.5" customHeight="1">
      <c r="A14" s="3"/>
      <c r="B14" s="69"/>
      <c r="C14" s="119" t="s">
        <v>188</v>
      </c>
      <c r="D14" s="120"/>
      <c r="E14" s="121"/>
      <c r="G14" s="19"/>
    </row>
    <row r="15" spans="1:7" ht="31.5" customHeight="1">
      <c r="A15" s="3"/>
      <c r="B15" s="69"/>
      <c r="C15" s="122" t="s">
        <v>189</v>
      </c>
      <c r="D15" s="123"/>
      <c r="E15" s="124"/>
      <c r="G15" s="19"/>
    </row>
    <row r="16" spans="1:7" ht="31.5" customHeight="1">
      <c r="A16" s="3"/>
      <c r="B16" s="69"/>
      <c r="C16" s="7" t="s">
        <v>73</v>
      </c>
      <c r="D16" s="7" t="s">
        <v>192</v>
      </c>
      <c r="E16" s="7">
        <v>54900</v>
      </c>
      <c r="G16" s="19"/>
    </row>
    <row r="17" spans="1:9" ht="31.5" customHeight="1">
      <c r="A17" s="3"/>
      <c r="B17" s="69"/>
      <c r="C17" s="7" t="s">
        <v>74</v>
      </c>
      <c r="D17" s="7" t="s">
        <v>190</v>
      </c>
      <c r="E17" s="7">
        <v>297.36</v>
      </c>
      <c r="G17" s="19"/>
      <c r="I17" s="70"/>
    </row>
    <row r="18" spans="1:9" ht="31.5" customHeight="1">
      <c r="A18" s="3"/>
      <c r="B18" s="69"/>
      <c r="C18" s="6" t="s">
        <v>191</v>
      </c>
      <c r="D18" s="7" t="s">
        <v>79</v>
      </c>
      <c r="E18" s="7">
        <v>521.82000000000005</v>
      </c>
      <c r="G18" s="19"/>
    </row>
    <row r="19" spans="1:9" ht="31.5" customHeight="1">
      <c r="A19" s="3"/>
      <c r="B19" s="69"/>
      <c r="C19" s="6" t="s">
        <v>76</v>
      </c>
      <c r="D19" s="7" t="s">
        <v>79</v>
      </c>
      <c r="E19" s="7">
        <v>567</v>
      </c>
      <c r="G19" s="19"/>
    </row>
    <row r="20" spans="1:9" ht="55.2">
      <c r="A20" s="3" t="s">
        <v>172</v>
      </c>
      <c r="B20" s="69" t="s">
        <v>184</v>
      </c>
      <c r="C20" s="4"/>
      <c r="D20" s="4"/>
      <c r="E20" s="4"/>
    </row>
  </sheetData>
  <mergeCells count="4">
    <mergeCell ref="C10:E10"/>
    <mergeCell ref="C11:E11"/>
    <mergeCell ref="C14:E14"/>
    <mergeCell ref="C15:E15"/>
  </mergeCells>
  <pageMargins left="0.7" right="0.7" top="0.75" bottom="0.75" header="0.3" footer="0.3"/>
  <pageSetup paperSize="9" orientation="portrait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H127"/>
  <sheetViews>
    <sheetView topLeftCell="A129" workbookViewId="0">
      <selection activeCell="A110" sqref="A110"/>
    </sheetView>
  </sheetViews>
  <sheetFormatPr defaultColWidth="9.109375" defaultRowHeight="13.8"/>
  <cols>
    <col min="1" max="1" width="24.88671875" style="1" customWidth="1"/>
    <col min="2" max="2" width="12.109375" style="1" customWidth="1"/>
    <col min="3" max="3" width="29.33203125" style="1" customWidth="1"/>
    <col min="4" max="4" width="15.5546875" style="1" customWidth="1"/>
    <col min="5" max="5" width="16" style="1" customWidth="1"/>
    <col min="6" max="6" width="12.5546875" style="1" customWidth="1"/>
    <col min="7" max="7" width="11.33203125" style="1" customWidth="1"/>
    <col min="8" max="8" width="9.109375" style="1" customWidth="1"/>
    <col min="9" max="16384" width="9.109375" style="1"/>
  </cols>
  <sheetData>
    <row r="1" spans="1:8" ht="15.6">
      <c r="A1" s="125" t="s">
        <v>38</v>
      </c>
      <c r="B1" s="125"/>
      <c r="C1" s="125"/>
      <c r="D1" s="125"/>
      <c r="E1" s="125"/>
      <c r="F1" s="125"/>
      <c r="G1" s="125"/>
      <c r="H1" s="125"/>
    </row>
    <row r="3" spans="1:8">
      <c r="A3" s="1" t="s">
        <v>43</v>
      </c>
    </row>
    <row r="4" spans="1:8">
      <c r="A4" s="1" t="s">
        <v>39</v>
      </c>
    </row>
    <row r="5" spans="1:8">
      <c r="A5" s="1" t="s">
        <v>40</v>
      </c>
    </row>
    <row r="6" spans="1:8">
      <c r="A6" s="1" t="s">
        <v>41</v>
      </c>
    </row>
    <row r="7" spans="1:8">
      <c r="A7" s="1" t="s">
        <v>42</v>
      </c>
    </row>
    <row r="8" spans="1:8">
      <c r="A8" s="1" t="s">
        <v>44</v>
      </c>
    </row>
    <row r="9" spans="1:8">
      <c r="A9" s="1" t="s">
        <v>46</v>
      </c>
    </row>
    <row r="10" spans="1:8">
      <c r="A10" s="1" t="s">
        <v>45</v>
      </c>
    </row>
    <row r="13" spans="1:8">
      <c r="A13" s="1" t="s">
        <v>0</v>
      </c>
    </row>
    <row r="15" spans="1:8" ht="63" customHeight="1">
      <c r="A15" s="3" t="s">
        <v>1</v>
      </c>
      <c r="B15" s="3" t="s">
        <v>2</v>
      </c>
      <c r="C15" s="3" t="s">
        <v>3</v>
      </c>
      <c r="D15" s="3" t="s">
        <v>2</v>
      </c>
      <c r="E15" s="2"/>
      <c r="F15" s="2"/>
      <c r="G15" s="2"/>
    </row>
    <row r="16" spans="1:8">
      <c r="A16" s="3" t="s">
        <v>17</v>
      </c>
      <c r="B16" s="3">
        <v>24.28</v>
      </c>
      <c r="C16" s="3" t="s">
        <v>4</v>
      </c>
      <c r="D16" s="3">
        <v>1</v>
      </c>
      <c r="E16" s="2"/>
      <c r="F16" s="2"/>
      <c r="G16" s="2"/>
    </row>
    <row r="17" spans="1:7" ht="58.5" customHeight="1">
      <c r="A17" s="3" t="s">
        <v>18</v>
      </c>
      <c r="B17" s="3">
        <v>1.1200000000000001</v>
      </c>
      <c r="C17" s="3" t="s">
        <v>5</v>
      </c>
      <c r="D17" s="3">
        <v>1</v>
      </c>
      <c r="E17" s="2"/>
      <c r="F17" s="2"/>
      <c r="G17" s="2"/>
    </row>
    <row r="18" spans="1:7" ht="41.4">
      <c r="A18" s="3"/>
      <c r="B18" s="3"/>
      <c r="C18" s="3" t="s">
        <v>6</v>
      </c>
      <c r="D18" s="3">
        <v>1</v>
      </c>
      <c r="E18" s="2"/>
      <c r="F18" s="2"/>
      <c r="G18" s="2"/>
    </row>
    <row r="19" spans="1:7" ht="27.6">
      <c r="A19" s="3"/>
      <c r="B19" s="3"/>
      <c r="C19" s="3" t="s">
        <v>7</v>
      </c>
      <c r="D19" s="3">
        <v>3</v>
      </c>
      <c r="E19" s="2"/>
      <c r="F19" s="2"/>
      <c r="G19" s="2"/>
    </row>
    <row r="20" spans="1:7">
      <c r="A20" s="3"/>
      <c r="B20" s="3"/>
      <c r="C20" s="3" t="s">
        <v>8</v>
      </c>
      <c r="D20" s="3">
        <v>1</v>
      </c>
      <c r="E20" s="2"/>
      <c r="F20" s="2"/>
      <c r="G20" s="2"/>
    </row>
    <row r="21" spans="1:7">
      <c r="A21" s="3"/>
      <c r="B21" s="3"/>
      <c r="C21" s="3" t="s">
        <v>9</v>
      </c>
      <c r="D21" s="3">
        <v>1</v>
      </c>
      <c r="E21" s="2"/>
      <c r="F21" s="2"/>
      <c r="G21" s="2"/>
    </row>
    <row r="22" spans="1:7" ht="27.6">
      <c r="A22" s="3"/>
      <c r="B22" s="3"/>
      <c r="C22" s="3" t="s">
        <v>52</v>
      </c>
      <c r="D22" s="3">
        <v>0.5</v>
      </c>
      <c r="E22" s="2"/>
      <c r="F22" s="2"/>
      <c r="G22" s="2"/>
    </row>
    <row r="23" spans="1:7">
      <c r="A23" s="3"/>
      <c r="B23" s="3"/>
      <c r="C23" s="3" t="s">
        <v>10</v>
      </c>
      <c r="D23" s="3">
        <v>1</v>
      </c>
      <c r="E23" s="2"/>
      <c r="F23" s="2"/>
      <c r="G23" s="2"/>
    </row>
    <row r="24" spans="1:7">
      <c r="A24" s="3"/>
      <c r="B24" s="3"/>
      <c r="C24" s="3" t="s">
        <v>11</v>
      </c>
      <c r="D24" s="3">
        <v>2</v>
      </c>
      <c r="E24" s="2"/>
      <c r="F24" s="2"/>
      <c r="G24" s="2"/>
    </row>
    <row r="25" spans="1:7">
      <c r="A25" s="3"/>
      <c r="B25" s="3"/>
      <c r="C25" s="3" t="s">
        <v>12</v>
      </c>
      <c r="D25" s="3">
        <v>1</v>
      </c>
      <c r="E25" s="2"/>
      <c r="F25" s="2"/>
      <c r="G25" s="2"/>
    </row>
    <row r="26" spans="1:7">
      <c r="A26" s="3"/>
      <c r="B26" s="3"/>
      <c r="C26" s="3" t="s">
        <v>23</v>
      </c>
      <c r="D26" s="3">
        <v>3</v>
      </c>
      <c r="E26" s="2"/>
      <c r="F26" s="2"/>
      <c r="G26" s="2"/>
    </row>
    <row r="27" spans="1:7">
      <c r="A27" s="3"/>
      <c r="B27" s="3"/>
      <c r="C27" s="3" t="s">
        <v>13</v>
      </c>
      <c r="D27" s="3">
        <v>1</v>
      </c>
      <c r="E27" s="2"/>
      <c r="F27" s="2"/>
      <c r="G27" s="2"/>
    </row>
    <row r="28" spans="1:7">
      <c r="A28" s="3"/>
      <c r="B28" s="3"/>
      <c r="C28" s="3" t="s">
        <v>14</v>
      </c>
      <c r="D28" s="3">
        <v>0.5</v>
      </c>
      <c r="E28" s="2"/>
      <c r="F28" s="2"/>
      <c r="G28" s="2"/>
    </row>
    <row r="29" spans="1:7">
      <c r="A29" s="3"/>
      <c r="B29" s="3"/>
      <c r="C29" s="3" t="s">
        <v>15</v>
      </c>
      <c r="D29" s="3">
        <v>2</v>
      </c>
      <c r="E29" s="2"/>
      <c r="F29" s="2"/>
      <c r="G29" s="2"/>
    </row>
    <row r="30" spans="1:7">
      <c r="A30" s="3"/>
      <c r="B30" s="3"/>
      <c r="C30" s="3" t="s">
        <v>16</v>
      </c>
      <c r="D30" s="3">
        <v>1</v>
      </c>
      <c r="E30" s="2"/>
      <c r="F30" s="2"/>
      <c r="G30" s="2"/>
    </row>
    <row r="31" spans="1:7" ht="27.6">
      <c r="A31" s="3"/>
      <c r="B31" s="3"/>
      <c r="C31" s="3" t="s">
        <v>19</v>
      </c>
      <c r="D31" s="3">
        <v>1</v>
      </c>
      <c r="E31" s="2"/>
      <c r="F31" s="2"/>
      <c r="G31" s="2"/>
    </row>
    <row r="32" spans="1:7">
      <c r="A32" s="3"/>
      <c r="B32" s="3"/>
      <c r="C32" s="3" t="s">
        <v>20</v>
      </c>
      <c r="D32" s="3">
        <v>3</v>
      </c>
      <c r="E32" s="2"/>
      <c r="F32" s="2"/>
      <c r="G32" s="2"/>
    </row>
    <row r="33" spans="1:7">
      <c r="A33" s="3"/>
      <c r="B33" s="3"/>
      <c r="C33" s="3" t="s">
        <v>21</v>
      </c>
      <c r="D33" s="3">
        <v>1</v>
      </c>
      <c r="E33" s="2"/>
      <c r="F33" s="2"/>
      <c r="G33" s="2"/>
    </row>
    <row r="34" spans="1:7">
      <c r="A34" s="3"/>
      <c r="B34" s="3"/>
      <c r="C34" s="3" t="s">
        <v>22</v>
      </c>
      <c r="D34" s="3">
        <v>1</v>
      </c>
      <c r="E34" s="2"/>
      <c r="F34" s="2"/>
      <c r="G34" s="2"/>
    </row>
    <row r="35" spans="1:7">
      <c r="A35" s="3"/>
      <c r="B35" s="3"/>
      <c r="C35" s="3" t="s">
        <v>24</v>
      </c>
      <c r="D35" s="3">
        <v>3</v>
      </c>
      <c r="E35" s="2"/>
      <c r="F35" s="2"/>
      <c r="G35" s="2"/>
    </row>
    <row r="36" spans="1:7">
      <c r="A36" s="3"/>
      <c r="B36" s="3"/>
      <c r="C36" s="3" t="s">
        <v>25</v>
      </c>
      <c r="D36" s="3">
        <v>1</v>
      </c>
      <c r="E36" s="2"/>
      <c r="F36" s="2"/>
      <c r="G36" s="2"/>
    </row>
    <row r="37" spans="1:7">
      <c r="A37" s="3"/>
      <c r="B37" s="3"/>
      <c r="C37" s="3" t="s">
        <v>26</v>
      </c>
      <c r="D37" s="3">
        <v>1</v>
      </c>
      <c r="E37" s="2"/>
      <c r="F37" s="2"/>
      <c r="G37" s="2"/>
    </row>
    <row r="38" spans="1:7" ht="27.6">
      <c r="A38" s="3"/>
      <c r="B38" s="3"/>
      <c r="C38" s="3" t="s">
        <v>27</v>
      </c>
      <c r="D38" s="3">
        <v>3</v>
      </c>
      <c r="E38" s="2"/>
      <c r="F38" s="2"/>
      <c r="G38" s="2"/>
    </row>
    <row r="39" spans="1:7">
      <c r="A39" s="3"/>
      <c r="B39" s="3"/>
      <c r="C39" s="3" t="s">
        <v>28</v>
      </c>
      <c r="D39" s="3">
        <v>7</v>
      </c>
      <c r="E39" s="2"/>
      <c r="F39" s="2"/>
      <c r="G39" s="2"/>
    </row>
    <row r="40" spans="1:7" ht="27.6">
      <c r="A40" s="3"/>
      <c r="B40" s="3"/>
      <c r="C40" s="3" t="s">
        <v>29</v>
      </c>
      <c r="D40" s="3">
        <v>13</v>
      </c>
      <c r="E40" s="2"/>
      <c r="F40" s="2"/>
      <c r="G40" s="2"/>
    </row>
    <row r="41" spans="1:7">
      <c r="A41" s="3"/>
      <c r="B41" s="3"/>
      <c r="C41" s="3" t="s">
        <v>30</v>
      </c>
      <c r="D41" s="3">
        <v>2</v>
      </c>
      <c r="E41" s="2"/>
      <c r="F41" s="2"/>
      <c r="G41" s="2"/>
    </row>
    <row r="42" spans="1:7">
      <c r="A42" s="3"/>
      <c r="B42" s="3"/>
      <c r="C42" s="3" t="s">
        <v>31</v>
      </c>
      <c r="D42" s="3">
        <v>1</v>
      </c>
      <c r="E42" s="2"/>
      <c r="F42" s="2"/>
      <c r="G42" s="2"/>
    </row>
    <row r="43" spans="1:7">
      <c r="A43" s="3"/>
      <c r="B43" s="3"/>
      <c r="C43" s="3" t="s">
        <v>32</v>
      </c>
      <c r="D43" s="3">
        <v>12</v>
      </c>
      <c r="E43" s="2"/>
      <c r="F43" s="2"/>
      <c r="G43" s="2"/>
    </row>
    <row r="44" spans="1:7">
      <c r="A44" s="3"/>
      <c r="B44" s="3"/>
      <c r="C44" s="3" t="s">
        <v>33</v>
      </c>
      <c r="D44" s="3">
        <v>1</v>
      </c>
      <c r="E44" s="2"/>
      <c r="F44" s="2"/>
      <c r="G44" s="2"/>
    </row>
    <row r="45" spans="1:7">
      <c r="A45" s="3"/>
      <c r="B45" s="3"/>
      <c r="C45" s="3" t="s">
        <v>34</v>
      </c>
      <c r="D45" s="3">
        <v>1</v>
      </c>
      <c r="E45" s="2"/>
      <c r="F45" s="2"/>
      <c r="G45" s="2"/>
    </row>
    <row r="46" spans="1:7">
      <c r="A46" s="3"/>
      <c r="B46" s="3"/>
      <c r="C46" s="3" t="s">
        <v>35</v>
      </c>
      <c r="D46" s="3">
        <v>1</v>
      </c>
      <c r="E46" s="2"/>
      <c r="F46" s="2"/>
      <c r="G46" s="2"/>
    </row>
    <row r="47" spans="1:7">
      <c r="A47" s="4"/>
      <c r="B47" s="4"/>
      <c r="C47" s="4" t="s">
        <v>36</v>
      </c>
      <c r="D47" s="4">
        <v>3</v>
      </c>
    </row>
    <row r="48" spans="1:7">
      <c r="A48" s="4"/>
      <c r="B48" s="4"/>
      <c r="C48" s="4" t="s">
        <v>37</v>
      </c>
      <c r="D48" s="4">
        <v>1</v>
      </c>
    </row>
    <row r="51" spans="1:8">
      <c r="A51" s="1" t="s">
        <v>86</v>
      </c>
    </row>
    <row r="53" spans="1:8">
      <c r="A53" s="5" t="s">
        <v>48</v>
      </c>
      <c r="F53" s="22"/>
      <c r="G53" s="22"/>
    </row>
    <row r="54" spans="1:8" ht="14.25" customHeight="1">
      <c r="F54" s="22"/>
      <c r="G54" s="22"/>
    </row>
    <row r="55" spans="1:8" ht="114" customHeight="1">
      <c r="A55" s="8" t="s">
        <v>95</v>
      </c>
      <c r="B55" s="8" t="s">
        <v>51</v>
      </c>
      <c r="C55" s="8" t="s">
        <v>2</v>
      </c>
      <c r="D55" s="8" t="s">
        <v>81</v>
      </c>
      <c r="E55" s="8" t="s">
        <v>82</v>
      </c>
      <c r="F55" s="23" t="s">
        <v>84</v>
      </c>
      <c r="G55" s="23" t="s">
        <v>85</v>
      </c>
      <c r="H55" s="61" t="s">
        <v>93</v>
      </c>
    </row>
    <row r="56" spans="1:8" ht="33" customHeight="1">
      <c r="A56" s="6">
        <v>1</v>
      </c>
      <c r="B56" s="6">
        <v>2</v>
      </c>
      <c r="C56" s="6">
        <v>3</v>
      </c>
      <c r="D56" s="6" t="s">
        <v>87</v>
      </c>
      <c r="E56" s="6" t="s">
        <v>83</v>
      </c>
      <c r="F56" s="24">
        <v>6</v>
      </c>
      <c r="G56" s="25">
        <v>7</v>
      </c>
      <c r="H56" s="62">
        <v>8</v>
      </c>
    </row>
    <row r="57" spans="1:8" ht="72" customHeight="1">
      <c r="A57" s="3" t="s">
        <v>91</v>
      </c>
      <c r="B57" s="3">
        <v>30454.46</v>
      </c>
      <c r="C57" s="3">
        <v>25.4</v>
      </c>
      <c r="D57" s="13">
        <f>B57*C57*12</f>
        <v>9282519.4079999998</v>
      </c>
      <c r="E57" s="11">
        <f>D57*1.302</f>
        <v>12085840.269216001</v>
      </c>
      <c r="F57" s="26">
        <v>943</v>
      </c>
      <c r="G57" s="26">
        <f>E57/F57</f>
        <v>12816.373562265113</v>
      </c>
      <c r="H57" s="63">
        <v>100</v>
      </c>
    </row>
    <row r="58" spans="1:8" ht="89.25" customHeight="1">
      <c r="A58" s="3" t="s">
        <v>92</v>
      </c>
      <c r="B58" s="3">
        <v>29576.560000000001</v>
      </c>
      <c r="C58" s="3">
        <v>3.18</v>
      </c>
      <c r="D58" s="13">
        <f>B58*C58*12</f>
        <v>1128641.5296000002</v>
      </c>
      <c r="E58" s="11">
        <f t="shared" ref="E58:E59" si="0">D58*1.302</f>
        <v>1469491.2715392003</v>
      </c>
      <c r="F58" s="26">
        <v>166</v>
      </c>
      <c r="G58" s="26">
        <f t="shared" ref="G58:G59" si="1">E58/F58</f>
        <v>8852.3570574650621</v>
      </c>
      <c r="H58" s="64">
        <f>E58/E57*100</f>
        <v>12.158784485032129</v>
      </c>
    </row>
    <row r="59" spans="1:8" ht="123.75" customHeight="1">
      <c r="A59" s="3" t="s">
        <v>94</v>
      </c>
      <c r="B59" s="14">
        <f>D59/C59/12</f>
        <v>30580.100054005405</v>
      </c>
      <c r="C59" s="3">
        <f>C57-C58</f>
        <v>22.22</v>
      </c>
      <c r="D59" s="13">
        <f>D57-D58</f>
        <v>8153877.8783999998</v>
      </c>
      <c r="E59" s="11">
        <f t="shared" si="0"/>
        <v>10616348.997676801</v>
      </c>
      <c r="F59" s="26">
        <v>777</v>
      </c>
      <c r="G59" s="26">
        <f t="shared" si="1"/>
        <v>13663.254823264866</v>
      </c>
      <c r="H59" s="64">
        <f>E59/E57*100</f>
        <v>87.841215514967871</v>
      </c>
    </row>
    <row r="60" spans="1:8" ht="18.75" customHeight="1">
      <c r="A60" s="19"/>
      <c r="B60" s="19"/>
      <c r="C60" s="19"/>
      <c r="D60" s="21"/>
      <c r="E60" s="20"/>
      <c r="F60" s="20"/>
      <c r="G60" s="20"/>
      <c r="H60" s="18"/>
    </row>
    <row r="61" spans="1:8" ht="18.75" customHeight="1">
      <c r="A61" s="5" t="s">
        <v>88</v>
      </c>
      <c r="H61" s="15"/>
    </row>
    <row r="62" spans="1:8" ht="18.75" customHeight="1">
      <c r="H62" s="15"/>
    </row>
    <row r="63" spans="1:8" ht="83.25" customHeight="1">
      <c r="A63" s="8" t="s">
        <v>95</v>
      </c>
      <c r="B63" s="8" t="s">
        <v>51</v>
      </c>
      <c r="C63" s="8" t="s">
        <v>2</v>
      </c>
      <c r="D63" s="8" t="s">
        <v>81</v>
      </c>
      <c r="E63" s="8" t="s">
        <v>82</v>
      </c>
      <c r="F63" s="16"/>
      <c r="G63" s="16"/>
      <c r="H63" s="15"/>
    </row>
    <row r="64" spans="1:8" ht="33.75" customHeight="1">
      <c r="A64" s="6">
        <v>1</v>
      </c>
      <c r="B64" s="6">
        <v>2</v>
      </c>
      <c r="C64" s="6">
        <v>3</v>
      </c>
      <c r="D64" s="6" t="s">
        <v>87</v>
      </c>
      <c r="E64" s="6" t="s">
        <v>83</v>
      </c>
      <c r="F64" s="17"/>
      <c r="G64" s="27"/>
      <c r="H64" s="15"/>
    </row>
    <row r="65" spans="1:8" ht="59.25" customHeight="1">
      <c r="A65" s="3" t="s">
        <v>89</v>
      </c>
      <c r="B65" s="3">
        <v>13251.02</v>
      </c>
      <c r="C65" s="3">
        <v>76</v>
      </c>
      <c r="D65" s="13">
        <v>12084929.380000001</v>
      </c>
      <c r="E65" s="10">
        <v>15734578</v>
      </c>
      <c r="F65" s="20"/>
      <c r="G65" s="20"/>
      <c r="H65" s="15"/>
    </row>
    <row r="66" spans="1:8" ht="20.25" customHeight="1">
      <c r="A66" s="3" t="s">
        <v>104</v>
      </c>
      <c r="B66" s="3"/>
      <c r="C66" s="3"/>
      <c r="D66" s="13"/>
      <c r="E66" s="10">
        <v>15734578</v>
      </c>
      <c r="F66" s="20"/>
      <c r="G66" s="20"/>
      <c r="H66" s="15"/>
    </row>
    <row r="67" spans="1:8" ht="20.25" customHeight="1">
      <c r="A67" s="19"/>
      <c r="B67" s="19"/>
      <c r="C67" s="19"/>
      <c r="D67" s="21"/>
      <c r="E67" s="18"/>
      <c r="F67" s="20"/>
      <c r="G67" s="20"/>
      <c r="H67" s="15"/>
    </row>
    <row r="68" spans="1:8" hidden="1"/>
    <row r="69" spans="1:8" hidden="1">
      <c r="A69" s="5" t="s">
        <v>56</v>
      </c>
    </row>
    <row r="70" spans="1:8" hidden="1"/>
    <row r="71" spans="1:8" ht="45.75" hidden="1" customHeight="1">
      <c r="A71" s="8" t="s">
        <v>57</v>
      </c>
      <c r="B71" s="8" t="s">
        <v>58</v>
      </c>
      <c r="C71" s="8" t="s">
        <v>59</v>
      </c>
      <c r="D71" s="8" t="s">
        <v>60</v>
      </c>
      <c r="E71" s="8" t="s">
        <v>61</v>
      </c>
      <c r="F71" s="8" t="s">
        <v>63</v>
      </c>
      <c r="G71" s="8" t="s">
        <v>64</v>
      </c>
      <c r="H71" s="8" t="s">
        <v>54</v>
      </c>
    </row>
    <row r="72" spans="1:8" hidden="1">
      <c r="A72" s="12">
        <v>1</v>
      </c>
      <c r="B72" s="12">
        <v>2</v>
      </c>
      <c r="C72" s="12">
        <v>3</v>
      </c>
      <c r="D72" s="12">
        <v>4</v>
      </c>
      <c r="E72" s="12" t="s">
        <v>62</v>
      </c>
      <c r="F72" s="12">
        <v>6</v>
      </c>
      <c r="G72" s="12">
        <v>7</v>
      </c>
      <c r="H72" s="12" t="s">
        <v>65</v>
      </c>
    </row>
    <row r="73" spans="1:8" hidden="1">
      <c r="A73" s="4"/>
      <c r="B73" s="4"/>
      <c r="C73" s="4">
        <v>0</v>
      </c>
      <c r="D73" s="4">
        <v>166</v>
      </c>
      <c r="E73" s="4">
        <f>C73/D73</f>
        <v>0</v>
      </c>
      <c r="F73" s="4">
        <v>0</v>
      </c>
      <c r="G73" s="4">
        <v>0</v>
      </c>
      <c r="H73" s="4">
        <f>E73*G73</f>
        <v>0</v>
      </c>
    </row>
    <row r="74" spans="1:8" ht="18.75" hidden="1" customHeight="1">
      <c r="F74" s="4" t="s">
        <v>66</v>
      </c>
      <c r="G74" s="4"/>
      <c r="H74" s="4">
        <v>0</v>
      </c>
    </row>
    <row r="75" spans="1:8" ht="18.75" customHeight="1">
      <c r="A75" s="5" t="s">
        <v>90</v>
      </c>
      <c r="F75" s="15"/>
      <c r="G75" s="15"/>
      <c r="H75" s="15"/>
    </row>
    <row r="76" spans="1:8" ht="18.75" customHeight="1">
      <c r="F76" s="15"/>
      <c r="G76" s="15"/>
      <c r="H76" s="15"/>
    </row>
    <row r="77" spans="1:8" ht="32.25" customHeight="1">
      <c r="A77" s="7" t="s">
        <v>102</v>
      </c>
      <c r="B77" s="7" t="s">
        <v>96</v>
      </c>
      <c r="C77" s="7" t="s">
        <v>69</v>
      </c>
      <c r="D77" s="6" t="s">
        <v>71</v>
      </c>
      <c r="E77" s="7" t="s">
        <v>160</v>
      </c>
      <c r="F77" s="7" t="s">
        <v>97</v>
      </c>
      <c r="G77" s="15"/>
      <c r="H77" s="15"/>
    </row>
    <row r="78" spans="1:8" ht="18.75" customHeight="1">
      <c r="A78" s="7">
        <v>1</v>
      </c>
      <c r="B78" s="7">
        <v>2</v>
      </c>
      <c r="C78" s="7">
        <v>3</v>
      </c>
      <c r="D78" s="7">
        <v>4</v>
      </c>
      <c r="E78" s="7">
        <v>4</v>
      </c>
      <c r="F78" s="7">
        <v>4</v>
      </c>
      <c r="G78" s="15"/>
      <c r="H78" s="15"/>
    </row>
    <row r="79" spans="1:8" ht="27.75" customHeight="1">
      <c r="A79" s="59" t="s">
        <v>98</v>
      </c>
      <c r="B79" s="3" t="s">
        <v>99</v>
      </c>
      <c r="C79" s="59">
        <v>6</v>
      </c>
      <c r="D79" s="60">
        <v>694.44500000000005</v>
      </c>
      <c r="E79" s="60">
        <v>12</v>
      </c>
      <c r="F79" s="60">
        <f>C79*D79*E79</f>
        <v>50000.04</v>
      </c>
      <c r="G79" s="15"/>
      <c r="H79" s="15"/>
    </row>
    <row r="80" spans="1:8">
      <c r="A80" s="59" t="s">
        <v>104</v>
      </c>
      <c r="B80" s="3"/>
      <c r="C80" s="59"/>
      <c r="D80" s="60"/>
      <c r="E80" s="60"/>
      <c r="F80" s="60">
        <f>F79</f>
        <v>50000.04</v>
      </c>
      <c r="G80" s="15"/>
      <c r="H80" s="15"/>
    </row>
    <row r="81" spans="1:8" ht="18.75" customHeight="1">
      <c r="F81" s="15"/>
      <c r="G81" s="15"/>
      <c r="H81" s="15"/>
    </row>
    <row r="82" spans="1:8" ht="18.75" customHeight="1">
      <c r="A82" s="5" t="s">
        <v>100</v>
      </c>
      <c r="F82" s="15"/>
      <c r="G82" s="15"/>
      <c r="H82" s="15"/>
    </row>
    <row r="84" spans="1:8" ht="27.75" customHeight="1">
      <c r="A84" s="4" t="s">
        <v>102</v>
      </c>
      <c r="B84" s="4" t="s">
        <v>96</v>
      </c>
      <c r="C84" s="4" t="s">
        <v>69</v>
      </c>
      <c r="D84" s="4" t="s">
        <v>161</v>
      </c>
      <c r="E84" s="4" t="s">
        <v>97</v>
      </c>
      <c r="F84" s="15"/>
      <c r="G84" s="15"/>
    </row>
    <row r="85" spans="1:8">
      <c r="A85" s="7">
        <v>1</v>
      </c>
      <c r="B85" s="7">
        <v>2</v>
      </c>
      <c r="C85" s="7">
        <v>3</v>
      </c>
      <c r="D85" s="7">
        <v>4</v>
      </c>
      <c r="E85" s="7">
        <v>4</v>
      </c>
      <c r="F85" s="17"/>
      <c r="G85" s="17"/>
    </row>
    <row r="86" spans="1:8" ht="27.6">
      <c r="A86" s="4" t="s">
        <v>101</v>
      </c>
      <c r="B86" s="3" t="s">
        <v>163</v>
      </c>
      <c r="C86" s="4">
        <v>15</v>
      </c>
      <c r="D86" s="11">
        <f>E86/C86</f>
        <v>7381.4933333333329</v>
      </c>
      <c r="E86" s="11">
        <v>110722.4</v>
      </c>
      <c r="F86" s="20"/>
      <c r="G86" s="20"/>
    </row>
    <row r="87" spans="1:8">
      <c r="A87" s="4" t="s">
        <v>104</v>
      </c>
      <c r="B87" s="3"/>
      <c r="C87" s="4"/>
      <c r="D87" s="11"/>
      <c r="E87" s="11">
        <f>E86</f>
        <v>110722.4</v>
      </c>
      <c r="F87" s="20"/>
      <c r="G87" s="20"/>
    </row>
    <row r="89" spans="1:8">
      <c r="A89" s="5" t="s">
        <v>67</v>
      </c>
    </row>
    <row r="91" spans="1:8" ht="75" customHeight="1">
      <c r="A91" s="8" t="s">
        <v>103</v>
      </c>
      <c r="B91" s="8" t="s">
        <v>58</v>
      </c>
      <c r="C91" s="8" t="s">
        <v>69</v>
      </c>
      <c r="D91" s="4" t="s">
        <v>97</v>
      </c>
      <c r="E91" s="16"/>
      <c r="F91" s="16"/>
      <c r="G91" s="16"/>
      <c r="H91" s="16"/>
    </row>
    <row r="92" spans="1:8">
      <c r="A92" s="12">
        <v>1</v>
      </c>
      <c r="B92" s="12">
        <v>2</v>
      </c>
      <c r="C92" s="12">
        <v>3</v>
      </c>
      <c r="D92" s="12">
        <v>4</v>
      </c>
      <c r="E92" s="28"/>
      <c r="F92" s="28"/>
      <c r="G92" s="28"/>
      <c r="H92" s="28"/>
    </row>
    <row r="93" spans="1:8">
      <c r="A93" s="4" t="s">
        <v>73</v>
      </c>
      <c r="B93" s="4" t="s">
        <v>77</v>
      </c>
      <c r="C93" s="4">
        <v>305</v>
      </c>
      <c r="D93" s="4">
        <v>1512828.05</v>
      </c>
      <c r="E93" s="15"/>
      <c r="F93" s="18"/>
      <c r="G93" s="15"/>
      <c r="H93" s="18"/>
    </row>
    <row r="94" spans="1:8">
      <c r="A94" s="4" t="s">
        <v>74</v>
      </c>
      <c r="B94" s="4" t="s">
        <v>78</v>
      </c>
      <c r="C94" s="4">
        <v>1652</v>
      </c>
      <c r="D94" s="4">
        <f>3503493.59+379.45</f>
        <v>3503873.04</v>
      </c>
      <c r="E94" s="15"/>
      <c r="F94" s="18"/>
      <c r="G94" s="15"/>
      <c r="H94" s="18"/>
    </row>
    <row r="95" spans="1:8">
      <c r="A95" s="4" t="s">
        <v>75</v>
      </c>
      <c r="B95" s="4" t="s">
        <v>79</v>
      </c>
      <c r="C95" s="4">
        <v>2899</v>
      </c>
      <c r="D95" s="4">
        <v>88713.11</v>
      </c>
      <c r="E95" s="15"/>
      <c r="F95" s="18"/>
      <c r="G95" s="18"/>
      <c r="H95" s="18"/>
    </row>
    <row r="96" spans="1:8">
      <c r="A96" s="4" t="s">
        <v>76</v>
      </c>
      <c r="B96" s="4" t="s">
        <v>79</v>
      </c>
      <c r="C96" s="4">
        <v>3150</v>
      </c>
      <c r="D96" s="4">
        <v>136867.5</v>
      </c>
      <c r="E96" s="15"/>
      <c r="F96" s="18"/>
      <c r="G96" s="15"/>
      <c r="H96" s="18"/>
    </row>
    <row r="97" spans="1:8">
      <c r="A97" s="4" t="s">
        <v>104</v>
      </c>
      <c r="B97" s="4"/>
      <c r="C97" s="4"/>
      <c r="D97" s="4">
        <f>SUM(D93:D96)</f>
        <v>5242281.7</v>
      </c>
      <c r="E97" s="15"/>
      <c r="F97" s="15"/>
      <c r="G97" s="15"/>
      <c r="H97" s="18"/>
    </row>
    <row r="98" spans="1:8">
      <c r="E98" s="15"/>
      <c r="F98" s="15"/>
      <c r="G98" s="15"/>
      <c r="H98" s="15"/>
    </row>
    <row r="99" spans="1:8">
      <c r="A99" s="5" t="s">
        <v>105</v>
      </c>
    </row>
    <row r="101" spans="1:8">
      <c r="A101" s="4" t="s">
        <v>102</v>
      </c>
      <c r="B101" s="4" t="s">
        <v>96</v>
      </c>
      <c r="C101" s="4" t="s">
        <v>69</v>
      </c>
      <c r="D101" s="4" t="s">
        <v>164</v>
      </c>
      <c r="E101" s="4" t="s">
        <v>97</v>
      </c>
    </row>
    <row r="102" spans="1:8">
      <c r="A102" s="7">
        <v>1</v>
      </c>
      <c r="B102" s="7">
        <v>2</v>
      </c>
      <c r="C102" s="7">
        <v>3</v>
      </c>
      <c r="D102" s="7">
        <v>4</v>
      </c>
      <c r="E102" s="7">
        <v>4</v>
      </c>
    </row>
    <row r="103" spans="1:8" ht="41.4">
      <c r="A103" s="4" t="s">
        <v>106</v>
      </c>
      <c r="B103" s="3" t="s">
        <v>162</v>
      </c>
      <c r="C103" s="4">
        <v>96</v>
      </c>
      <c r="D103" s="10">
        <f>E103/C103</f>
        <v>2303.125</v>
      </c>
      <c r="E103" s="10">
        <v>221100</v>
      </c>
    </row>
    <row r="104" spans="1:8">
      <c r="A104" s="4" t="s">
        <v>104</v>
      </c>
      <c r="B104" s="3"/>
      <c r="C104" s="4"/>
      <c r="D104" s="10"/>
      <c r="E104" s="10">
        <f>E103</f>
        <v>221100</v>
      </c>
    </row>
    <row r="106" spans="1:8">
      <c r="A106" s="5" t="s">
        <v>107</v>
      </c>
    </row>
    <row r="107" spans="1:8">
      <c r="A107" s="5"/>
    </row>
    <row r="108" spans="1:8">
      <c r="A108" s="4" t="s">
        <v>102</v>
      </c>
      <c r="B108" s="4" t="s">
        <v>96</v>
      </c>
      <c r="C108" s="4" t="s">
        <v>69</v>
      </c>
      <c r="D108" s="4" t="s">
        <v>164</v>
      </c>
      <c r="E108" s="4" t="s">
        <v>97</v>
      </c>
    </row>
    <row r="109" spans="1:8">
      <c r="A109" s="7">
        <v>1</v>
      </c>
      <c r="B109" s="7">
        <v>2</v>
      </c>
      <c r="C109" s="7">
        <v>3</v>
      </c>
      <c r="D109" s="7">
        <v>4</v>
      </c>
      <c r="E109" s="7">
        <v>4</v>
      </c>
    </row>
    <row r="110" spans="1:8" ht="41.4">
      <c r="A110" s="4" t="s">
        <v>108</v>
      </c>
      <c r="B110" s="3" t="s">
        <v>162</v>
      </c>
      <c r="C110" s="4">
        <v>96</v>
      </c>
      <c r="D110" s="10">
        <v>1387</v>
      </c>
      <c r="E110" s="10">
        <v>166440</v>
      </c>
    </row>
    <row r="111" spans="1:8">
      <c r="A111" s="4" t="s">
        <v>104</v>
      </c>
      <c r="B111" s="3"/>
      <c r="C111" s="4"/>
      <c r="D111" s="10"/>
      <c r="E111" s="10">
        <v>166440</v>
      </c>
    </row>
    <row r="114" spans="1:6">
      <c r="A114" s="5" t="s">
        <v>165</v>
      </c>
    </row>
    <row r="116" spans="1:6" ht="138">
      <c r="A116" s="7" t="s">
        <v>166</v>
      </c>
      <c r="B116" s="6" t="s">
        <v>170</v>
      </c>
      <c r="C116" s="6" t="s">
        <v>169</v>
      </c>
      <c r="D116" s="6" t="s">
        <v>167</v>
      </c>
      <c r="E116" s="6" t="s">
        <v>168</v>
      </c>
      <c r="F116" s="27"/>
    </row>
    <row r="117" spans="1:6" ht="90.75" customHeight="1">
      <c r="A117" s="3" t="s">
        <v>88</v>
      </c>
      <c r="B117" s="105">
        <v>943</v>
      </c>
      <c r="C117" s="10">
        <v>15734578</v>
      </c>
      <c r="D117" s="10">
        <v>17061.59</v>
      </c>
      <c r="E117" s="10">
        <f>C117*82%/777</f>
        <v>16605.34615186615</v>
      </c>
      <c r="F117" s="15"/>
    </row>
    <row r="118" spans="1:6">
      <c r="A118" s="4" t="s">
        <v>90</v>
      </c>
      <c r="B118" s="106"/>
      <c r="C118" s="10">
        <v>50000</v>
      </c>
      <c r="D118" s="10">
        <v>54.22</v>
      </c>
      <c r="E118" s="10">
        <f t="shared" ref="E118:E122" si="2">C118*82%/777</f>
        <v>52.767052767052768</v>
      </c>
      <c r="F118" s="15"/>
    </row>
    <row r="119" spans="1:6">
      <c r="A119" s="4" t="s">
        <v>100</v>
      </c>
      <c r="B119" s="106"/>
      <c r="C119" s="10">
        <v>100560</v>
      </c>
      <c r="D119" s="10">
        <f t="shared" ref="D119:D122" si="3">C119*18%/166</f>
        <v>109.04096385542168</v>
      </c>
      <c r="E119" s="10">
        <f t="shared" si="2"/>
        <v>106.12509652509652</v>
      </c>
      <c r="F119" s="15"/>
    </row>
    <row r="120" spans="1:6" ht="27.6">
      <c r="A120" s="3" t="s">
        <v>67</v>
      </c>
      <c r="B120" s="106"/>
      <c r="C120" s="10">
        <v>5242281.7</v>
      </c>
      <c r="D120" s="10">
        <f t="shared" si="3"/>
        <v>5684.4018433734936</v>
      </c>
      <c r="E120" s="10">
        <f t="shared" si="2"/>
        <v>5532.3951016731016</v>
      </c>
      <c r="F120" s="15"/>
    </row>
    <row r="121" spans="1:6" ht="30.75" customHeight="1">
      <c r="A121" s="4" t="s">
        <v>105</v>
      </c>
      <c r="B121" s="106"/>
      <c r="C121" s="10">
        <v>233000</v>
      </c>
      <c r="D121" s="10">
        <f t="shared" si="3"/>
        <v>252.65060240963857</v>
      </c>
      <c r="E121" s="10">
        <f t="shared" si="2"/>
        <v>245.8944658944659</v>
      </c>
      <c r="F121" s="15"/>
    </row>
    <row r="122" spans="1:6" ht="27.6">
      <c r="A122" s="3" t="s">
        <v>107</v>
      </c>
      <c r="B122" s="107"/>
      <c r="C122" s="10">
        <v>166440</v>
      </c>
      <c r="D122" s="10">
        <f t="shared" si="3"/>
        <v>180.47710843373491</v>
      </c>
      <c r="E122" s="10">
        <f t="shared" si="2"/>
        <v>175.65096525096524</v>
      </c>
      <c r="F122" s="15"/>
    </row>
    <row r="123" spans="1:6">
      <c r="A123" s="4" t="s">
        <v>104</v>
      </c>
      <c r="B123" s="4"/>
      <c r="C123" s="11"/>
      <c r="D123" s="10">
        <f>SUM(D117:D122)</f>
        <v>23342.380518072288</v>
      </c>
      <c r="E123" s="10">
        <f>SUM(E117:E122)</f>
        <v>22718.178833976835</v>
      </c>
    </row>
    <row r="127" spans="1:6">
      <c r="A127" s="1" t="s">
        <v>109</v>
      </c>
      <c r="C127" s="1" t="s">
        <v>110</v>
      </c>
    </row>
  </sheetData>
  <mergeCells count="2">
    <mergeCell ref="A1:H1"/>
    <mergeCell ref="B117:B122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Лист1</vt:lpstr>
      <vt:lpstr>базовый норматив</vt:lpstr>
      <vt:lpstr>расчеты</vt:lpstr>
      <vt:lpstr>дан</vt:lpstr>
      <vt:lpstr>дан (3)</vt:lpstr>
      <vt:lpstr>дубль 3</vt:lpstr>
      <vt:lpstr>Лист3</vt:lpstr>
      <vt:lpstr>нз (2)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2016-01-20T04:33:50Z</dcterms:modified>
</cp:coreProperties>
</file>