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 activeTab="2"/>
  </bookViews>
  <sheets>
    <sheet name="дошк.обр" sheetId="1" r:id="rId1"/>
    <sheet name="пр.и уход" sheetId="4" r:id="rId2"/>
    <sheet name="свод" sheetId="2" r:id="rId3"/>
    <sheet name="Лист3" sheetId="3" r:id="rId4"/>
  </sheets>
  <definedNames>
    <definedName name="_xlnm.Print_Titles" localSheetId="0">дошк.обр!$6:$8</definedName>
  </definedNames>
  <calcPr calcId="124519"/>
</workbook>
</file>

<file path=xl/calcChain.xml><?xml version="1.0" encoding="utf-8"?>
<calcChain xmlns="http://schemas.openxmlformats.org/spreadsheetml/2006/main">
  <c r="H4" i="2"/>
  <c r="H5"/>
  <c r="H6"/>
  <c r="H7"/>
  <c r="H8"/>
  <c r="H9"/>
  <c r="H10"/>
  <c r="H14"/>
  <c r="H11"/>
  <c r="H16"/>
  <c r="H17"/>
  <c r="H13"/>
  <c r="H3"/>
  <c r="E17"/>
  <c r="E16"/>
  <c r="E15"/>
  <c r="E14"/>
  <c r="E13"/>
  <c r="E4"/>
  <c r="E5"/>
  <c r="E6"/>
  <c r="E7"/>
  <c r="E8"/>
  <c r="E9"/>
  <c r="E10"/>
  <c r="E11"/>
  <c r="E3"/>
  <c r="G17"/>
  <c r="I17" s="1"/>
  <c r="G16"/>
  <c r="I16" s="1"/>
  <c r="G14"/>
  <c r="G13"/>
  <c r="I13" s="1"/>
  <c r="G4"/>
  <c r="G5"/>
  <c r="I5" s="1"/>
  <c r="G6"/>
  <c r="I6" s="1"/>
  <c r="G7"/>
  <c r="I7" s="1"/>
  <c r="G8"/>
  <c r="I8" s="1"/>
  <c r="G9"/>
  <c r="I9" s="1"/>
  <c r="G10"/>
  <c r="I10" s="1"/>
  <c r="G11"/>
  <c r="I11" s="1"/>
  <c r="G3"/>
  <c r="I14" l="1"/>
  <c r="I4"/>
  <c r="I3"/>
  <c r="C16"/>
  <c r="C13"/>
  <c r="M45" i="1"/>
  <c r="M48"/>
  <c r="M47" s="1"/>
  <c r="L49"/>
  <c r="N49" s="1"/>
  <c r="L48"/>
  <c r="N48" s="1"/>
  <c r="K47"/>
  <c r="J47"/>
  <c r="I47"/>
  <c r="H47"/>
  <c r="G47"/>
  <c r="F47"/>
  <c r="E47"/>
  <c r="D47"/>
  <c r="C47"/>
  <c r="B47"/>
  <c r="L46"/>
  <c r="N46" s="1"/>
  <c r="L45"/>
  <c r="N45" s="1"/>
  <c r="M44"/>
  <c r="K44"/>
  <c r="J44"/>
  <c r="I44"/>
  <c r="H44"/>
  <c r="G44"/>
  <c r="F44"/>
  <c r="E44"/>
  <c r="D44"/>
  <c r="C44"/>
  <c r="B44"/>
  <c r="M39"/>
  <c r="M38"/>
  <c r="M42"/>
  <c r="M41"/>
  <c r="L42"/>
  <c r="N42" s="1"/>
  <c r="L41"/>
  <c r="N41" s="1"/>
  <c r="K40"/>
  <c r="J40"/>
  <c r="I40"/>
  <c r="H40"/>
  <c r="G40"/>
  <c r="F40"/>
  <c r="E40"/>
  <c r="D40"/>
  <c r="C40"/>
  <c r="B40"/>
  <c r="L39"/>
  <c r="N39" s="1"/>
  <c r="L38"/>
  <c r="N38" s="1"/>
  <c r="K37"/>
  <c r="J37"/>
  <c r="I37"/>
  <c r="H37"/>
  <c r="G37"/>
  <c r="F37"/>
  <c r="E37"/>
  <c r="D37"/>
  <c r="C37"/>
  <c r="B37"/>
  <c r="M35"/>
  <c r="M34"/>
  <c r="M33" s="1"/>
  <c r="L35"/>
  <c r="N35" s="1"/>
  <c r="L34"/>
  <c r="N34" s="1"/>
  <c r="K33"/>
  <c r="J33"/>
  <c r="I33"/>
  <c r="H33"/>
  <c r="G33"/>
  <c r="F33"/>
  <c r="E33"/>
  <c r="D33"/>
  <c r="C33"/>
  <c r="B33"/>
  <c r="M32"/>
  <c r="M31"/>
  <c r="D11" i="2" l="1"/>
  <c r="D13"/>
  <c r="D16"/>
  <c r="C11"/>
  <c r="C14"/>
  <c r="C17"/>
  <c r="D14"/>
  <c r="D17"/>
  <c r="N47" i="1"/>
  <c r="L47"/>
  <c r="N44"/>
  <c r="L44"/>
  <c r="P47"/>
  <c r="P44"/>
  <c r="L40"/>
  <c r="N40"/>
  <c r="L37"/>
  <c r="N37"/>
  <c r="M37"/>
  <c r="M40"/>
  <c r="P37"/>
  <c r="N33"/>
  <c r="L33"/>
  <c r="P33"/>
  <c r="L32"/>
  <c r="L31"/>
  <c r="M30"/>
  <c r="K30"/>
  <c r="J30"/>
  <c r="I30"/>
  <c r="H30"/>
  <c r="G30"/>
  <c r="F30"/>
  <c r="E30"/>
  <c r="D30"/>
  <c r="C30"/>
  <c r="B30"/>
  <c r="M28"/>
  <c r="M27" s="1"/>
  <c r="L29"/>
  <c r="L28"/>
  <c r="K27"/>
  <c r="J27"/>
  <c r="I27"/>
  <c r="H27"/>
  <c r="G27"/>
  <c r="F27"/>
  <c r="E27"/>
  <c r="D27"/>
  <c r="C27"/>
  <c r="B27"/>
  <c r="M25"/>
  <c r="M24" s="1"/>
  <c r="L26"/>
  <c r="L25"/>
  <c r="K24"/>
  <c r="J24"/>
  <c r="I24"/>
  <c r="H24"/>
  <c r="G24"/>
  <c r="F24"/>
  <c r="E24"/>
  <c r="D24"/>
  <c r="C24"/>
  <c r="B24"/>
  <c r="M22"/>
  <c r="M21" s="1"/>
  <c r="L23"/>
  <c r="L22"/>
  <c r="K21"/>
  <c r="J21"/>
  <c r="I21"/>
  <c r="H21"/>
  <c r="G21"/>
  <c r="F21"/>
  <c r="E21"/>
  <c r="D21"/>
  <c r="C21"/>
  <c r="B21"/>
  <c r="N22" l="1"/>
  <c r="C7" i="2"/>
  <c r="N26" i="1"/>
  <c r="D8" i="2"/>
  <c r="N28" i="1"/>
  <c r="C9" i="2"/>
  <c r="N31" i="1"/>
  <c r="C10" i="2"/>
  <c r="N23" i="1"/>
  <c r="D7" i="2"/>
  <c r="N25" i="1"/>
  <c r="C8" i="2"/>
  <c r="N29" i="1"/>
  <c r="D9" i="2"/>
  <c r="N32" i="1"/>
  <c r="D10" i="2"/>
  <c r="P40" i="1"/>
  <c r="N30"/>
  <c r="L30"/>
  <c r="P30"/>
  <c r="L27"/>
  <c r="N27"/>
  <c r="P27" s="1"/>
  <c r="L24"/>
  <c r="N24"/>
  <c r="P24" s="1"/>
  <c r="L21"/>
  <c r="N21"/>
  <c r="P21" s="1"/>
  <c r="M19"/>
  <c r="M18" s="1"/>
  <c r="L20"/>
  <c r="L19"/>
  <c r="K18"/>
  <c r="J18"/>
  <c r="I18"/>
  <c r="H18"/>
  <c r="G18"/>
  <c r="F18"/>
  <c r="E18"/>
  <c r="D18"/>
  <c r="C18"/>
  <c r="B18"/>
  <c r="B15"/>
  <c r="B12"/>
  <c r="M16"/>
  <c r="M15" s="1"/>
  <c r="L17"/>
  <c r="L16"/>
  <c r="K15"/>
  <c r="J15"/>
  <c r="I15"/>
  <c r="H15"/>
  <c r="G15"/>
  <c r="F15"/>
  <c r="E15"/>
  <c r="D15"/>
  <c r="C15"/>
  <c r="M13"/>
  <c r="M12" s="1"/>
  <c r="L14"/>
  <c r="L13"/>
  <c r="C4" i="2" s="1"/>
  <c r="K12" i="1"/>
  <c r="J12"/>
  <c r="I12"/>
  <c r="H12"/>
  <c r="G12"/>
  <c r="F12"/>
  <c r="E12"/>
  <c r="D12"/>
  <c r="C12"/>
  <c r="L12" s="1"/>
  <c r="N14" l="1"/>
  <c r="D4" i="2"/>
  <c r="N16" i="1"/>
  <c r="C5" i="2"/>
  <c r="N19" i="1"/>
  <c r="C6" i="2"/>
  <c r="N17" i="1"/>
  <c r="D5" i="2"/>
  <c r="N20" i="1"/>
  <c r="D6" i="2"/>
  <c r="L18" i="1"/>
  <c r="L15"/>
  <c r="N15"/>
  <c r="P15" s="1"/>
  <c r="N13"/>
  <c r="N12" s="1"/>
  <c r="P12" s="1"/>
  <c r="M10"/>
  <c r="M9" s="1"/>
  <c r="L11"/>
  <c r="I9"/>
  <c r="J9"/>
  <c r="K9"/>
  <c r="H9"/>
  <c r="F9"/>
  <c r="G9"/>
  <c r="E9"/>
  <c r="D9"/>
  <c r="C9"/>
  <c r="B10"/>
  <c r="L10" s="1"/>
  <c r="N10" l="1"/>
  <c r="C3" i="2"/>
  <c r="N11" i="1"/>
  <c r="D3" i="2"/>
  <c r="N18" i="1"/>
  <c r="P18" s="1"/>
  <c r="L21" i="4"/>
  <c r="N9" i="1"/>
  <c r="P9" s="1"/>
  <c r="L9"/>
  <c r="L20" i="4" l="1"/>
  <c r="L19" l="1"/>
  <c r="L18" l="1"/>
  <c r="L17" l="1"/>
  <c r="L16" l="1"/>
  <c r="L15" l="1"/>
  <c r="L14" l="1"/>
  <c r="L13" l="1"/>
  <c r="L12" l="1"/>
  <c r="L11" l="1"/>
  <c r="L10" l="1"/>
  <c r="L9"/>
</calcChain>
</file>

<file path=xl/sharedStrings.xml><?xml version="1.0" encoding="utf-8"?>
<sst xmlns="http://schemas.openxmlformats.org/spreadsheetml/2006/main" count="114" uniqueCount="47">
  <si>
    <t>УТВЕРЖДЕНИЕ БАЗОВОГО НОРМАТИВА</t>
  </si>
  <si>
    <t>ЗАТРАТЫ НЕПОСРЕДСТВЕННО СВЯЗАННЫЕ С ОКАЗАНИЕМ УСЛУГИ, РУБ.</t>
  </si>
  <si>
    <t>Оплата труда (ОТ1)</t>
  </si>
  <si>
    <t>Наименование учреждения</t>
  </si>
  <si>
    <t>Материальные запасы и особо ценное движемое имущество (МЗ и ОЦДИ)</t>
  </si>
  <si>
    <t>Иные затраты (ИНЗ)</t>
  </si>
  <si>
    <t>ЗАТРАТЫ НА ОБЩЕХОЗЯЙСТВЕННЫЕ НУЖДЫ, РУБ.</t>
  </si>
  <si>
    <t>Коммунальные услуги (КУ)</t>
  </si>
  <si>
    <t>Содержание недвижимого имущества (СНИ)</t>
  </si>
  <si>
    <t>Содержание особоценного движимого имущества (СОЦДИ)</t>
  </si>
  <si>
    <t>Услуги связи (УС)</t>
  </si>
  <si>
    <t>Транспортные услуги (ТУ)</t>
  </si>
  <si>
    <t>ОТ2</t>
  </si>
  <si>
    <t>Прочие общехозяйственные нужды (ПН)</t>
  </si>
  <si>
    <t>Базовый норматив затрат на оказание услуги, руб.</t>
  </si>
  <si>
    <t>методом эффективного учреждения</t>
  </si>
  <si>
    <t>д/сад Вишенка</t>
  </si>
  <si>
    <t>краевой бюджет</t>
  </si>
  <si>
    <t>мун.бюджет</t>
  </si>
  <si>
    <t>в бюджете</t>
  </si>
  <si>
    <t>по норме</t>
  </si>
  <si>
    <t>УСЛУГА "Реализация основных общеобразовательных программ дошкольного образования"</t>
  </si>
  <si>
    <t>УСЛУГА "Присмотр и уход"</t>
  </si>
  <si>
    <t>д/сад Капитошка</t>
  </si>
  <si>
    <t>д/сад Катюша</t>
  </si>
  <si>
    <t>д/сад Колосок</t>
  </si>
  <si>
    <t>д/сад Одуванчик</t>
  </si>
  <si>
    <t>д/сад Росинка</t>
  </si>
  <si>
    <t>д/сад Сибирячок</t>
  </si>
  <si>
    <t>д/сад Солнышко</t>
  </si>
  <si>
    <t>д/сад Тополек</t>
  </si>
  <si>
    <t>д/сад Аленка</t>
  </si>
  <si>
    <t>д/сад Теремок</t>
  </si>
  <si>
    <t>д/сад Калинка</t>
  </si>
  <si>
    <t>д/сад № 6</t>
  </si>
  <si>
    <t>Базовый норматив</t>
  </si>
  <si>
    <t>муниципальный бюджет</t>
  </si>
  <si>
    <t>Объем</t>
  </si>
  <si>
    <t>Объем субсидии</t>
  </si>
  <si>
    <t>доведено бюджетом</t>
  </si>
  <si>
    <t>коэффициент выравнивания</t>
  </si>
  <si>
    <t>ИТОГО</t>
  </si>
  <si>
    <t>Базовый норматив методом эффективного учреждения</t>
  </si>
  <si>
    <t>Наименования учреждений</t>
  </si>
  <si>
    <t>комбинированные</t>
  </si>
  <si>
    <t xml:space="preserve">простые </t>
  </si>
  <si>
    <t>автономные</t>
  </si>
</sst>
</file>

<file path=xl/styles.xml><?xml version="1.0" encoding="utf-8"?>
<styleSheet xmlns="http://schemas.openxmlformats.org/spreadsheetml/2006/main">
  <numFmts count="2">
    <numFmt numFmtId="164" formatCode="#,##0.00_р_."/>
    <numFmt numFmtId="165" formatCode="0.0"/>
  </numFmts>
  <fonts count="9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55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wrapText="1"/>
    </xf>
    <xf numFmtId="0" fontId="1" fillId="0" borderId="1" xfId="0" applyFont="1" applyBorder="1"/>
    <xf numFmtId="0" fontId="3" fillId="0" borderId="1" xfId="0" applyFont="1" applyBorder="1"/>
    <xf numFmtId="2" fontId="1" fillId="0" borderId="1" xfId="0" applyNumberFormat="1" applyFont="1" applyBorder="1"/>
    <xf numFmtId="0" fontId="0" fillId="0" borderId="2" xfId="0" applyBorder="1"/>
    <xf numFmtId="0" fontId="1" fillId="0" borderId="0" xfId="0" applyFont="1" applyAlignment="1">
      <alignment wrapText="1"/>
    </xf>
    <xf numFmtId="165" fontId="1" fillId="0" borderId="0" xfId="0" applyNumberFormat="1" applyFont="1"/>
    <xf numFmtId="0" fontId="2" fillId="0" borderId="3" xfId="0" applyFont="1" applyBorder="1" applyAlignment="1">
      <alignment horizontal="center" vertical="center"/>
    </xf>
    <xf numFmtId="0" fontId="3" fillId="0" borderId="4" xfId="0" applyFont="1" applyBorder="1"/>
    <xf numFmtId="0" fontId="1" fillId="0" borderId="4" xfId="0" applyFont="1" applyBorder="1"/>
    <xf numFmtId="2" fontId="1" fillId="0" borderId="4" xfId="0" applyNumberFormat="1" applyFont="1" applyBorder="1"/>
    <xf numFmtId="0" fontId="3" fillId="0" borderId="5" xfId="0" applyFont="1" applyBorder="1"/>
    <xf numFmtId="0" fontId="0" fillId="0" borderId="6" xfId="0" applyBorder="1"/>
    <xf numFmtId="0" fontId="3" fillId="0" borderId="7" xfId="0" applyFont="1" applyBorder="1"/>
    <xf numFmtId="0" fontId="0" fillId="0" borderId="8" xfId="0" applyBorder="1"/>
    <xf numFmtId="0" fontId="3" fillId="0" borderId="9" xfId="0" applyFont="1" applyBorder="1"/>
    <xf numFmtId="0" fontId="1" fillId="0" borderId="9" xfId="0" applyFont="1" applyBorder="1"/>
    <xf numFmtId="2" fontId="1" fillId="0" borderId="9" xfId="0" applyNumberFormat="1" applyFont="1" applyBorder="1"/>
    <xf numFmtId="0" fontId="3" fillId="0" borderId="10" xfId="0" applyFont="1" applyBorder="1"/>
    <xf numFmtId="0" fontId="4" fillId="0" borderId="0" xfId="0" applyFont="1"/>
    <xf numFmtId="0" fontId="5" fillId="0" borderId="0" xfId="0" applyFont="1"/>
    <xf numFmtId="0" fontId="0" fillId="0" borderId="1" xfId="0" applyBorder="1"/>
    <xf numFmtId="2" fontId="3" fillId="0" borderId="1" xfId="0" applyNumberFormat="1" applyFont="1" applyBorder="1"/>
    <xf numFmtId="165" fontId="0" fillId="0" borderId="0" xfId="0" applyNumberFormat="1"/>
    <xf numFmtId="2" fontId="3" fillId="0" borderId="5" xfId="0" applyNumberFormat="1" applyFont="1" applyBorder="1"/>
    <xf numFmtId="2" fontId="3" fillId="0" borderId="10" xfId="0" applyNumberFormat="1" applyFont="1" applyBorder="1"/>
    <xf numFmtId="0" fontId="0" fillId="2" borderId="0" xfId="0" applyFill="1"/>
    <xf numFmtId="0" fontId="6" fillId="0" borderId="0" xfId="0" applyFont="1" applyAlignment="1">
      <alignment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164" fontId="0" fillId="0" borderId="1" xfId="0" applyNumberFormat="1" applyBorder="1"/>
    <xf numFmtId="2" fontId="0" fillId="0" borderId="1" xfId="0" applyNumberFormat="1" applyBorder="1"/>
    <xf numFmtId="0" fontId="0" fillId="0" borderId="1" xfId="0" applyFill="1" applyBorder="1"/>
    <xf numFmtId="0" fontId="0" fillId="2" borderId="1" xfId="0" applyFill="1" applyBorder="1"/>
    <xf numFmtId="164" fontId="0" fillId="2" borderId="1" xfId="0" applyNumberFormat="1" applyFill="1" applyBorder="1"/>
    <xf numFmtId="2" fontId="0" fillId="2" borderId="1" xfId="0" applyNumberFormat="1" applyFill="1" applyBorder="1"/>
    <xf numFmtId="0" fontId="0" fillId="3" borderId="1" xfId="0" applyFill="1" applyBorder="1"/>
    <xf numFmtId="2" fontId="0" fillId="3" borderId="1" xfId="0" applyNumberFormat="1" applyFill="1" applyBorder="1"/>
    <xf numFmtId="0" fontId="0" fillId="0" borderId="12" xfId="0" applyBorder="1"/>
    <xf numFmtId="164" fontId="0" fillId="0" borderId="12" xfId="0" applyNumberFormat="1" applyBorder="1"/>
    <xf numFmtId="2" fontId="0" fillId="0" borderId="12" xfId="0" applyNumberFormat="1" applyBorder="1"/>
    <xf numFmtId="0" fontId="7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0" fillId="0" borderId="13" xfId="0" applyBorder="1" applyAlignment="1">
      <alignment horizontal="center" wrapText="1"/>
    </xf>
    <xf numFmtId="0" fontId="0" fillId="0" borderId="13" xfId="0" applyBorder="1" applyAlignment="1">
      <alignment horizontal="center" vertical="center" textRotation="90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P49"/>
  <sheetViews>
    <sheetView zoomScale="90" zoomScaleNormal="90" workbookViewId="0">
      <pane xSplit="1" ySplit="8" topLeftCell="B9" activePane="bottomRight" state="frozen"/>
      <selection pane="topRight" activeCell="B1" sqref="B1"/>
      <selection pane="bottomLeft" activeCell="A9" sqref="A9"/>
      <selection pane="bottomRight" activeCell="L9" sqref="L9"/>
    </sheetView>
  </sheetViews>
  <sheetFormatPr defaultRowHeight="15"/>
  <cols>
    <col min="1" max="1" width="16" style="1" customWidth="1"/>
    <col min="2" max="2" width="9.85546875" style="1" customWidth="1"/>
    <col min="3" max="3" width="16.7109375" style="1" customWidth="1"/>
    <col min="4" max="4" width="14" style="1" customWidth="1"/>
    <col min="5" max="5" width="9.140625" style="1"/>
    <col min="6" max="6" width="12" style="1" customWidth="1"/>
    <col min="7" max="7" width="14.85546875" style="1" customWidth="1"/>
    <col min="8" max="10" width="9.140625" style="1"/>
    <col min="11" max="11" width="11.28515625" style="1" customWidth="1"/>
    <col min="12" max="12" width="13.42578125" style="1" customWidth="1"/>
    <col min="13" max="13" width="12.5703125" style="1" customWidth="1"/>
    <col min="14" max="14" width="14.140625" style="1" customWidth="1"/>
  </cols>
  <sheetData>
    <row r="2" spans="1:16">
      <c r="A2" s="1" t="s">
        <v>0</v>
      </c>
    </row>
    <row r="4" spans="1:16" ht="18.75">
      <c r="A4" s="21" t="s">
        <v>21</v>
      </c>
    </row>
    <row r="6" spans="1:16" ht="56.25" customHeight="1">
      <c r="A6" s="31" t="s">
        <v>3</v>
      </c>
      <c r="B6" s="30" t="s">
        <v>1</v>
      </c>
      <c r="C6" s="30"/>
      <c r="D6" s="30"/>
      <c r="E6" s="31" t="s">
        <v>6</v>
      </c>
      <c r="F6" s="31"/>
      <c r="G6" s="31"/>
      <c r="H6" s="31"/>
      <c r="I6" s="31"/>
      <c r="J6" s="31"/>
      <c r="K6" s="31"/>
      <c r="L6" s="31" t="s">
        <v>14</v>
      </c>
    </row>
    <row r="7" spans="1:16" ht="78.75" customHeight="1">
      <c r="A7" s="31"/>
      <c r="B7" s="2" t="s">
        <v>2</v>
      </c>
      <c r="C7" s="2" t="s">
        <v>4</v>
      </c>
      <c r="D7" s="2" t="s">
        <v>5</v>
      </c>
      <c r="E7" s="2" t="s">
        <v>7</v>
      </c>
      <c r="F7" s="2" t="s">
        <v>8</v>
      </c>
      <c r="G7" s="2" t="s">
        <v>9</v>
      </c>
      <c r="H7" s="2" t="s">
        <v>10</v>
      </c>
      <c r="I7" s="2" t="s">
        <v>11</v>
      </c>
      <c r="J7" s="2" t="s">
        <v>12</v>
      </c>
      <c r="K7" s="2" t="s">
        <v>13</v>
      </c>
      <c r="L7" s="31"/>
      <c r="M7" s="7" t="s">
        <v>19</v>
      </c>
      <c r="N7" s="7" t="s">
        <v>20</v>
      </c>
    </row>
    <row r="8" spans="1:16" ht="10.5" customHeight="1" thickBot="1">
      <c r="A8" s="9">
        <v>1</v>
      </c>
      <c r="B8" s="9">
        <v>2</v>
      </c>
      <c r="C8" s="9">
        <v>3</v>
      </c>
      <c r="D8" s="9">
        <v>4</v>
      </c>
      <c r="E8" s="9">
        <v>5</v>
      </c>
      <c r="F8" s="9">
        <v>6</v>
      </c>
      <c r="G8" s="9">
        <v>7</v>
      </c>
      <c r="H8" s="9">
        <v>8</v>
      </c>
      <c r="I8" s="9">
        <v>9</v>
      </c>
      <c r="J8" s="9">
        <v>10</v>
      </c>
      <c r="K8" s="9">
        <v>11</v>
      </c>
      <c r="L8" s="9">
        <v>12</v>
      </c>
    </row>
    <row r="9" spans="1:16">
      <c r="A9" s="6" t="s">
        <v>16</v>
      </c>
      <c r="B9" s="10">
        <v>33266.089999999997</v>
      </c>
      <c r="C9" s="11">
        <f>C10+C11</f>
        <v>7986.1500000000005</v>
      </c>
      <c r="D9" s="11">
        <f>D10+D11</f>
        <v>752.38</v>
      </c>
      <c r="E9" s="10">
        <f>E10+E11</f>
        <v>11379.64</v>
      </c>
      <c r="F9" s="10">
        <f t="shared" ref="F9:H9" si="0">F10+F11</f>
        <v>1022.11</v>
      </c>
      <c r="G9" s="12">
        <f t="shared" si="0"/>
        <v>56.54</v>
      </c>
      <c r="H9" s="12">
        <f t="shared" si="0"/>
        <v>149.51</v>
      </c>
      <c r="I9" s="12">
        <f t="shared" ref="I9" si="1">I10+I11</f>
        <v>0</v>
      </c>
      <c r="J9" s="12">
        <f t="shared" ref="J9" si="2">J10+J11</f>
        <v>29850.959999999999</v>
      </c>
      <c r="K9" s="12">
        <f t="shared" ref="K9" si="3">K10+K11</f>
        <v>1012.0699999999999</v>
      </c>
      <c r="L9" s="13">
        <f>B9+C9+D9+E9+F9+G9+H9+I9+J9+K9</f>
        <v>85475.450000000012</v>
      </c>
      <c r="M9" s="8">
        <f>M10+M11</f>
        <v>10428003</v>
      </c>
      <c r="N9" s="1">
        <f>N10+N11</f>
        <v>10428004.899999999</v>
      </c>
      <c r="O9">
        <v>122</v>
      </c>
      <c r="P9" s="25">
        <f>M9-N9</f>
        <v>-1.8999999985098839</v>
      </c>
    </row>
    <row r="10" spans="1:16">
      <c r="A10" s="14" t="s">
        <v>17</v>
      </c>
      <c r="B10" s="4">
        <f>B9</f>
        <v>33266.089999999997</v>
      </c>
      <c r="C10" s="3">
        <v>171.64</v>
      </c>
      <c r="D10" s="3">
        <v>752.38</v>
      </c>
      <c r="E10" s="4"/>
      <c r="F10" s="4"/>
      <c r="G10" s="5">
        <v>56.54</v>
      </c>
      <c r="H10" s="3">
        <v>149.51</v>
      </c>
      <c r="I10" s="3"/>
      <c r="J10" s="3">
        <v>14850.57</v>
      </c>
      <c r="K10" s="3">
        <v>84.18</v>
      </c>
      <c r="L10" s="15">
        <f t="shared" ref="L10:L11" si="4">B10+C10+D10+E10+F10+G10+H10+I10+J10+K10</f>
        <v>49330.909999999996</v>
      </c>
      <c r="M10" s="8">
        <f>4162171+1856200</f>
        <v>6018371</v>
      </c>
      <c r="N10" s="1">
        <f>L10*O9</f>
        <v>6018371.0199999996</v>
      </c>
    </row>
    <row r="11" spans="1:16" ht="15.75" thickBot="1">
      <c r="A11" s="16" t="s">
        <v>18</v>
      </c>
      <c r="B11" s="17"/>
      <c r="C11" s="18">
        <v>7814.51</v>
      </c>
      <c r="D11" s="18"/>
      <c r="E11" s="17">
        <v>11379.64</v>
      </c>
      <c r="F11" s="17">
        <v>1022.11</v>
      </c>
      <c r="G11" s="19"/>
      <c r="H11" s="18"/>
      <c r="I11" s="18"/>
      <c r="J11" s="18">
        <v>15000.39</v>
      </c>
      <c r="K11" s="18">
        <v>927.89</v>
      </c>
      <c r="L11" s="20">
        <f t="shared" si="4"/>
        <v>36144.54</v>
      </c>
      <c r="M11" s="8">
        <v>4409632</v>
      </c>
      <c r="N11" s="1">
        <f>L11*O9</f>
        <v>4409633.88</v>
      </c>
    </row>
    <row r="12" spans="1:16">
      <c r="A12" s="6" t="s">
        <v>23</v>
      </c>
      <c r="B12" s="10">
        <f>B13+B14</f>
        <v>34809.33</v>
      </c>
      <c r="C12" s="11">
        <f>C13+C14</f>
        <v>8423.57</v>
      </c>
      <c r="D12" s="11">
        <f>D13+D14</f>
        <v>835.83</v>
      </c>
      <c r="E12" s="10">
        <f>E13+E14</f>
        <v>7485.71</v>
      </c>
      <c r="F12" s="10">
        <f t="shared" ref="F12:K12" si="5">F13+F14</f>
        <v>721.22</v>
      </c>
      <c r="G12" s="12">
        <f t="shared" si="5"/>
        <v>186.25</v>
      </c>
      <c r="H12" s="12">
        <f t="shared" si="5"/>
        <v>95.67</v>
      </c>
      <c r="I12" s="12">
        <f t="shared" si="5"/>
        <v>0</v>
      </c>
      <c r="J12" s="12">
        <f t="shared" si="5"/>
        <v>28905.439999999999</v>
      </c>
      <c r="K12" s="12">
        <f t="shared" si="5"/>
        <v>874.29</v>
      </c>
      <c r="L12" s="26">
        <f>B12+C12+D12+E12+F12+G12+H12+I12+J12+K12</f>
        <v>82337.31</v>
      </c>
      <c r="M12" s="8">
        <f>M13+M14</f>
        <v>19760954</v>
      </c>
      <c r="N12" s="1">
        <f>N13+N14</f>
        <v>19760954.399999999</v>
      </c>
      <c r="O12">
        <v>240</v>
      </c>
      <c r="P12" s="25">
        <f>M12-N12</f>
        <v>-0.39999999850988388</v>
      </c>
    </row>
    <row r="13" spans="1:16">
      <c r="A13" s="14" t="s">
        <v>17</v>
      </c>
      <c r="B13" s="4">
        <v>34809.33</v>
      </c>
      <c r="C13" s="3">
        <v>100.32</v>
      </c>
      <c r="D13" s="3">
        <v>835.83</v>
      </c>
      <c r="E13" s="4"/>
      <c r="F13" s="4"/>
      <c r="G13" s="5">
        <v>186.25</v>
      </c>
      <c r="H13" s="3">
        <v>95.67</v>
      </c>
      <c r="I13" s="3"/>
      <c r="J13" s="3">
        <v>15430.13</v>
      </c>
      <c r="K13" s="3"/>
      <c r="L13" s="15">
        <f t="shared" ref="L13:L14" si="6">B13+C13+D13+E13+F13+G13+H13+I13+J13+K13</f>
        <v>51457.53</v>
      </c>
      <c r="M13" s="8">
        <f>8560717+3789090</f>
        <v>12349807</v>
      </c>
      <c r="N13" s="1">
        <f>L13*O12</f>
        <v>12349807.199999999</v>
      </c>
    </row>
    <row r="14" spans="1:16" ht="15.75" thickBot="1">
      <c r="A14" s="16" t="s">
        <v>18</v>
      </c>
      <c r="B14" s="17"/>
      <c r="C14" s="18">
        <v>8323.25</v>
      </c>
      <c r="D14" s="18"/>
      <c r="E14" s="17">
        <v>7485.71</v>
      </c>
      <c r="F14" s="17">
        <v>721.22</v>
      </c>
      <c r="G14" s="19"/>
      <c r="H14" s="18"/>
      <c r="I14" s="18"/>
      <c r="J14" s="18">
        <v>13475.31</v>
      </c>
      <c r="K14" s="18">
        <v>874.29</v>
      </c>
      <c r="L14" s="20">
        <f t="shared" si="6"/>
        <v>30879.78</v>
      </c>
      <c r="M14" s="8">
        <v>7411147</v>
      </c>
      <c r="N14" s="1">
        <f>L14*O12</f>
        <v>7411147.1999999993</v>
      </c>
    </row>
    <row r="15" spans="1:16">
      <c r="A15" s="6" t="s">
        <v>24</v>
      </c>
      <c r="B15" s="10">
        <f>B16+B17</f>
        <v>31068.42</v>
      </c>
      <c r="C15" s="11">
        <f>C16+C17</f>
        <v>8304.9600000000009</v>
      </c>
      <c r="D15" s="11">
        <f>D16+D17</f>
        <v>836.31</v>
      </c>
      <c r="E15" s="10">
        <f>E16+E17</f>
        <v>7760.34</v>
      </c>
      <c r="F15" s="10">
        <f t="shared" ref="F15:K15" si="7">F16+F17</f>
        <v>950.52</v>
      </c>
      <c r="G15" s="12">
        <f t="shared" si="7"/>
        <v>241.32</v>
      </c>
      <c r="H15" s="12">
        <f t="shared" si="7"/>
        <v>173.17</v>
      </c>
      <c r="I15" s="12">
        <f t="shared" si="7"/>
        <v>0</v>
      </c>
      <c r="J15" s="12">
        <f t="shared" si="7"/>
        <v>29230.37</v>
      </c>
      <c r="K15" s="12">
        <f t="shared" si="7"/>
        <v>1000.9</v>
      </c>
      <c r="L15" s="13">
        <f>B15+C15+D15+E15+F15+G15+H15+I15+J15+K15</f>
        <v>79566.309999999983</v>
      </c>
      <c r="M15" s="8">
        <f>M16+M17</f>
        <v>9786655</v>
      </c>
      <c r="N15" s="1">
        <f>N16+N17</f>
        <v>9786656.129999999</v>
      </c>
      <c r="O15">
        <v>123</v>
      </c>
      <c r="P15" s="25">
        <f>M15-N15</f>
        <v>-1.1299999989569187</v>
      </c>
    </row>
    <row r="16" spans="1:16">
      <c r="A16" s="14" t="s">
        <v>17</v>
      </c>
      <c r="B16" s="4">
        <v>31068.42</v>
      </c>
      <c r="C16" s="3">
        <v>121.95</v>
      </c>
      <c r="D16" s="3">
        <v>836.31</v>
      </c>
      <c r="E16" s="4"/>
      <c r="F16" s="4"/>
      <c r="G16" s="5">
        <v>241.32</v>
      </c>
      <c r="H16" s="3">
        <v>173.17</v>
      </c>
      <c r="I16" s="3"/>
      <c r="J16" s="3">
        <v>14531.46</v>
      </c>
      <c r="K16" s="3"/>
      <c r="L16" s="15">
        <f t="shared" ref="L16:L17" si="8">B16+C16+D16+E16+F16+G16+H16+I16+J16+K16</f>
        <v>46972.63</v>
      </c>
      <c r="M16" s="8">
        <f>3936774+1840860</f>
        <v>5777634</v>
      </c>
      <c r="N16" s="1">
        <f>L16*O15</f>
        <v>5777633.4899999993</v>
      </c>
    </row>
    <row r="17" spans="1:16" ht="15.75" thickBot="1">
      <c r="A17" s="16" t="s">
        <v>18</v>
      </c>
      <c r="B17" s="17"/>
      <c r="C17" s="18">
        <v>8183.01</v>
      </c>
      <c r="D17" s="18"/>
      <c r="E17" s="17">
        <v>7760.34</v>
      </c>
      <c r="F17" s="17">
        <v>950.52</v>
      </c>
      <c r="G17" s="19"/>
      <c r="H17" s="18"/>
      <c r="I17" s="18"/>
      <c r="J17" s="18">
        <v>14698.91</v>
      </c>
      <c r="K17" s="18">
        <v>1000.9</v>
      </c>
      <c r="L17" s="20">
        <f t="shared" si="8"/>
        <v>32593.68</v>
      </c>
      <c r="M17" s="8">
        <v>4009021</v>
      </c>
      <c r="N17" s="1">
        <f>L17*O15</f>
        <v>4009022.64</v>
      </c>
    </row>
    <row r="18" spans="1:16">
      <c r="A18" s="6" t="s">
        <v>25</v>
      </c>
      <c r="B18" s="10">
        <f>B19+B20</f>
        <v>37178.07</v>
      </c>
      <c r="C18" s="11">
        <f>C19+C20</f>
        <v>7436.53</v>
      </c>
      <c r="D18" s="11">
        <f>D19+D20</f>
        <v>843.44</v>
      </c>
      <c r="E18" s="10">
        <f>E19+E20</f>
        <v>7670.01</v>
      </c>
      <c r="F18" s="10">
        <f t="shared" ref="F18:K18" si="9">F19+F20</f>
        <v>998.54</v>
      </c>
      <c r="G18" s="12">
        <f t="shared" si="9"/>
        <v>57.14</v>
      </c>
      <c r="H18" s="12">
        <f t="shared" si="9"/>
        <v>157.72999999999999</v>
      </c>
      <c r="I18" s="12">
        <f t="shared" si="9"/>
        <v>0</v>
      </c>
      <c r="J18" s="12">
        <f t="shared" si="9"/>
        <v>30706.34</v>
      </c>
      <c r="K18" s="12">
        <f t="shared" si="9"/>
        <v>885.81</v>
      </c>
      <c r="L18" s="13">
        <f>B18+C18+D18+E18+F18+G18+H18+I18+J18+K18</f>
        <v>85933.61</v>
      </c>
      <c r="M18" s="8">
        <f>M19+M20</f>
        <v>12030706</v>
      </c>
      <c r="N18" s="1">
        <f>N19+N20</f>
        <v>12030705.4</v>
      </c>
      <c r="O18">
        <v>140</v>
      </c>
      <c r="P18" s="25">
        <f>M18-N18</f>
        <v>0.59999999962747097</v>
      </c>
    </row>
    <row r="19" spans="1:16">
      <c r="A19" s="14" t="s">
        <v>17</v>
      </c>
      <c r="B19" s="4">
        <v>37178.07</v>
      </c>
      <c r="C19" s="3">
        <v>217.67</v>
      </c>
      <c r="D19" s="3">
        <v>843.44</v>
      </c>
      <c r="E19" s="4"/>
      <c r="F19" s="4"/>
      <c r="G19" s="5">
        <v>57.14</v>
      </c>
      <c r="H19" s="3">
        <v>157.72999999999999</v>
      </c>
      <c r="I19" s="3"/>
      <c r="J19" s="3">
        <v>15733.03</v>
      </c>
      <c r="K19" s="3"/>
      <c r="L19" s="15">
        <f t="shared" ref="L19:L20" si="10">B19+C19+D19+E19+F19+G19+H19+I19+J19+K19</f>
        <v>54187.08</v>
      </c>
      <c r="M19" s="8">
        <f>5331142+2255050</f>
        <v>7586192</v>
      </c>
      <c r="N19" s="1">
        <f>L19*O18</f>
        <v>7586191.2000000002</v>
      </c>
    </row>
    <row r="20" spans="1:16" ht="15.75" thickBot="1">
      <c r="A20" s="16" t="s">
        <v>18</v>
      </c>
      <c r="B20" s="17"/>
      <c r="C20" s="18">
        <v>7218.86</v>
      </c>
      <c r="D20" s="18"/>
      <c r="E20" s="17">
        <v>7670.01</v>
      </c>
      <c r="F20" s="17">
        <v>998.54</v>
      </c>
      <c r="G20" s="19"/>
      <c r="H20" s="18"/>
      <c r="I20" s="18"/>
      <c r="J20" s="18">
        <v>14973.31</v>
      </c>
      <c r="K20" s="18">
        <v>885.81</v>
      </c>
      <c r="L20" s="20">
        <f t="shared" si="10"/>
        <v>31746.530000000002</v>
      </c>
      <c r="M20" s="8">
        <v>4444514</v>
      </c>
      <c r="N20" s="1">
        <f>L20*O18</f>
        <v>4444514.2</v>
      </c>
    </row>
    <row r="21" spans="1:16">
      <c r="A21" s="6" t="s">
        <v>26</v>
      </c>
      <c r="B21" s="10">
        <f>B22+B23</f>
        <v>33374.080000000002</v>
      </c>
      <c r="C21" s="11">
        <f>C22+C23</f>
        <v>8272.36</v>
      </c>
      <c r="D21" s="11">
        <f>D22+D23</f>
        <v>903.99</v>
      </c>
      <c r="E21" s="10">
        <f>E22+E23</f>
        <v>7805.21</v>
      </c>
      <c r="F21" s="10">
        <f t="shared" ref="F21:K21" si="11">F22+F23</f>
        <v>1015.68</v>
      </c>
      <c r="G21" s="12">
        <f t="shared" si="11"/>
        <v>17.09</v>
      </c>
      <c r="H21" s="12">
        <f t="shared" si="11"/>
        <v>194.82</v>
      </c>
      <c r="I21" s="12">
        <f t="shared" si="11"/>
        <v>0</v>
      </c>
      <c r="J21" s="12">
        <f t="shared" si="11"/>
        <v>28801.29</v>
      </c>
      <c r="K21" s="12">
        <f t="shared" si="11"/>
        <v>985.51</v>
      </c>
      <c r="L21" s="13">
        <f>B21+C21+D21+E21+F21+G21+H21+I21+J21+K21</f>
        <v>81370.029999999984</v>
      </c>
      <c r="M21" s="8">
        <f>M22+M23</f>
        <v>10008515</v>
      </c>
      <c r="N21" s="1">
        <f>N22+N23</f>
        <v>10008513.689999999</v>
      </c>
      <c r="O21">
        <v>123</v>
      </c>
      <c r="P21" s="25">
        <f>M21-N21</f>
        <v>1.3100000005215406</v>
      </c>
    </row>
    <row r="22" spans="1:16">
      <c r="A22" s="14" t="s">
        <v>17</v>
      </c>
      <c r="B22" s="4">
        <v>33374.080000000002</v>
      </c>
      <c r="C22" s="3"/>
      <c r="D22" s="3">
        <v>903.99</v>
      </c>
      <c r="E22" s="4"/>
      <c r="F22" s="4"/>
      <c r="G22" s="5">
        <v>17.09</v>
      </c>
      <c r="H22" s="3">
        <v>194.82</v>
      </c>
      <c r="I22" s="3"/>
      <c r="J22" s="3">
        <v>14935.85</v>
      </c>
      <c r="K22" s="3"/>
      <c r="L22" s="15">
        <f t="shared" ref="L22:L23" si="12">B22+C22+D22+E22+F22+G22+H22+I22+J22+K22</f>
        <v>49425.829999999994</v>
      </c>
      <c r="M22" s="8">
        <f>4192498+1886880</f>
        <v>6079378</v>
      </c>
      <c r="N22" s="1">
        <f>L22*O21</f>
        <v>6079377.0899999989</v>
      </c>
    </row>
    <row r="23" spans="1:16" ht="15.75" thickBot="1">
      <c r="A23" s="16" t="s">
        <v>18</v>
      </c>
      <c r="B23" s="17"/>
      <c r="C23" s="18">
        <v>8272.36</v>
      </c>
      <c r="D23" s="18"/>
      <c r="E23" s="17">
        <v>7805.21</v>
      </c>
      <c r="F23" s="17">
        <v>1015.68</v>
      </c>
      <c r="G23" s="19"/>
      <c r="H23" s="18"/>
      <c r="I23" s="18"/>
      <c r="J23" s="18">
        <v>13865.44</v>
      </c>
      <c r="K23" s="18">
        <v>985.51</v>
      </c>
      <c r="L23" s="27">
        <f t="shared" si="12"/>
        <v>31944.2</v>
      </c>
      <c r="M23" s="8">
        <v>3929137</v>
      </c>
      <c r="N23" s="1">
        <f>L23*O21</f>
        <v>3929136.6</v>
      </c>
    </row>
    <row r="24" spans="1:16">
      <c r="A24" s="6" t="s">
        <v>27</v>
      </c>
      <c r="B24" s="10">
        <f>B25+B26</f>
        <v>35384.949999999997</v>
      </c>
      <c r="C24" s="11">
        <f>C25+C26</f>
        <v>7745.04</v>
      </c>
      <c r="D24" s="11">
        <f>D25+D26</f>
        <v>1181.82</v>
      </c>
      <c r="E24" s="10">
        <f>E25+E26</f>
        <v>5962.05</v>
      </c>
      <c r="F24" s="10">
        <f t="shared" ref="F24:K24" si="13">F25+F26</f>
        <v>640.29</v>
      </c>
      <c r="G24" s="12">
        <f t="shared" si="13"/>
        <v>77.27</v>
      </c>
      <c r="H24" s="12">
        <f t="shared" si="13"/>
        <v>114.73</v>
      </c>
      <c r="I24" s="12">
        <f t="shared" si="13"/>
        <v>0</v>
      </c>
      <c r="J24" s="12">
        <f t="shared" si="13"/>
        <v>29140.33</v>
      </c>
      <c r="K24" s="12">
        <f t="shared" si="13"/>
        <v>793.19</v>
      </c>
      <c r="L24" s="13">
        <f>B24+C24+D24+E24+F24+G24+H24+I24+J24+K24</f>
        <v>81039.670000000013</v>
      </c>
      <c r="M24" s="8">
        <f>M25+M26</f>
        <v>17828729.02</v>
      </c>
      <c r="N24" s="1">
        <f>N25+N26</f>
        <v>17828727.399999999</v>
      </c>
      <c r="O24">
        <v>220</v>
      </c>
      <c r="P24" s="25">
        <f>M24-N24</f>
        <v>1.6200000010430813</v>
      </c>
    </row>
    <row r="25" spans="1:16">
      <c r="A25" s="14" t="s">
        <v>17</v>
      </c>
      <c r="B25" s="4">
        <v>35384.949999999997</v>
      </c>
      <c r="C25" s="3">
        <v>78.180000000000007</v>
      </c>
      <c r="D25" s="3">
        <v>1181.82</v>
      </c>
      <c r="E25" s="4"/>
      <c r="F25" s="4"/>
      <c r="G25" s="5">
        <v>77.27</v>
      </c>
      <c r="H25" s="3">
        <v>114.73</v>
      </c>
      <c r="I25" s="3"/>
      <c r="J25" s="3">
        <v>15512.18</v>
      </c>
      <c r="K25" s="3"/>
      <c r="L25" s="15">
        <f t="shared" ref="L25:L26" si="14">B25+C25+D25+E25+F25+G25+H25+I25+J25+K25</f>
        <v>52349.13</v>
      </c>
      <c r="M25" s="8">
        <f>8019188+3497620</f>
        <v>11516808</v>
      </c>
      <c r="N25" s="1">
        <f>L25*O24</f>
        <v>11516808.6</v>
      </c>
    </row>
    <row r="26" spans="1:16" ht="15.75" thickBot="1">
      <c r="A26" s="16" t="s">
        <v>18</v>
      </c>
      <c r="B26" s="17"/>
      <c r="C26" s="18">
        <v>7666.86</v>
      </c>
      <c r="D26" s="18"/>
      <c r="E26" s="17">
        <v>5962.05</v>
      </c>
      <c r="F26" s="17">
        <v>640.29</v>
      </c>
      <c r="G26" s="19"/>
      <c r="H26" s="18"/>
      <c r="I26" s="18"/>
      <c r="J26" s="18">
        <v>13628.15</v>
      </c>
      <c r="K26" s="18">
        <v>793.19</v>
      </c>
      <c r="L26" s="20">
        <f t="shared" si="14"/>
        <v>28690.539999999997</v>
      </c>
      <c r="M26" s="8">
        <v>6311921.0199999996</v>
      </c>
      <c r="N26" s="1">
        <f>L26*O24</f>
        <v>6311918.7999999998</v>
      </c>
    </row>
    <row r="27" spans="1:16">
      <c r="A27" s="6" t="s">
        <v>28</v>
      </c>
      <c r="B27" s="10">
        <f>B28+B29</f>
        <v>33169.85</v>
      </c>
      <c r="C27" s="11">
        <f>C28+C29</f>
        <v>8400.68</v>
      </c>
      <c r="D27" s="11">
        <f>D28+D29</f>
        <v>786.57</v>
      </c>
      <c r="E27" s="10">
        <f>E28+E29</f>
        <v>6288.76</v>
      </c>
      <c r="F27" s="10">
        <f t="shared" ref="F27:K27" si="15">F28+F29</f>
        <v>553.64</v>
      </c>
      <c r="G27" s="12">
        <f t="shared" si="15"/>
        <v>96</v>
      </c>
      <c r="H27" s="12">
        <f t="shared" si="15"/>
        <v>78.66</v>
      </c>
      <c r="I27" s="12">
        <f t="shared" si="15"/>
        <v>0</v>
      </c>
      <c r="J27" s="12">
        <f t="shared" si="15"/>
        <v>26795.190000000002</v>
      </c>
      <c r="K27" s="12">
        <f t="shared" si="15"/>
        <v>801.94</v>
      </c>
      <c r="L27" s="13">
        <f>B27+C27+D27+E27+F27+G27+H27+I27+J27+K27</f>
        <v>76971.290000000008</v>
      </c>
      <c r="M27" s="8">
        <f>M28+M29</f>
        <v>19242825</v>
      </c>
      <c r="N27" s="1">
        <f>N28+N29</f>
        <v>19242822.5</v>
      </c>
      <c r="O27">
        <v>250</v>
      </c>
      <c r="P27" s="25">
        <f>M27-N27</f>
        <v>2.5</v>
      </c>
    </row>
    <row r="28" spans="1:16">
      <c r="A28" s="14" t="s">
        <v>17</v>
      </c>
      <c r="B28" s="4">
        <v>33169.85</v>
      </c>
      <c r="C28" s="3">
        <v>180</v>
      </c>
      <c r="D28" s="3">
        <v>786.57</v>
      </c>
      <c r="E28" s="4"/>
      <c r="F28" s="4"/>
      <c r="G28" s="5">
        <v>96</v>
      </c>
      <c r="H28" s="3">
        <v>78.66</v>
      </c>
      <c r="I28" s="3"/>
      <c r="J28" s="3">
        <v>15262.75</v>
      </c>
      <c r="K28" s="3">
        <v>10</v>
      </c>
      <c r="L28" s="15">
        <f t="shared" ref="L28:L29" si="16">B28+C28+D28+E28+F28+G28+H28+I28+J28+K28</f>
        <v>49583.83</v>
      </c>
      <c r="M28" s="8">
        <f>8499478+3896480</f>
        <v>12395958</v>
      </c>
      <c r="N28" s="1">
        <f>L28*O27</f>
        <v>12395957.5</v>
      </c>
    </row>
    <row r="29" spans="1:16" ht="15.75" thickBot="1">
      <c r="A29" s="16" t="s">
        <v>18</v>
      </c>
      <c r="B29" s="17"/>
      <c r="C29" s="18">
        <v>8220.68</v>
      </c>
      <c r="D29" s="18"/>
      <c r="E29" s="17">
        <v>6288.76</v>
      </c>
      <c r="F29" s="17">
        <v>553.64</v>
      </c>
      <c r="G29" s="19"/>
      <c r="H29" s="18"/>
      <c r="I29" s="18"/>
      <c r="J29" s="18">
        <v>11532.44</v>
      </c>
      <c r="K29" s="18">
        <v>791.94</v>
      </c>
      <c r="L29" s="20">
        <f t="shared" si="16"/>
        <v>27387.46</v>
      </c>
      <c r="M29" s="8">
        <v>6846867</v>
      </c>
      <c r="N29" s="1">
        <f>L29*O27</f>
        <v>6846865</v>
      </c>
    </row>
    <row r="30" spans="1:16">
      <c r="A30" s="6" t="s">
        <v>29</v>
      </c>
      <c r="B30" s="10">
        <f>B31+B32</f>
        <v>34119.379999999997</v>
      </c>
      <c r="C30" s="11">
        <f>C31+C32</f>
        <v>7956.03</v>
      </c>
      <c r="D30" s="11">
        <f>D31+D32</f>
        <v>920.29</v>
      </c>
      <c r="E30" s="10">
        <f>E31+E32</f>
        <v>6936.05</v>
      </c>
      <c r="F30" s="10">
        <f t="shared" ref="F30:K30" si="17">F31+F32</f>
        <v>980.75</v>
      </c>
      <c r="G30" s="12">
        <f t="shared" si="17"/>
        <v>54.96</v>
      </c>
      <c r="H30" s="12">
        <f t="shared" si="17"/>
        <v>128.5</v>
      </c>
      <c r="I30" s="12">
        <f t="shared" si="17"/>
        <v>0</v>
      </c>
      <c r="J30" s="12">
        <f t="shared" si="17"/>
        <v>28734.370000000003</v>
      </c>
      <c r="K30" s="12">
        <f t="shared" si="17"/>
        <v>917.53</v>
      </c>
      <c r="L30" s="13">
        <f>B30+C30+D30+E30+F30+G30+H30+I30+J30+K30</f>
        <v>80747.86</v>
      </c>
      <c r="M30" s="8">
        <f>M31+M32</f>
        <v>10577968</v>
      </c>
      <c r="N30" s="1">
        <f>N31+N32</f>
        <v>10577969.66</v>
      </c>
      <c r="O30">
        <v>131</v>
      </c>
      <c r="P30" s="25">
        <f>M30-N30</f>
        <v>-1.6600000001490116</v>
      </c>
    </row>
    <row r="31" spans="1:16">
      <c r="A31" s="14" t="s">
        <v>17</v>
      </c>
      <c r="B31" s="4">
        <v>34119.379999999997</v>
      </c>
      <c r="C31" s="3">
        <v>183.21</v>
      </c>
      <c r="D31" s="3">
        <v>920.29</v>
      </c>
      <c r="E31" s="4"/>
      <c r="F31" s="4"/>
      <c r="G31" s="5">
        <v>54.96</v>
      </c>
      <c r="H31" s="3">
        <v>128.5</v>
      </c>
      <c r="I31" s="3"/>
      <c r="J31" s="3">
        <v>15436.95</v>
      </c>
      <c r="K31" s="3">
        <v>46.17</v>
      </c>
      <c r="L31" s="15">
        <f t="shared" ref="L31:L32" si="18">B31+C31+D31+E31+F31+G31+H31+I31+J31+K31</f>
        <v>50889.459999999992</v>
      </c>
      <c r="M31" s="8">
        <f>4595558+2070960</f>
        <v>6666518</v>
      </c>
      <c r="N31" s="1">
        <f>L31*O30</f>
        <v>6666519.2599999988</v>
      </c>
    </row>
    <row r="32" spans="1:16" ht="15.75" thickBot="1">
      <c r="A32" s="16" t="s">
        <v>18</v>
      </c>
      <c r="B32" s="17"/>
      <c r="C32" s="18">
        <v>7772.82</v>
      </c>
      <c r="D32" s="18"/>
      <c r="E32" s="17">
        <v>6936.05</v>
      </c>
      <c r="F32" s="17">
        <v>980.75</v>
      </c>
      <c r="G32" s="19"/>
      <c r="H32" s="18"/>
      <c r="I32" s="18"/>
      <c r="J32" s="18">
        <v>13297.42</v>
      </c>
      <c r="K32" s="18">
        <v>871.36</v>
      </c>
      <c r="L32" s="27">
        <f t="shared" si="18"/>
        <v>29858.400000000001</v>
      </c>
      <c r="M32" s="8">
        <f>3911450</f>
        <v>3911450</v>
      </c>
      <c r="N32" s="1">
        <f>L32*O30</f>
        <v>3911450.4000000004</v>
      </c>
    </row>
    <row r="33" spans="1:16">
      <c r="A33" s="6" t="s">
        <v>30</v>
      </c>
      <c r="B33" s="10">
        <f>B34+B35</f>
        <v>32589.7</v>
      </c>
      <c r="C33" s="11">
        <f>C34+C35</f>
        <v>8574.8399999999983</v>
      </c>
      <c r="D33" s="11">
        <f>D34+D35</f>
        <v>942.24</v>
      </c>
      <c r="E33" s="10">
        <f>E34+E35</f>
        <v>6317.3</v>
      </c>
      <c r="F33" s="10">
        <f t="shared" ref="F33:K33" si="19">F34+F35</f>
        <v>1168.6500000000001</v>
      </c>
      <c r="G33" s="12">
        <f t="shared" si="19"/>
        <v>39.29</v>
      </c>
      <c r="H33" s="12">
        <f t="shared" si="19"/>
        <v>126.8</v>
      </c>
      <c r="I33" s="12">
        <f t="shared" si="19"/>
        <v>0</v>
      </c>
      <c r="J33" s="12">
        <f t="shared" si="19"/>
        <v>33899.11</v>
      </c>
      <c r="K33" s="12">
        <f t="shared" si="19"/>
        <v>906.09</v>
      </c>
      <c r="L33" s="13">
        <f>B33+C33+D33+E33+F33+G33+H33+I33+J33+K33</f>
        <v>84564.02</v>
      </c>
      <c r="M33" s="8">
        <f>M34+M35</f>
        <v>10655065.969999999</v>
      </c>
      <c r="N33" s="1">
        <f>N34+N35</f>
        <v>10655066.52</v>
      </c>
      <c r="O33">
        <v>126</v>
      </c>
      <c r="P33" s="25">
        <f>M33-N33</f>
        <v>-0.55000000074505806</v>
      </c>
    </row>
    <row r="34" spans="1:16">
      <c r="A34" s="14" t="s">
        <v>17</v>
      </c>
      <c r="B34" s="4">
        <v>32589.7</v>
      </c>
      <c r="C34" s="3">
        <v>99.21</v>
      </c>
      <c r="D34" s="3">
        <v>942.24</v>
      </c>
      <c r="E34" s="4"/>
      <c r="F34" s="4"/>
      <c r="G34" s="5">
        <v>39.29</v>
      </c>
      <c r="H34" s="5">
        <v>126.8</v>
      </c>
      <c r="I34" s="3"/>
      <c r="J34" s="3">
        <v>15319.05</v>
      </c>
      <c r="K34" s="3"/>
      <c r="L34" s="15">
        <f t="shared" ref="L34:L35" si="20">B34+C34+D34+E34+F34+G34+H34+I34+J34+K34</f>
        <v>49116.290000000008</v>
      </c>
      <c r="M34" s="8">
        <f>4209732+1978920</f>
        <v>6188652</v>
      </c>
      <c r="N34" s="1">
        <f>L34*O33</f>
        <v>6188652.540000001</v>
      </c>
    </row>
    <row r="35" spans="1:16" ht="15.75" thickBot="1">
      <c r="A35" s="16" t="s">
        <v>18</v>
      </c>
      <c r="B35" s="17"/>
      <c r="C35" s="18">
        <v>8475.6299999999992</v>
      </c>
      <c r="D35" s="18"/>
      <c r="E35" s="17">
        <v>6317.3</v>
      </c>
      <c r="F35" s="17">
        <v>1168.6500000000001</v>
      </c>
      <c r="G35" s="19"/>
      <c r="H35" s="18"/>
      <c r="I35" s="18"/>
      <c r="J35" s="18">
        <v>18580.060000000001</v>
      </c>
      <c r="K35" s="18">
        <v>906.09</v>
      </c>
      <c r="L35" s="20">
        <f t="shared" si="20"/>
        <v>35447.729999999996</v>
      </c>
      <c r="M35" s="8">
        <f>4466413.97</f>
        <v>4466413.97</v>
      </c>
      <c r="N35" s="1">
        <f>L35*O33</f>
        <v>4466413.9799999995</v>
      </c>
    </row>
    <row r="36" spans="1:16" ht="15.75" thickBot="1"/>
    <row r="37" spans="1:16">
      <c r="A37" s="6" t="s">
        <v>31</v>
      </c>
      <c r="B37" s="10">
        <f>B38+B39</f>
        <v>60235.21</v>
      </c>
      <c r="C37" s="11">
        <f>C38+C39</f>
        <v>8095.4299999999994</v>
      </c>
      <c r="D37" s="11">
        <f>D38+D39</f>
        <v>994.75</v>
      </c>
      <c r="E37" s="10">
        <f>E38+E39</f>
        <v>7287.16</v>
      </c>
      <c r="F37" s="10">
        <f t="shared" ref="F37:K37" si="21">F38+F39</f>
        <v>748.92</v>
      </c>
      <c r="G37" s="12">
        <f t="shared" si="21"/>
        <v>91.26</v>
      </c>
      <c r="H37" s="12">
        <f t="shared" si="21"/>
        <v>104.1</v>
      </c>
      <c r="I37" s="12">
        <f t="shared" si="21"/>
        <v>0</v>
      </c>
      <c r="J37" s="12">
        <f t="shared" si="21"/>
        <v>29529.55</v>
      </c>
      <c r="K37" s="12">
        <f t="shared" si="21"/>
        <v>1030.72</v>
      </c>
      <c r="L37" s="13">
        <f>B37+C37+D37+E37+F37+G37+H37+I37+J37+K37</f>
        <v>108117.1</v>
      </c>
      <c r="M37" s="8">
        <f>M38+M39</f>
        <v>22272121</v>
      </c>
      <c r="N37" s="1">
        <f>N38+N39</f>
        <v>22272122.600000001</v>
      </c>
      <c r="O37">
        <v>206</v>
      </c>
      <c r="P37" s="25">
        <f>M37-N37</f>
        <v>-1.6000000014901161</v>
      </c>
    </row>
    <row r="38" spans="1:16">
      <c r="A38" s="14" t="s">
        <v>17</v>
      </c>
      <c r="B38" s="4">
        <v>60235.21</v>
      </c>
      <c r="C38" s="3">
        <v>110.48</v>
      </c>
      <c r="D38" s="3">
        <v>994.75</v>
      </c>
      <c r="E38" s="4"/>
      <c r="F38" s="4"/>
      <c r="G38" s="5">
        <v>91.26</v>
      </c>
      <c r="H38" s="3">
        <v>104.1</v>
      </c>
      <c r="I38" s="3"/>
      <c r="J38" s="3">
        <v>14886.65</v>
      </c>
      <c r="K38" s="3">
        <v>45.66</v>
      </c>
      <c r="L38" s="15">
        <f t="shared" ref="L38:L39" si="22">B38+C38+D38+E38+F38+G38+H38+I38+J38+K38</f>
        <v>76468.11</v>
      </c>
      <c r="M38" s="8">
        <f>12592289+3160140</f>
        <v>15752429</v>
      </c>
      <c r="N38" s="1">
        <f>L38*O37</f>
        <v>15752430.66</v>
      </c>
    </row>
    <row r="39" spans="1:16" ht="15.75" thickBot="1">
      <c r="A39" s="16" t="s">
        <v>18</v>
      </c>
      <c r="B39" s="17"/>
      <c r="C39" s="18">
        <v>7984.95</v>
      </c>
      <c r="D39" s="18"/>
      <c r="E39" s="17">
        <v>7287.16</v>
      </c>
      <c r="F39" s="17">
        <v>748.92</v>
      </c>
      <c r="G39" s="19"/>
      <c r="H39" s="18"/>
      <c r="I39" s="18"/>
      <c r="J39" s="18">
        <v>14642.9</v>
      </c>
      <c r="K39" s="18">
        <v>985.06</v>
      </c>
      <c r="L39" s="20">
        <f t="shared" si="22"/>
        <v>31648.99</v>
      </c>
      <c r="M39" s="8">
        <f>6519692</f>
        <v>6519692</v>
      </c>
      <c r="N39" s="1">
        <f>L39*O37</f>
        <v>6519691.9400000004</v>
      </c>
    </row>
    <row r="40" spans="1:16">
      <c r="A40" s="6" t="s">
        <v>32</v>
      </c>
      <c r="B40" s="10">
        <f>B41+B42</f>
        <v>39448.97</v>
      </c>
      <c r="C40" s="11">
        <f>C41+C42</f>
        <v>8350.94</v>
      </c>
      <c r="D40" s="11">
        <f>D41+D42</f>
        <v>636.41999999999996</v>
      </c>
      <c r="E40" s="10">
        <f>E41+E42</f>
        <v>8697.0400000000009</v>
      </c>
      <c r="F40" s="10">
        <f t="shared" ref="F40:K40" si="23">F41+F42</f>
        <v>736.46</v>
      </c>
      <c r="G40" s="12">
        <f t="shared" si="23"/>
        <v>82.91</v>
      </c>
      <c r="H40" s="12">
        <f t="shared" si="23"/>
        <v>126.85</v>
      </c>
      <c r="I40" s="12">
        <f t="shared" si="23"/>
        <v>0</v>
      </c>
      <c r="J40" s="12">
        <f t="shared" si="23"/>
        <v>28429.360000000001</v>
      </c>
      <c r="K40" s="12">
        <f t="shared" si="23"/>
        <v>807.78</v>
      </c>
      <c r="L40" s="13">
        <f>B40+C40+D40+E40+F40+G40+H40+I40+J40+K40</f>
        <v>87316.73000000001</v>
      </c>
      <c r="M40" s="8">
        <f>M41+M42</f>
        <v>24012100</v>
      </c>
      <c r="N40" s="1">
        <f>N41+N42</f>
        <v>24012100.75</v>
      </c>
      <c r="O40">
        <v>275</v>
      </c>
      <c r="P40" s="25">
        <f>M40-N40</f>
        <v>-0.75</v>
      </c>
    </row>
    <row r="41" spans="1:16">
      <c r="A41" s="14" t="s">
        <v>17</v>
      </c>
      <c r="B41" s="4">
        <v>39448.97</v>
      </c>
      <c r="C41" s="3">
        <v>145.44999999999999</v>
      </c>
      <c r="D41" s="3">
        <v>636.41999999999996</v>
      </c>
      <c r="E41" s="4"/>
      <c r="F41" s="4"/>
      <c r="G41" s="5">
        <v>82.91</v>
      </c>
      <c r="H41" s="5">
        <v>126.85</v>
      </c>
      <c r="I41" s="3"/>
      <c r="J41" s="3">
        <v>14968.84</v>
      </c>
      <c r="K41" s="3"/>
      <c r="L41" s="15">
        <f t="shared" ref="L41:L42" si="24">B41+C41+D41+E41+F41+G41+H41+I41+J41+K41</f>
        <v>55409.440000000002</v>
      </c>
      <c r="M41" s="8">
        <f>11047301+4190294</f>
        <v>15237595</v>
      </c>
      <c r="N41" s="1">
        <f>L41*O40</f>
        <v>15237596</v>
      </c>
    </row>
    <row r="42" spans="1:16" ht="15.75" thickBot="1">
      <c r="A42" s="16" t="s">
        <v>18</v>
      </c>
      <c r="B42" s="17"/>
      <c r="C42" s="18">
        <v>8205.49</v>
      </c>
      <c r="D42" s="18"/>
      <c r="E42" s="17">
        <v>8697.0400000000009</v>
      </c>
      <c r="F42" s="17">
        <v>736.46</v>
      </c>
      <c r="G42" s="19"/>
      <c r="H42" s="18"/>
      <c r="I42" s="18"/>
      <c r="J42" s="18">
        <v>13460.52</v>
      </c>
      <c r="K42" s="18">
        <v>807.78</v>
      </c>
      <c r="L42" s="20">
        <f t="shared" si="24"/>
        <v>31907.289999999997</v>
      </c>
      <c r="M42" s="8">
        <f>8774505</f>
        <v>8774505</v>
      </c>
      <c r="N42" s="1">
        <f>L42*O40</f>
        <v>8774504.75</v>
      </c>
    </row>
    <row r="43" spans="1:16" ht="15.75" thickBot="1"/>
    <row r="44" spans="1:16">
      <c r="A44" s="6" t="s">
        <v>33</v>
      </c>
      <c r="B44" s="10">
        <f>B45+B46</f>
        <v>33200.14</v>
      </c>
      <c r="C44" s="11">
        <f>C45+C46</f>
        <v>8145.16</v>
      </c>
      <c r="D44" s="11">
        <f>D45+D46</f>
        <v>808.72</v>
      </c>
      <c r="E44" s="10">
        <f>E45+E46</f>
        <v>7668.85</v>
      </c>
      <c r="F44" s="10">
        <f t="shared" ref="F44:K44" si="25">F45+F46</f>
        <v>887.86</v>
      </c>
      <c r="G44" s="12">
        <f t="shared" si="25"/>
        <v>83.13</v>
      </c>
      <c r="H44" s="12">
        <f t="shared" si="25"/>
        <v>114.6</v>
      </c>
      <c r="I44" s="12">
        <f t="shared" si="25"/>
        <v>0</v>
      </c>
      <c r="J44" s="12">
        <f t="shared" si="25"/>
        <v>29608.93</v>
      </c>
      <c r="K44" s="12">
        <f t="shared" si="25"/>
        <v>941.36</v>
      </c>
      <c r="L44" s="13">
        <f>B44+C44+D44+E44+F44+G44+H44+I44+J44+K44</f>
        <v>81458.75</v>
      </c>
      <c r="M44" s="8">
        <f>M45+M46</f>
        <v>28266192</v>
      </c>
      <c r="N44" s="1">
        <f>N45+N46</f>
        <v>28266186.25</v>
      </c>
      <c r="O44">
        <v>347</v>
      </c>
      <c r="P44" s="25">
        <f>M44-N44</f>
        <v>5.75</v>
      </c>
    </row>
    <row r="45" spans="1:16">
      <c r="A45" s="14" t="s">
        <v>17</v>
      </c>
      <c r="B45" s="4">
        <v>33200.14</v>
      </c>
      <c r="C45" s="3">
        <v>57.84</v>
      </c>
      <c r="D45" s="3">
        <v>808.72</v>
      </c>
      <c r="E45" s="4"/>
      <c r="F45" s="4"/>
      <c r="G45" s="5">
        <v>83.13</v>
      </c>
      <c r="H45" s="3">
        <v>114.6</v>
      </c>
      <c r="I45" s="3"/>
      <c r="J45" s="3">
        <v>14983.54</v>
      </c>
      <c r="K45" s="3">
        <v>9.94</v>
      </c>
      <c r="L45" s="15">
        <f t="shared" ref="L45:L46" si="26">B45+C45+D45+E45+F45+G45+H45+I45+J45+K45</f>
        <v>49257.909999999996</v>
      </c>
      <c r="M45" s="8">
        <f>11769358+5323140</f>
        <v>17092498</v>
      </c>
      <c r="N45" s="1">
        <f>L45*O44</f>
        <v>17092494.77</v>
      </c>
    </row>
    <row r="46" spans="1:16" ht="15.75" thickBot="1">
      <c r="A46" s="16" t="s">
        <v>18</v>
      </c>
      <c r="B46" s="17"/>
      <c r="C46" s="18">
        <v>8087.32</v>
      </c>
      <c r="D46" s="18"/>
      <c r="E46" s="17">
        <v>7668.85</v>
      </c>
      <c r="F46" s="17">
        <v>887.86</v>
      </c>
      <c r="G46" s="19"/>
      <c r="H46" s="18"/>
      <c r="I46" s="18"/>
      <c r="J46" s="18">
        <v>14625.39</v>
      </c>
      <c r="K46" s="18">
        <v>931.42</v>
      </c>
      <c r="L46" s="20">
        <f t="shared" si="26"/>
        <v>32200.839999999997</v>
      </c>
      <c r="M46" s="8">
        <v>11173694</v>
      </c>
      <c r="N46" s="1">
        <f>L46*O44</f>
        <v>11173691.479999999</v>
      </c>
    </row>
    <row r="47" spans="1:16">
      <c r="A47" s="6" t="s">
        <v>34</v>
      </c>
      <c r="B47" s="10">
        <f>B48+B49</f>
        <v>37411.360000000001</v>
      </c>
      <c r="C47" s="11">
        <f>C48+C49</f>
        <v>8074.84</v>
      </c>
      <c r="D47" s="11">
        <f>D48+D49</f>
        <v>622.9</v>
      </c>
      <c r="E47" s="10">
        <f>E48+E49</f>
        <v>6229.33</v>
      </c>
      <c r="F47" s="10">
        <f t="shared" ref="F47:K47" si="27">F48+F49</f>
        <v>1248.71</v>
      </c>
      <c r="G47" s="12">
        <f t="shared" si="27"/>
        <v>60.14</v>
      </c>
      <c r="H47" s="12">
        <f t="shared" si="27"/>
        <v>125.41</v>
      </c>
      <c r="I47" s="12">
        <f t="shared" si="27"/>
        <v>0</v>
      </c>
      <c r="J47" s="12">
        <f t="shared" si="27"/>
        <v>30652.309999999998</v>
      </c>
      <c r="K47" s="12">
        <f t="shared" si="27"/>
        <v>901.46</v>
      </c>
      <c r="L47" s="13">
        <f>B47+C47+D47+E47+F47+G47+H47+I47+J47+K47</f>
        <v>85326.46</v>
      </c>
      <c r="M47" s="8">
        <f>M48+M49</f>
        <v>37031678</v>
      </c>
      <c r="N47" s="1">
        <f>N48+N49</f>
        <v>37031683.640000001</v>
      </c>
      <c r="O47">
        <v>434</v>
      </c>
      <c r="P47" s="25">
        <f>M47-N47</f>
        <v>-5.6400000005960464</v>
      </c>
    </row>
    <row r="48" spans="1:16">
      <c r="A48" s="14" t="s">
        <v>17</v>
      </c>
      <c r="B48" s="4">
        <v>37411.360000000001</v>
      </c>
      <c r="C48" s="3">
        <v>286.43</v>
      </c>
      <c r="D48" s="3">
        <v>622.9</v>
      </c>
      <c r="E48" s="4"/>
      <c r="F48" s="4"/>
      <c r="G48" s="5">
        <v>60.14</v>
      </c>
      <c r="H48" s="5">
        <v>125.41</v>
      </c>
      <c r="I48" s="3"/>
      <c r="J48" s="3">
        <v>14907.32</v>
      </c>
      <c r="K48" s="3"/>
      <c r="L48" s="15">
        <f t="shared" ref="L48:L49" si="28">B48+C48+D48+E48+F48+G48+H48+I48+J48+K48</f>
        <v>53413.560000000005</v>
      </c>
      <c r="M48" s="8">
        <f>16585072+6596410</f>
        <v>23181482</v>
      </c>
      <c r="N48" s="1">
        <f>L48*O47</f>
        <v>23181485.040000003</v>
      </c>
    </row>
    <row r="49" spans="1:14" ht="15.75" thickBot="1">
      <c r="A49" s="16" t="s">
        <v>18</v>
      </c>
      <c r="B49" s="17"/>
      <c r="C49" s="18">
        <v>7788.41</v>
      </c>
      <c r="D49" s="18"/>
      <c r="E49" s="17">
        <v>6229.33</v>
      </c>
      <c r="F49" s="17">
        <v>1248.71</v>
      </c>
      <c r="G49" s="19"/>
      <c r="H49" s="18"/>
      <c r="I49" s="18"/>
      <c r="J49" s="18">
        <v>15744.99</v>
      </c>
      <c r="K49" s="18">
        <v>901.46</v>
      </c>
      <c r="L49" s="27">
        <f t="shared" si="28"/>
        <v>31912.9</v>
      </c>
      <c r="M49" s="8">
        <v>13850196</v>
      </c>
      <c r="N49" s="1">
        <f>L49*O47</f>
        <v>13850198.600000001</v>
      </c>
    </row>
  </sheetData>
  <mergeCells count="4">
    <mergeCell ref="B6:D6"/>
    <mergeCell ref="A6:A7"/>
    <mergeCell ref="L6:L7"/>
    <mergeCell ref="E6:K6"/>
  </mergeCells>
  <pageMargins left="0.31496062992125984" right="0" top="0.74803149606299213" bottom="0.74803149606299213" header="0.31496062992125984" footer="0.31496062992125984"/>
  <pageSetup paperSize="9" scale="95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2:L21"/>
  <sheetViews>
    <sheetView workbookViewId="0">
      <selection activeCell="B6" sqref="B6:D6"/>
    </sheetView>
  </sheetViews>
  <sheetFormatPr defaultRowHeight="15"/>
  <cols>
    <col min="1" max="1" width="16" style="1" customWidth="1"/>
    <col min="2" max="2" width="9.85546875" style="1" customWidth="1"/>
    <col min="3" max="3" width="18.5703125" style="1" customWidth="1"/>
    <col min="4" max="4" width="14" style="1" customWidth="1"/>
    <col min="5" max="5" width="9.140625" style="1"/>
    <col min="6" max="6" width="12" style="1" customWidth="1"/>
    <col min="7" max="7" width="14.85546875" style="1" customWidth="1"/>
    <col min="8" max="10" width="9.140625" style="1"/>
    <col min="11" max="11" width="11.28515625" style="1" customWidth="1"/>
    <col min="12" max="12" width="13.42578125" style="1" customWidth="1"/>
  </cols>
  <sheetData>
    <row r="2" spans="1:12">
      <c r="A2" s="1" t="s">
        <v>0</v>
      </c>
    </row>
    <row r="4" spans="1:12" ht="18.75">
      <c r="A4" s="21" t="s">
        <v>22</v>
      </c>
      <c r="D4" s="22" t="s">
        <v>17</v>
      </c>
    </row>
    <row r="6" spans="1:12" ht="51" customHeight="1">
      <c r="A6" s="31" t="s">
        <v>3</v>
      </c>
      <c r="B6" s="30" t="s">
        <v>1</v>
      </c>
      <c r="C6" s="30"/>
      <c r="D6" s="30"/>
      <c r="E6" s="31" t="s">
        <v>6</v>
      </c>
      <c r="F6" s="31"/>
      <c r="G6" s="31"/>
      <c r="H6" s="31"/>
      <c r="I6" s="31"/>
      <c r="J6" s="31"/>
      <c r="K6" s="31"/>
      <c r="L6" s="31" t="s">
        <v>14</v>
      </c>
    </row>
    <row r="7" spans="1:12" ht="78.75" customHeight="1">
      <c r="A7" s="31"/>
      <c r="B7" s="2" t="s">
        <v>2</v>
      </c>
      <c r="C7" s="2" t="s">
        <v>4</v>
      </c>
      <c r="D7" s="2" t="s">
        <v>5</v>
      </c>
      <c r="E7" s="2" t="s">
        <v>7</v>
      </c>
      <c r="F7" s="2" t="s">
        <v>8</v>
      </c>
      <c r="G7" s="2" t="s">
        <v>9</v>
      </c>
      <c r="H7" s="2" t="s">
        <v>10</v>
      </c>
      <c r="I7" s="2" t="s">
        <v>11</v>
      </c>
      <c r="J7" s="2" t="s">
        <v>12</v>
      </c>
      <c r="K7" s="2" t="s">
        <v>13</v>
      </c>
      <c r="L7" s="31"/>
    </row>
    <row r="8" spans="1:12" ht="10.5" customHeight="1">
      <c r="A8" s="9">
        <v>1</v>
      </c>
      <c r="B8" s="9">
        <v>2</v>
      </c>
      <c r="C8" s="9">
        <v>3</v>
      </c>
      <c r="D8" s="9">
        <v>4</v>
      </c>
      <c r="E8" s="9">
        <v>5</v>
      </c>
      <c r="F8" s="9">
        <v>6</v>
      </c>
      <c r="G8" s="9">
        <v>7</v>
      </c>
      <c r="H8" s="9">
        <v>8</v>
      </c>
      <c r="I8" s="9">
        <v>9</v>
      </c>
      <c r="J8" s="9">
        <v>10</v>
      </c>
      <c r="K8" s="9">
        <v>11</v>
      </c>
      <c r="L8" s="9">
        <v>12</v>
      </c>
    </row>
    <row r="9" spans="1:12">
      <c r="A9" s="23" t="s">
        <v>16</v>
      </c>
      <c r="B9" s="24">
        <v>0</v>
      </c>
      <c r="C9" s="5">
        <v>13632</v>
      </c>
      <c r="D9" s="5">
        <v>0</v>
      </c>
      <c r="E9" s="24">
        <v>0</v>
      </c>
      <c r="F9" s="24">
        <v>0</v>
      </c>
      <c r="G9" s="5">
        <v>0</v>
      </c>
      <c r="H9" s="5">
        <v>0</v>
      </c>
      <c r="I9" s="5">
        <v>0</v>
      </c>
      <c r="J9" s="5">
        <v>0</v>
      </c>
      <c r="K9" s="5">
        <v>0</v>
      </c>
      <c r="L9" s="4">
        <f>B9+C9+D9+E9+F9+G9+H9+I9+J9+K9</f>
        <v>13632</v>
      </c>
    </row>
    <row r="10" spans="1:12">
      <c r="A10" s="23" t="s">
        <v>23</v>
      </c>
      <c r="B10" s="24">
        <v>0</v>
      </c>
      <c r="C10" s="5">
        <v>13632</v>
      </c>
      <c r="D10" s="5">
        <v>0</v>
      </c>
      <c r="E10" s="24">
        <v>0</v>
      </c>
      <c r="F10" s="24">
        <v>0</v>
      </c>
      <c r="G10" s="5">
        <v>0</v>
      </c>
      <c r="H10" s="5">
        <v>0</v>
      </c>
      <c r="I10" s="5">
        <v>0</v>
      </c>
      <c r="J10" s="5">
        <v>0</v>
      </c>
      <c r="K10" s="5">
        <v>0</v>
      </c>
      <c r="L10" s="4">
        <f t="shared" ref="L10:L21" si="0">B10+C10+D10+E10+F10+G10+H10+I10+J10+K10</f>
        <v>13632</v>
      </c>
    </row>
    <row r="11" spans="1:12">
      <c r="A11" s="23" t="s">
        <v>24</v>
      </c>
      <c r="B11" s="24">
        <v>0</v>
      </c>
      <c r="C11" s="5">
        <v>13632</v>
      </c>
      <c r="D11" s="5">
        <v>0</v>
      </c>
      <c r="E11" s="24">
        <v>0</v>
      </c>
      <c r="F11" s="24">
        <v>0</v>
      </c>
      <c r="G11" s="5">
        <v>0</v>
      </c>
      <c r="H11" s="5">
        <v>0</v>
      </c>
      <c r="I11" s="5">
        <v>0</v>
      </c>
      <c r="J11" s="5">
        <v>0</v>
      </c>
      <c r="K11" s="5">
        <v>0</v>
      </c>
      <c r="L11" s="4">
        <f t="shared" si="0"/>
        <v>13632</v>
      </c>
    </row>
    <row r="12" spans="1:12">
      <c r="A12" s="23" t="s">
        <v>25</v>
      </c>
      <c r="B12" s="24">
        <v>0</v>
      </c>
      <c r="C12" s="5">
        <v>13632</v>
      </c>
      <c r="D12" s="5">
        <v>0</v>
      </c>
      <c r="E12" s="24">
        <v>0</v>
      </c>
      <c r="F12" s="24">
        <v>0</v>
      </c>
      <c r="G12" s="5">
        <v>0</v>
      </c>
      <c r="H12" s="5">
        <v>0</v>
      </c>
      <c r="I12" s="5">
        <v>0</v>
      </c>
      <c r="J12" s="5">
        <v>0</v>
      </c>
      <c r="K12" s="5">
        <v>0</v>
      </c>
      <c r="L12" s="4">
        <f t="shared" si="0"/>
        <v>13632</v>
      </c>
    </row>
    <row r="13" spans="1:12">
      <c r="A13" s="23" t="s">
        <v>26</v>
      </c>
      <c r="B13" s="24">
        <v>0</v>
      </c>
      <c r="C13" s="5">
        <v>13632</v>
      </c>
      <c r="D13" s="5">
        <v>0</v>
      </c>
      <c r="E13" s="24">
        <v>0</v>
      </c>
      <c r="F13" s="24">
        <v>0</v>
      </c>
      <c r="G13" s="5">
        <v>0</v>
      </c>
      <c r="H13" s="5">
        <v>0</v>
      </c>
      <c r="I13" s="5">
        <v>0</v>
      </c>
      <c r="J13" s="5">
        <v>0</v>
      </c>
      <c r="K13" s="5">
        <v>0</v>
      </c>
      <c r="L13" s="4">
        <f t="shared" si="0"/>
        <v>13632</v>
      </c>
    </row>
    <row r="14" spans="1:12">
      <c r="A14" s="23" t="s">
        <v>27</v>
      </c>
      <c r="B14" s="24">
        <v>0</v>
      </c>
      <c r="C14" s="5">
        <v>13632</v>
      </c>
      <c r="D14" s="5">
        <v>0</v>
      </c>
      <c r="E14" s="24">
        <v>0</v>
      </c>
      <c r="F14" s="24">
        <v>0</v>
      </c>
      <c r="G14" s="5">
        <v>0</v>
      </c>
      <c r="H14" s="5">
        <v>0</v>
      </c>
      <c r="I14" s="5">
        <v>0</v>
      </c>
      <c r="J14" s="5">
        <v>0</v>
      </c>
      <c r="K14" s="5">
        <v>0</v>
      </c>
      <c r="L14" s="4">
        <f t="shared" si="0"/>
        <v>13632</v>
      </c>
    </row>
    <row r="15" spans="1:12">
      <c r="A15" s="23" t="s">
        <v>28</v>
      </c>
      <c r="B15" s="24">
        <v>0</v>
      </c>
      <c r="C15" s="5">
        <v>13632</v>
      </c>
      <c r="D15" s="5">
        <v>0</v>
      </c>
      <c r="E15" s="24">
        <v>0</v>
      </c>
      <c r="F15" s="24">
        <v>0</v>
      </c>
      <c r="G15" s="5">
        <v>0</v>
      </c>
      <c r="H15" s="5">
        <v>0</v>
      </c>
      <c r="I15" s="5">
        <v>0</v>
      </c>
      <c r="J15" s="5">
        <v>0</v>
      </c>
      <c r="K15" s="5">
        <v>0</v>
      </c>
      <c r="L15" s="4">
        <f t="shared" si="0"/>
        <v>13632</v>
      </c>
    </row>
    <row r="16" spans="1:12">
      <c r="A16" s="23" t="s">
        <v>29</v>
      </c>
      <c r="B16" s="24">
        <v>0</v>
      </c>
      <c r="C16" s="5">
        <v>13632</v>
      </c>
      <c r="D16" s="5">
        <v>0</v>
      </c>
      <c r="E16" s="24">
        <v>0</v>
      </c>
      <c r="F16" s="24">
        <v>0</v>
      </c>
      <c r="G16" s="5">
        <v>0</v>
      </c>
      <c r="H16" s="5">
        <v>0</v>
      </c>
      <c r="I16" s="5">
        <v>0</v>
      </c>
      <c r="J16" s="5">
        <v>0</v>
      </c>
      <c r="K16" s="5">
        <v>0</v>
      </c>
      <c r="L16" s="4">
        <f t="shared" si="0"/>
        <v>13632</v>
      </c>
    </row>
    <row r="17" spans="1:12">
      <c r="A17" s="23" t="s">
        <v>30</v>
      </c>
      <c r="B17" s="24">
        <v>0</v>
      </c>
      <c r="C17" s="5">
        <v>13632</v>
      </c>
      <c r="D17" s="5">
        <v>0</v>
      </c>
      <c r="E17" s="24">
        <v>0</v>
      </c>
      <c r="F17" s="24">
        <v>0</v>
      </c>
      <c r="G17" s="5">
        <v>0</v>
      </c>
      <c r="H17" s="5">
        <v>0</v>
      </c>
      <c r="I17" s="5">
        <v>0</v>
      </c>
      <c r="J17" s="5">
        <v>0</v>
      </c>
      <c r="K17" s="5">
        <v>0</v>
      </c>
      <c r="L17" s="4">
        <f t="shared" si="0"/>
        <v>13632</v>
      </c>
    </row>
    <row r="18" spans="1:12">
      <c r="A18" s="23" t="s">
        <v>31</v>
      </c>
      <c r="B18" s="24">
        <v>0</v>
      </c>
      <c r="C18" s="5">
        <v>13632</v>
      </c>
      <c r="D18" s="5">
        <v>0</v>
      </c>
      <c r="E18" s="24">
        <v>0</v>
      </c>
      <c r="F18" s="24">
        <v>0</v>
      </c>
      <c r="G18" s="5">
        <v>0</v>
      </c>
      <c r="H18" s="5">
        <v>0</v>
      </c>
      <c r="I18" s="5">
        <v>0</v>
      </c>
      <c r="J18" s="5">
        <v>0</v>
      </c>
      <c r="K18" s="5">
        <v>0</v>
      </c>
      <c r="L18" s="4">
        <f t="shared" si="0"/>
        <v>13632</v>
      </c>
    </row>
    <row r="19" spans="1:12">
      <c r="A19" s="23" t="s">
        <v>32</v>
      </c>
      <c r="B19" s="24">
        <v>0</v>
      </c>
      <c r="C19" s="5">
        <v>13632</v>
      </c>
      <c r="D19" s="5">
        <v>0</v>
      </c>
      <c r="E19" s="24">
        <v>0</v>
      </c>
      <c r="F19" s="24">
        <v>0</v>
      </c>
      <c r="G19" s="5">
        <v>0</v>
      </c>
      <c r="H19" s="5">
        <v>0</v>
      </c>
      <c r="I19" s="5">
        <v>0</v>
      </c>
      <c r="J19" s="5">
        <v>0</v>
      </c>
      <c r="K19" s="5">
        <v>0</v>
      </c>
      <c r="L19" s="4">
        <f t="shared" si="0"/>
        <v>13632</v>
      </c>
    </row>
    <row r="20" spans="1:12">
      <c r="A20" s="23" t="s">
        <v>33</v>
      </c>
      <c r="B20" s="24">
        <v>0</v>
      </c>
      <c r="C20" s="5">
        <v>13632</v>
      </c>
      <c r="D20" s="5">
        <v>0</v>
      </c>
      <c r="E20" s="24">
        <v>0</v>
      </c>
      <c r="F20" s="24">
        <v>0</v>
      </c>
      <c r="G20" s="5">
        <v>0</v>
      </c>
      <c r="H20" s="5">
        <v>0</v>
      </c>
      <c r="I20" s="5">
        <v>0</v>
      </c>
      <c r="J20" s="5">
        <v>0</v>
      </c>
      <c r="K20" s="5">
        <v>0</v>
      </c>
      <c r="L20" s="4">
        <f t="shared" si="0"/>
        <v>13632</v>
      </c>
    </row>
    <row r="21" spans="1:12">
      <c r="A21" s="23" t="s">
        <v>34</v>
      </c>
      <c r="B21" s="24">
        <v>0</v>
      </c>
      <c r="C21" s="5">
        <v>13632</v>
      </c>
      <c r="D21" s="5">
        <v>0</v>
      </c>
      <c r="E21" s="24">
        <v>0</v>
      </c>
      <c r="F21" s="24">
        <v>0</v>
      </c>
      <c r="G21" s="5">
        <v>0</v>
      </c>
      <c r="H21" s="5">
        <v>0</v>
      </c>
      <c r="I21" s="5">
        <v>0</v>
      </c>
      <c r="J21" s="5">
        <v>0</v>
      </c>
      <c r="K21" s="5">
        <v>0</v>
      </c>
      <c r="L21" s="4">
        <f t="shared" si="0"/>
        <v>13632</v>
      </c>
    </row>
  </sheetData>
  <mergeCells count="4">
    <mergeCell ref="A6:A7"/>
    <mergeCell ref="B6:D6"/>
    <mergeCell ref="E6:K6"/>
    <mergeCell ref="L6:L7"/>
  </mergeCells>
  <pageMargins left="0.31496062992125984" right="0" top="0.74803149606299213" bottom="0.74803149606299213" header="0.31496062992125984" footer="0.31496062992125984"/>
  <pageSetup paperSize="9" scale="95" orientation="landscape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J17"/>
  <sheetViews>
    <sheetView tabSelected="1" workbookViewId="0">
      <selection activeCell="L6" sqref="L6"/>
    </sheetView>
  </sheetViews>
  <sheetFormatPr defaultRowHeight="15"/>
  <cols>
    <col min="1" max="1" width="18.28515625" customWidth="1"/>
    <col min="2" max="2" width="10.140625" customWidth="1"/>
    <col min="3" max="3" width="14" customWidth="1"/>
    <col min="4" max="5" width="13.140625" customWidth="1"/>
    <col min="6" max="6" width="15.7109375" customWidth="1"/>
    <col min="7" max="7" width="16.7109375" customWidth="1"/>
    <col min="8" max="8" width="15.85546875" customWidth="1"/>
    <col min="9" max="9" width="12.85546875" customWidth="1"/>
  </cols>
  <sheetData>
    <row r="1" spans="1:10">
      <c r="A1" s="43" t="s">
        <v>43</v>
      </c>
      <c r="B1" s="44" t="s">
        <v>37</v>
      </c>
      <c r="C1" s="44" t="s">
        <v>35</v>
      </c>
      <c r="D1" s="44"/>
      <c r="E1" s="44"/>
      <c r="F1" s="45" t="s">
        <v>42</v>
      </c>
      <c r="G1" s="44" t="s">
        <v>38</v>
      </c>
      <c r="H1" s="44"/>
      <c r="I1" s="46" t="s">
        <v>40</v>
      </c>
    </row>
    <row r="2" spans="1:10" ht="45.75" customHeight="1" thickBot="1">
      <c r="A2" s="47"/>
      <c r="B2" s="48"/>
      <c r="C2" s="49" t="s">
        <v>17</v>
      </c>
      <c r="D2" s="49" t="s">
        <v>36</v>
      </c>
      <c r="E2" s="49" t="s">
        <v>41</v>
      </c>
      <c r="F2" s="50"/>
      <c r="G2" s="51" t="s">
        <v>15</v>
      </c>
      <c r="H2" s="51" t="s">
        <v>39</v>
      </c>
      <c r="I2" s="52"/>
      <c r="J2" s="29"/>
    </row>
    <row r="3" spans="1:10">
      <c r="A3" s="40" t="s">
        <v>16</v>
      </c>
      <c r="B3" s="40">
        <v>122</v>
      </c>
      <c r="C3" s="40">
        <f>дошк.обр!L10</f>
        <v>49330.909999999996</v>
      </c>
      <c r="D3" s="40">
        <f>дошк.обр!L11</f>
        <v>36144.54</v>
      </c>
      <c r="E3" s="40">
        <f>D3+C3</f>
        <v>85475.45</v>
      </c>
      <c r="F3" s="40">
        <v>76971.289999999994</v>
      </c>
      <c r="G3" s="41">
        <f>F3*B3</f>
        <v>9390497.379999999</v>
      </c>
      <c r="H3" s="41">
        <f>10441635-13632</f>
        <v>10428003</v>
      </c>
      <c r="I3" s="42">
        <f>H3/G3</f>
        <v>1.110484629090009</v>
      </c>
      <c r="J3" s="54" t="s">
        <v>45</v>
      </c>
    </row>
    <row r="4" spans="1:10">
      <c r="A4" s="23" t="s">
        <v>23</v>
      </c>
      <c r="B4" s="23">
        <v>240</v>
      </c>
      <c r="C4" s="23">
        <f>дошк.обр!L13</f>
        <v>51457.53</v>
      </c>
      <c r="D4" s="23">
        <f>дошк.обр!L14</f>
        <v>30879.78</v>
      </c>
      <c r="E4" s="23">
        <f t="shared" ref="E4:E17" si="0">D4+C4</f>
        <v>82337.31</v>
      </c>
      <c r="F4" s="23">
        <v>76971.289999999994</v>
      </c>
      <c r="G4" s="32">
        <f t="shared" ref="G4:G17" si="1">F4*B4</f>
        <v>18473109.599999998</v>
      </c>
      <c r="H4" s="32">
        <f>19842746-81792</f>
        <v>19760954</v>
      </c>
      <c r="I4" s="33">
        <f t="shared" ref="I4:I17" si="2">H4/G4</f>
        <v>1.0697145433489985</v>
      </c>
      <c r="J4" s="54"/>
    </row>
    <row r="5" spans="1:10">
      <c r="A5" s="23" t="s">
        <v>24</v>
      </c>
      <c r="B5" s="23">
        <v>123</v>
      </c>
      <c r="C5" s="23">
        <f>дошк.обр!L16</f>
        <v>46972.63</v>
      </c>
      <c r="D5" s="23">
        <f>дошк.обр!L17</f>
        <v>32593.68</v>
      </c>
      <c r="E5" s="23">
        <f t="shared" si="0"/>
        <v>79566.31</v>
      </c>
      <c r="F5" s="23">
        <v>76971.289999999994</v>
      </c>
      <c r="G5" s="32">
        <f t="shared" si="1"/>
        <v>9467468.6699999999</v>
      </c>
      <c r="H5" s="32">
        <f>9841183-54528</f>
        <v>9786655</v>
      </c>
      <c r="I5" s="33">
        <f t="shared" si="2"/>
        <v>1.0337140096392841</v>
      </c>
      <c r="J5" s="54"/>
    </row>
    <row r="6" spans="1:10">
      <c r="A6" s="23" t="s">
        <v>25</v>
      </c>
      <c r="B6" s="34">
        <v>140</v>
      </c>
      <c r="C6" s="23">
        <f>дошк.обр!L19</f>
        <v>54187.08</v>
      </c>
      <c r="D6" s="23">
        <f>дошк.обр!L20</f>
        <v>31746.530000000002</v>
      </c>
      <c r="E6" s="23">
        <f t="shared" si="0"/>
        <v>85933.61</v>
      </c>
      <c r="F6" s="23">
        <v>76971.289999999994</v>
      </c>
      <c r="G6" s="32">
        <f t="shared" si="1"/>
        <v>10775980.6</v>
      </c>
      <c r="H6" s="32">
        <f>12098866-68160</f>
        <v>12030706</v>
      </c>
      <c r="I6" s="33">
        <f t="shared" si="2"/>
        <v>1.1164372363476602</v>
      </c>
      <c r="J6" s="54"/>
    </row>
    <row r="7" spans="1:10">
      <c r="A7" s="23" t="s">
        <v>26</v>
      </c>
      <c r="B7" s="34">
        <v>123</v>
      </c>
      <c r="C7" s="23">
        <f>дошк.обр!L22</f>
        <v>49425.829999999994</v>
      </c>
      <c r="D7" s="33">
        <f>дошк.обр!L23</f>
        <v>31944.2</v>
      </c>
      <c r="E7" s="23">
        <f t="shared" si="0"/>
        <v>81370.03</v>
      </c>
      <c r="F7" s="23">
        <v>76971.289999999994</v>
      </c>
      <c r="G7" s="32">
        <f t="shared" si="1"/>
        <v>9467468.6699999999</v>
      </c>
      <c r="H7" s="32">
        <f>10035779-27264</f>
        <v>10008515</v>
      </c>
      <c r="I7" s="33">
        <f t="shared" si="2"/>
        <v>1.0571479398410304</v>
      </c>
      <c r="J7" s="54"/>
    </row>
    <row r="8" spans="1:10">
      <c r="A8" s="23" t="s">
        <v>27</v>
      </c>
      <c r="B8" s="34">
        <v>220</v>
      </c>
      <c r="C8" s="23">
        <f>дошк.обр!L25</f>
        <v>52349.13</v>
      </c>
      <c r="D8" s="23">
        <f>дошк.обр!L26</f>
        <v>28690.539999999997</v>
      </c>
      <c r="E8" s="23">
        <f t="shared" si="0"/>
        <v>81039.67</v>
      </c>
      <c r="F8" s="23">
        <v>76971.289999999994</v>
      </c>
      <c r="G8" s="32">
        <f t="shared" si="1"/>
        <v>16933683.799999997</v>
      </c>
      <c r="H8" s="32">
        <f>17828729.02-0</f>
        <v>17828729.02</v>
      </c>
      <c r="I8" s="33">
        <f t="shared" si="2"/>
        <v>1.0528559072302981</v>
      </c>
      <c r="J8" s="54"/>
    </row>
    <row r="9" spans="1:10" s="28" customFormat="1">
      <c r="A9" s="35" t="s">
        <v>28</v>
      </c>
      <c r="B9" s="35">
        <v>250</v>
      </c>
      <c r="C9" s="35">
        <f>дошк.обр!L28</f>
        <v>49583.83</v>
      </c>
      <c r="D9" s="35">
        <f>дошк.обр!L29</f>
        <v>27387.46</v>
      </c>
      <c r="E9" s="35">
        <f t="shared" si="0"/>
        <v>76971.290000000008</v>
      </c>
      <c r="F9" s="35">
        <v>76971.289999999994</v>
      </c>
      <c r="G9" s="36">
        <f t="shared" si="1"/>
        <v>19242822.5</v>
      </c>
      <c r="H9" s="36">
        <f>19283721-40896</f>
        <v>19242825</v>
      </c>
      <c r="I9" s="37">
        <f t="shared" si="2"/>
        <v>1.000000129918571</v>
      </c>
      <c r="J9" s="54"/>
    </row>
    <row r="10" spans="1:10">
      <c r="A10" s="23" t="s">
        <v>29</v>
      </c>
      <c r="B10" s="34">
        <v>131</v>
      </c>
      <c r="C10" s="23">
        <f>дошк.обр!L31</f>
        <v>50889.459999999992</v>
      </c>
      <c r="D10" s="33">
        <f>дошк.обр!L32</f>
        <v>29858.400000000001</v>
      </c>
      <c r="E10" s="23">
        <f t="shared" si="0"/>
        <v>80747.859999999986</v>
      </c>
      <c r="F10" s="23">
        <v>76971.289999999994</v>
      </c>
      <c r="G10" s="32">
        <f t="shared" si="1"/>
        <v>10083238.989999998</v>
      </c>
      <c r="H10" s="32">
        <f>10577969.01-0</f>
        <v>10577969.01</v>
      </c>
      <c r="I10" s="33">
        <f t="shared" si="2"/>
        <v>1.0490645932810525</v>
      </c>
      <c r="J10" s="54"/>
    </row>
    <row r="11" spans="1:10">
      <c r="A11" s="23" t="s">
        <v>30</v>
      </c>
      <c r="B11" s="34">
        <v>126</v>
      </c>
      <c r="C11" s="23">
        <f>дошк.обр!L34</f>
        <v>49116.290000000008</v>
      </c>
      <c r="D11" s="23">
        <f>дошк.обр!L35</f>
        <v>35447.729999999996</v>
      </c>
      <c r="E11" s="23">
        <f t="shared" si="0"/>
        <v>84564.02</v>
      </c>
      <c r="F11" s="23">
        <v>76971.289999999994</v>
      </c>
      <c r="G11" s="32">
        <f t="shared" si="1"/>
        <v>9698382.5399999991</v>
      </c>
      <c r="H11" s="32">
        <f>10695963.97-40898</f>
        <v>10655065.970000001</v>
      </c>
      <c r="I11" s="33">
        <f t="shared" si="2"/>
        <v>1.0986436064007845</v>
      </c>
      <c r="J11" s="54"/>
    </row>
    <row r="12" spans="1:10">
      <c r="A12" s="23"/>
      <c r="B12" s="23"/>
      <c r="C12" s="23"/>
      <c r="D12" s="23"/>
      <c r="E12" s="23"/>
      <c r="F12" s="23"/>
      <c r="G12" s="32"/>
      <c r="H12" s="32"/>
      <c r="I12" s="23"/>
    </row>
    <row r="13" spans="1:10">
      <c r="A13" s="23" t="s">
        <v>31</v>
      </c>
      <c r="B13" s="34">
        <v>206</v>
      </c>
      <c r="C13" s="23">
        <f>дошк.обр!L38</f>
        <v>76468.11</v>
      </c>
      <c r="D13" s="38">
        <f>дошк.обр!L39</f>
        <v>31648.99</v>
      </c>
      <c r="E13" s="23">
        <f t="shared" si="0"/>
        <v>108117.1</v>
      </c>
      <c r="F13" s="23">
        <v>87316.73</v>
      </c>
      <c r="G13" s="32">
        <f t="shared" si="1"/>
        <v>17987246.379999999</v>
      </c>
      <c r="H13" s="32">
        <f>22462969-190848</f>
        <v>22272121</v>
      </c>
      <c r="I13" s="33">
        <f t="shared" si="2"/>
        <v>1.2382173752156054</v>
      </c>
      <c r="J13" s="53" t="s">
        <v>44</v>
      </c>
    </row>
    <row r="14" spans="1:10" s="28" customFormat="1">
      <c r="A14" s="35" t="s">
        <v>32</v>
      </c>
      <c r="B14" s="35">
        <v>275</v>
      </c>
      <c r="C14" s="35">
        <f>дошк.обр!L41</f>
        <v>55409.440000000002</v>
      </c>
      <c r="D14" s="35">
        <f>дошк.обр!L42</f>
        <v>31907.289999999997</v>
      </c>
      <c r="E14" s="35">
        <f t="shared" si="0"/>
        <v>87316.73</v>
      </c>
      <c r="F14" s="35">
        <v>87316.73</v>
      </c>
      <c r="G14" s="36">
        <f t="shared" si="1"/>
        <v>24012100.75</v>
      </c>
      <c r="H14" s="36">
        <f>24093892-81792</f>
        <v>24012100</v>
      </c>
      <c r="I14" s="37">
        <f t="shared" si="2"/>
        <v>0.99999996876574826</v>
      </c>
      <c r="J14" s="53"/>
    </row>
    <row r="15" spans="1:10">
      <c r="A15" s="23"/>
      <c r="B15" s="23"/>
      <c r="C15" s="23"/>
      <c r="D15" s="38"/>
      <c r="E15" s="23">
        <f t="shared" si="0"/>
        <v>0</v>
      </c>
      <c r="F15" s="23"/>
      <c r="G15" s="32"/>
      <c r="H15" s="32"/>
      <c r="I15" s="23"/>
    </row>
    <row r="16" spans="1:10" s="28" customFormat="1">
      <c r="A16" s="35" t="s">
        <v>33</v>
      </c>
      <c r="B16" s="35">
        <v>347</v>
      </c>
      <c r="C16" s="35">
        <f>дошк.обр!L45</f>
        <v>49257.909999999996</v>
      </c>
      <c r="D16" s="35">
        <f>дошк.обр!L46</f>
        <v>32200.839999999997</v>
      </c>
      <c r="E16" s="35">
        <f t="shared" si="0"/>
        <v>81458.75</v>
      </c>
      <c r="F16" s="35">
        <v>81458.75</v>
      </c>
      <c r="G16" s="36">
        <f t="shared" si="1"/>
        <v>28266186.25</v>
      </c>
      <c r="H16" s="36">
        <f>28375248.01-109056</f>
        <v>28266192.010000002</v>
      </c>
      <c r="I16" s="37">
        <f t="shared" si="2"/>
        <v>1.0000002037770483</v>
      </c>
      <c r="J16" s="53" t="s">
        <v>46</v>
      </c>
    </row>
    <row r="17" spans="1:10">
      <c r="A17" s="23" t="s">
        <v>34</v>
      </c>
      <c r="B17" s="34">
        <v>434</v>
      </c>
      <c r="C17" s="23">
        <f>дошк.обр!L48</f>
        <v>53413.560000000005</v>
      </c>
      <c r="D17" s="39">
        <f>дошк.обр!L49</f>
        <v>31912.9</v>
      </c>
      <c r="E17" s="23">
        <f t="shared" si="0"/>
        <v>85326.46</v>
      </c>
      <c r="F17" s="23">
        <v>81458.75</v>
      </c>
      <c r="G17" s="32">
        <f t="shared" si="1"/>
        <v>35353097.5</v>
      </c>
      <c r="H17" s="32">
        <f>37127102.01-95424</f>
        <v>37031678.009999998</v>
      </c>
      <c r="I17" s="33">
        <f t="shared" si="2"/>
        <v>1.0474804367566377</v>
      </c>
      <c r="J17" s="53"/>
    </row>
  </sheetData>
  <mergeCells count="9">
    <mergeCell ref="I1:I2"/>
    <mergeCell ref="J3:J11"/>
    <mergeCell ref="J13:J14"/>
    <mergeCell ref="J16:J17"/>
    <mergeCell ref="B1:B2"/>
    <mergeCell ref="F1:F2"/>
    <mergeCell ref="C1:E1"/>
    <mergeCell ref="A1:A2"/>
    <mergeCell ref="G1:H1"/>
  </mergeCells>
  <pageMargins left="0.11811023622047245" right="0" top="0.74803149606299213" bottom="0.74803149606299213" header="0.31496062992125984" footer="0.31496062992125984"/>
  <pageSetup paperSize="9" orientation="landscape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дошк.обр</vt:lpstr>
      <vt:lpstr>пр.и уход</vt:lpstr>
      <vt:lpstr>свод</vt:lpstr>
      <vt:lpstr>Лист3</vt:lpstr>
      <vt:lpstr>дошк.обр!Заголовки_для_печати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2016-01-14T03:16:17Z</dcterms:modified>
</cp:coreProperties>
</file>