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з.пл.!$5:$6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</definedNames>
  <calcPr calcId="124519"/>
</workbook>
</file>

<file path=xl/calcChain.xml><?xml version="1.0" encoding="utf-8"?>
<calcChain xmlns="http://schemas.openxmlformats.org/spreadsheetml/2006/main">
  <c r="H121" i="7"/>
  <c r="K120"/>
  <c r="K124"/>
  <c r="E119"/>
  <c r="F119" s="1"/>
  <c r="E120"/>
  <c r="F120" s="1"/>
  <c r="G120" s="1"/>
  <c r="I120" s="1"/>
  <c r="E121"/>
  <c r="F121" s="1"/>
  <c r="E122"/>
  <c r="F122" s="1"/>
  <c r="E118"/>
  <c r="F118" s="1"/>
  <c r="G118" s="1"/>
  <c r="I118" s="1"/>
  <c r="K118" s="1"/>
  <c r="E117"/>
  <c r="F117" s="1"/>
  <c r="H46" i="6"/>
  <c r="E46"/>
  <c r="F46" s="1"/>
  <c r="E45"/>
  <c r="F45" s="1"/>
  <c r="F66"/>
  <c r="E66"/>
  <c r="K66"/>
  <c r="F159" i="5"/>
  <c r="E159"/>
  <c r="G159" s="1"/>
  <c r="I159" s="1"/>
  <c r="F158"/>
  <c r="E158"/>
  <c r="G158" s="1"/>
  <c r="I158" s="1"/>
  <c r="H160"/>
  <c r="J169"/>
  <c r="E157"/>
  <c r="F157" s="1"/>
  <c r="E160"/>
  <c r="F160" s="1"/>
  <c r="E161"/>
  <c r="F161" s="1"/>
  <c r="E162"/>
  <c r="F162" s="1"/>
  <c r="E163"/>
  <c r="F163"/>
  <c r="E164"/>
  <c r="F164"/>
  <c r="E165"/>
  <c r="F165"/>
  <c r="E166"/>
  <c r="F166"/>
  <c r="E167"/>
  <c r="F167"/>
  <c r="E168"/>
  <c r="F168"/>
  <c r="F156"/>
  <c r="E156"/>
  <c r="F155"/>
  <c r="E155"/>
  <c r="H112" i="7"/>
  <c r="E110"/>
  <c r="F110" s="1"/>
  <c r="E111"/>
  <c r="F111" s="1"/>
  <c r="G111" s="1"/>
  <c r="I111" s="1"/>
  <c r="K111" s="1"/>
  <c r="E112"/>
  <c r="F112" s="1"/>
  <c r="E113"/>
  <c r="F113" s="1"/>
  <c r="E109"/>
  <c r="F109" s="1"/>
  <c r="E108"/>
  <c r="F108" s="1"/>
  <c r="J125"/>
  <c r="J114"/>
  <c r="H43" i="6"/>
  <c r="E43"/>
  <c r="F43" s="1"/>
  <c r="E42"/>
  <c r="F42" s="1"/>
  <c r="J44"/>
  <c r="K65"/>
  <c r="E65"/>
  <c r="F65" s="1"/>
  <c r="J66"/>
  <c r="L66" s="1"/>
  <c r="J65"/>
  <c r="L65" s="1"/>
  <c r="H145" i="5"/>
  <c r="E144"/>
  <c r="F144"/>
  <c r="E145"/>
  <c r="F145"/>
  <c r="E146"/>
  <c r="F146"/>
  <c r="E147"/>
  <c r="F147"/>
  <c r="E148"/>
  <c r="F148"/>
  <c r="E149"/>
  <c r="F149"/>
  <c r="E150"/>
  <c r="F150"/>
  <c r="E151"/>
  <c r="F151"/>
  <c r="E152"/>
  <c r="F152"/>
  <c r="E153"/>
  <c r="F153"/>
  <c r="E143"/>
  <c r="F143" s="1"/>
  <c r="E142"/>
  <c r="F142" s="1"/>
  <c r="J154"/>
  <c r="J102" i="7"/>
  <c r="K99"/>
  <c r="E100"/>
  <c r="F100"/>
  <c r="E101"/>
  <c r="F101"/>
  <c r="E102"/>
  <c r="F102"/>
  <c r="E103"/>
  <c r="F103"/>
  <c r="E99"/>
  <c r="F99" s="1"/>
  <c r="G99" s="1"/>
  <c r="I99" s="1"/>
  <c r="E98"/>
  <c r="F98" s="1"/>
  <c r="J106"/>
  <c r="G101"/>
  <c r="I101" s="1"/>
  <c r="K101" s="1"/>
  <c r="H39" i="6"/>
  <c r="E39"/>
  <c r="F39" s="1"/>
  <c r="E38"/>
  <c r="F38" s="1"/>
  <c r="G38" s="1"/>
  <c r="I38" s="1"/>
  <c r="K38" s="1"/>
  <c r="E63"/>
  <c r="F63" s="1"/>
  <c r="K63"/>
  <c r="J63"/>
  <c r="L63" s="1"/>
  <c r="E136" i="5"/>
  <c r="H131"/>
  <c r="E130"/>
  <c r="F130" s="1"/>
  <c r="E131"/>
  <c r="F131" s="1"/>
  <c r="E132"/>
  <c r="F132" s="1"/>
  <c r="E133"/>
  <c r="F133" s="1"/>
  <c r="E134"/>
  <c r="F134" s="1"/>
  <c r="E135"/>
  <c r="F135" s="1"/>
  <c r="E137"/>
  <c r="F137" s="1"/>
  <c r="E138"/>
  <c r="F138" s="1"/>
  <c r="E139"/>
  <c r="F139" s="1"/>
  <c r="E129"/>
  <c r="F129" s="1"/>
  <c r="E128"/>
  <c r="F128" s="1"/>
  <c r="J140"/>
  <c r="J93" i="7"/>
  <c r="J97" s="1"/>
  <c r="H36" i="6"/>
  <c r="J37"/>
  <c r="E36"/>
  <c r="F36" s="1"/>
  <c r="E35"/>
  <c r="F35" s="1"/>
  <c r="G35" s="1"/>
  <c r="I35" s="1"/>
  <c r="K35" s="1"/>
  <c r="E91" i="7"/>
  <c r="F91" s="1"/>
  <c r="E92"/>
  <c r="F92" s="1"/>
  <c r="G92" s="1"/>
  <c r="I92" s="1"/>
  <c r="K92" s="1"/>
  <c r="E93"/>
  <c r="F93" s="1"/>
  <c r="E94"/>
  <c r="F94" s="1"/>
  <c r="E90"/>
  <c r="F90" s="1"/>
  <c r="G90" s="1"/>
  <c r="I90" s="1"/>
  <c r="K90" s="1"/>
  <c r="E89"/>
  <c r="F89" s="1"/>
  <c r="E62" i="6"/>
  <c r="F62" s="1"/>
  <c r="K62"/>
  <c r="J62"/>
  <c r="L62" s="1"/>
  <c r="H119" i="5"/>
  <c r="J127"/>
  <c r="E118"/>
  <c r="F118" s="1"/>
  <c r="E119"/>
  <c r="F119" s="1"/>
  <c r="E120"/>
  <c r="F120" s="1"/>
  <c r="E121"/>
  <c r="F121" s="1"/>
  <c r="E122"/>
  <c r="F122" s="1"/>
  <c r="E123"/>
  <c r="F123" s="1"/>
  <c r="E124"/>
  <c r="F124" s="1"/>
  <c r="E125"/>
  <c r="F125" s="1"/>
  <c r="E126"/>
  <c r="F126" s="1"/>
  <c r="E117"/>
  <c r="F117" s="1"/>
  <c r="E116"/>
  <c r="F116" s="1"/>
  <c r="K60" i="6"/>
  <c r="K81" i="7"/>
  <c r="K82"/>
  <c r="K83"/>
  <c r="K86"/>
  <c r="K80"/>
  <c r="J83"/>
  <c r="E81"/>
  <c r="F81" s="1"/>
  <c r="E82"/>
  <c r="F82" s="1"/>
  <c r="E83"/>
  <c r="F83" s="1"/>
  <c r="E84"/>
  <c r="F84" s="1"/>
  <c r="E80"/>
  <c r="F80" s="1"/>
  <c r="E79"/>
  <c r="F79" s="1"/>
  <c r="J87"/>
  <c r="J85"/>
  <c r="E60" i="6"/>
  <c r="F60" s="1"/>
  <c r="J60"/>
  <c r="L60" s="1"/>
  <c r="E32"/>
  <c r="F32" s="1"/>
  <c r="E31"/>
  <c r="F31" s="1"/>
  <c r="H106" i="5"/>
  <c r="E105"/>
  <c r="F105" s="1"/>
  <c r="G105" s="1"/>
  <c r="I105" s="1"/>
  <c r="E106"/>
  <c r="F106" s="1"/>
  <c r="E107"/>
  <c r="F107" s="1"/>
  <c r="E108"/>
  <c r="F108" s="1"/>
  <c r="E109"/>
  <c r="F109" s="1"/>
  <c r="E110"/>
  <c r="F110" s="1"/>
  <c r="E111"/>
  <c r="F111" s="1"/>
  <c r="E112"/>
  <c r="F112" s="1"/>
  <c r="E113"/>
  <c r="F113" s="1"/>
  <c r="E104"/>
  <c r="F104" s="1"/>
  <c r="G104" s="1"/>
  <c r="I104" s="1"/>
  <c r="E103"/>
  <c r="F103" s="1"/>
  <c r="G103" s="1"/>
  <c r="I103" s="1"/>
  <c r="J114"/>
  <c r="D175" i="1"/>
  <c r="L178"/>
  <c r="K72" i="7"/>
  <c r="K73"/>
  <c r="K74"/>
  <c r="K75"/>
  <c r="K76"/>
  <c r="K77"/>
  <c r="K78"/>
  <c r="K71"/>
  <c r="H74"/>
  <c r="E59" i="6"/>
  <c r="F59" s="1"/>
  <c r="K59"/>
  <c r="J59"/>
  <c r="L59" s="1"/>
  <c r="E29"/>
  <c r="F29" s="1"/>
  <c r="G29" s="1"/>
  <c r="I29" s="1"/>
  <c r="K29" s="1"/>
  <c r="E28"/>
  <c r="F28" s="1"/>
  <c r="J102" i="5"/>
  <c r="H94"/>
  <c r="G155" l="1"/>
  <c r="I155" s="1"/>
  <c r="G156"/>
  <c r="I156" s="1"/>
  <c r="G157"/>
  <c r="I157" s="1"/>
  <c r="G160"/>
  <c r="I160" s="1"/>
  <c r="G161"/>
  <c r="I161" s="1"/>
  <c r="G162"/>
  <c r="I162" s="1"/>
  <c r="G163"/>
  <c r="I163" s="1"/>
  <c r="G164"/>
  <c r="I164" s="1"/>
  <c r="G165"/>
  <c r="I165" s="1"/>
  <c r="G166"/>
  <c r="I166" s="1"/>
  <c r="G167"/>
  <c r="I167" s="1"/>
  <c r="G168"/>
  <c r="I168" s="1"/>
  <c r="I124" i="7"/>
  <c r="I115"/>
  <c r="K115" s="1"/>
  <c r="G108"/>
  <c r="I108" s="1"/>
  <c r="K108" s="1"/>
  <c r="G109"/>
  <c r="I109" s="1"/>
  <c r="K109" s="1"/>
  <c r="G110"/>
  <c r="I110" s="1"/>
  <c r="K110" s="1"/>
  <c r="G112"/>
  <c r="I112" s="1"/>
  <c r="K112" s="1"/>
  <c r="G113"/>
  <c r="I113" s="1"/>
  <c r="K113" s="1"/>
  <c r="J116"/>
  <c r="G117"/>
  <c r="I117" s="1"/>
  <c r="K117" s="1"/>
  <c r="G119"/>
  <c r="I119" s="1"/>
  <c r="K119" s="1"/>
  <c r="G121"/>
  <c r="I121" s="1"/>
  <c r="K121" s="1"/>
  <c r="G122"/>
  <c r="I122" s="1"/>
  <c r="K122" s="1"/>
  <c r="J123"/>
  <c r="G42" i="6"/>
  <c r="I42" s="1"/>
  <c r="K42" s="1"/>
  <c r="G43"/>
  <c r="I43" s="1"/>
  <c r="K43" s="1"/>
  <c r="G45"/>
  <c r="I45" s="1"/>
  <c r="K45" s="1"/>
  <c r="G46"/>
  <c r="I46" s="1"/>
  <c r="K46" s="1"/>
  <c r="G65"/>
  <c r="G66"/>
  <c r="G142" i="5"/>
  <c r="I142" s="1"/>
  <c r="G143"/>
  <c r="I143" s="1"/>
  <c r="G144"/>
  <c r="I144" s="1"/>
  <c r="G145"/>
  <c r="I145" s="1"/>
  <c r="G146"/>
  <c r="I146" s="1"/>
  <c r="G147"/>
  <c r="I147" s="1"/>
  <c r="G148"/>
  <c r="I148" s="1"/>
  <c r="G149"/>
  <c r="I149" s="1"/>
  <c r="G150"/>
  <c r="I150" s="1"/>
  <c r="G151"/>
  <c r="I151" s="1"/>
  <c r="G152"/>
  <c r="I152" s="1"/>
  <c r="G153"/>
  <c r="I153" s="1"/>
  <c r="I105" i="7"/>
  <c r="K105" s="1"/>
  <c r="G98"/>
  <c r="I98" s="1"/>
  <c r="K98" s="1"/>
  <c r="G100"/>
  <c r="I100" s="1"/>
  <c r="K100" s="1"/>
  <c r="G102"/>
  <c r="I102" s="1"/>
  <c r="K102" s="1"/>
  <c r="G103"/>
  <c r="I103" s="1"/>
  <c r="K103" s="1"/>
  <c r="J104"/>
  <c r="G39" i="6"/>
  <c r="I39" s="1"/>
  <c r="K39" s="1"/>
  <c r="G63"/>
  <c r="F136" i="5"/>
  <c r="G136" s="1"/>
  <c r="I136" s="1"/>
  <c r="G128"/>
  <c r="I128" s="1"/>
  <c r="G129"/>
  <c r="I129" s="1"/>
  <c r="I140" s="1"/>
  <c r="G130"/>
  <c r="I130" s="1"/>
  <c r="G131"/>
  <c r="I131" s="1"/>
  <c r="G132"/>
  <c r="I132" s="1"/>
  <c r="G133"/>
  <c r="I133" s="1"/>
  <c r="G134"/>
  <c r="I134" s="1"/>
  <c r="G135"/>
  <c r="I135" s="1"/>
  <c r="G137"/>
  <c r="I137" s="1"/>
  <c r="G138"/>
  <c r="I138" s="1"/>
  <c r="G139"/>
  <c r="I139" s="1"/>
  <c r="G36" i="6"/>
  <c r="I36" s="1"/>
  <c r="K36" s="1"/>
  <c r="I96" i="7"/>
  <c r="K96" s="1"/>
  <c r="G89"/>
  <c r="I89" s="1"/>
  <c r="K89" s="1"/>
  <c r="G91"/>
  <c r="I91" s="1"/>
  <c r="K91" s="1"/>
  <c r="G93"/>
  <c r="I93" s="1"/>
  <c r="K93" s="1"/>
  <c r="G94"/>
  <c r="I94" s="1"/>
  <c r="K94" s="1"/>
  <c r="J95"/>
  <c r="G62" i="6"/>
  <c r="G116" i="5"/>
  <c r="I116" s="1"/>
  <c r="G117"/>
  <c r="I117" s="1"/>
  <c r="G118"/>
  <c r="I118" s="1"/>
  <c r="G119"/>
  <c r="I119" s="1"/>
  <c r="G120"/>
  <c r="I120" s="1"/>
  <c r="G121"/>
  <c r="I121" s="1"/>
  <c r="G122"/>
  <c r="I122" s="1"/>
  <c r="G123"/>
  <c r="I123" s="1"/>
  <c r="G124"/>
  <c r="I124" s="1"/>
  <c r="G125"/>
  <c r="I125" s="1"/>
  <c r="G126"/>
  <c r="I126" s="1"/>
  <c r="G79" i="7"/>
  <c r="I79" s="1"/>
  <c r="K79" s="1"/>
  <c r="G80"/>
  <c r="I80" s="1"/>
  <c r="G81"/>
  <c r="I81" s="1"/>
  <c r="G82"/>
  <c r="I82" s="1"/>
  <c r="G83"/>
  <c r="I83" s="1"/>
  <c r="G84"/>
  <c r="I84" s="1"/>
  <c r="K84" s="1"/>
  <c r="G60" i="6"/>
  <c r="G31"/>
  <c r="I31" s="1"/>
  <c r="K31" s="1"/>
  <c r="G32"/>
  <c r="I32" s="1"/>
  <c r="K32" s="1"/>
  <c r="G106" i="5"/>
  <c r="I106" s="1"/>
  <c r="G107"/>
  <c r="I107" s="1"/>
  <c r="G113"/>
  <c r="I113" s="1"/>
  <c r="G108"/>
  <c r="I108" s="1"/>
  <c r="G109"/>
  <c r="I109" s="1"/>
  <c r="G110"/>
  <c r="I110" s="1"/>
  <c r="G111"/>
  <c r="I111" s="1"/>
  <c r="G112"/>
  <c r="I112" s="1"/>
  <c r="G59" i="6"/>
  <c r="G28"/>
  <c r="I28" s="1"/>
  <c r="K28" s="1"/>
  <c r="E93" i="5"/>
  <c r="F93" s="1"/>
  <c r="G93" s="1"/>
  <c r="I93" s="1"/>
  <c r="E94"/>
  <c r="F94" s="1"/>
  <c r="G94" s="1"/>
  <c r="E95"/>
  <c r="F95" s="1"/>
  <c r="E96"/>
  <c r="F96" s="1"/>
  <c r="E97"/>
  <c r="F97" s="1"/>
  <c r="E98"/>
  <c r="F98" s="1"/>
  <c r="E99"/>
  <c r="F99"/>
  <c r="E100"/>
  <c r="F100"/>
  <c r="E101"/>
  <c r="F101"/>
  <c r="E92"/>
  <c r="F92" s="1"/>
  <c r="G92" s="1"/>
  <c r="I92" s="1"/>
  <c r="E91"/>
  <c r="F91" s="1"/>
  <c r="G91" s="1"/>
  <c r="I91" s="1"/>
  <c r="E72" i="7"/>
  <c r="F72" s="1"/>
  <c r="G72" s="1"/>
  <c r="I72" s="1"/>
  <c r="E73"/>
  <c r="F73" s="1"/>
  <c r="E74"/>
  <c r="F74" s="1"/>
  <c r="G74" s="1"/>
  <c r="E75"/>
  <c r="F75" s="1"/>
  <c r="G75" s="1"/>
  <c r="I75" s="1"/>
  <c r="E71"/>
  <c r="F71" s="1"/>
  <c r="E70"/>
  <c r="F70" s="1"/>
  <c r="G70" s="1"/>
  <c r="I70" s="1"/>
  <c r="J78"/>
  <c r="J76"/>
  <c r="I169" i="5" l="1"/>
  <c r="K169" s="1"/>
  <c r="I114" i="7"/>
  <c r="K114" s="1"/>
  <c r="I123"/>
  <c r="K123" s="1"/>
  <c r="I47" i="6"/>
  <c r="K47" s="1"/>
  <c r="I44"/>
  <c r="K44" s="1"/>
  <c r="I154" i="5"/>
  <c r="K154" s="1"/>
  <c r="I104" i="7"/>
  <c r="K104" s="1"/>
  <c r="I40" i="6"/>
  <c r="K40" s="1"/>
  <c r="K140" i="5"/>
  <c r="I37" i="6"/>
  <c r="K37" s="1"/>
  <c r="I95" i="7"/>
  <c r="K95" s="1"/>
  <c r="I127" i="5"/>
  <c r="K127" s="1"/>
  <c r="I86" i="7"/>
  <c r="I85"/>
  <c r="K85" s="1"/>
  <c r="I33" i="6"/>
  <c r="K33" s="1"/>
  <c r="I114" i="5"/>
  <c r="K114" s="1"/>
  <c r="I30" i="6"/>
  <c r="K30" s="1"/>
  <c r="I94" i="5"/>
  <c r="G95"/>
  <c r="I95" s="1"/>
  <c r="G96"/>
  <c r="I96" s="1"/>
  <c r="G97"/>
  <c r="I97" s="1"/>
  <c r="G98"/>
  <c r="I98" s="1"/>
  <c r="G99"/>
  <c r="I99" s="1"/>
  <c r="G100"/>
  <c r="I100" s="1"/>
  <c r="G101"/>
  <c r="I101" s="1"/>
  <c r="K70" i="7"/>
  <c r="I74"/>
  <c r="G71"/>
  <c r="I71" s="1"/>
  <c r="G73"/>
  <c r="I73" s="1"/>
  <c r="I125" l="1"/>
  <c r="K125" s="1"/>
  <c r="I116"/>
  <c r="K116" s="1"/>
  <c r="I106"/>
  <c r="K106" s="1"/>
  <c r="I97"/>
  <c r="K97" s="1"/>
  <c r="I87"/>
  <c r="K87" s="1"/>
  <c r="I102" i="5"/>
  <c r="K102" s="1"/>
  <c r="I77" i="7"/>
  <c r="I76"/>
  <c r="I78" l="1"/>
  <c r="H65" l="1"/>
  <c r="F63"/>
  <c r="F64"/>
  <c r="F65"/>
  <c r="F66"/>
  <c r="E63"/>
  <c r="E64"/>
  <c r="E65"/>
  <c r="E66"/>
  <c r="K62"/>
  <c r="F62"/>
  <c r="E62"/>
  <c r="F61"/>
  <c r="E61"/>
  <c r="J69"/>
  <c r="J67"/>
  <c r="E26" i="6"/>
  <c r="F26" s="1"/>
  <c r="E25"/>
  <c r="F25" s="1"/>
  <c r="K58"/>
  <c r="E58"/>
  <c r="F58" s="1"/>
  <c r="J58"/>
  <c r="L58" s="1"/>
  <c r="H82" i="5"/>
  <c r="E81"/>
  <c r="F81" s="1"/>
  <c r="E82"/>
  <c r="F82" s="1"/>
  <c r="E83"/>
  <c r="F83" s="1"/>
  <c r="E84"/>
  <c r="F84" s="1"/>
  <c r="E85"/>
  <c r="F85" s="1"/>
  <c r="E86"/>
  <c r="F86" s="1"/>
  <c r="E87"/>
  <c r="F87" s="1"/>
  <c r="E88"/>
  <c r="F88" s="1"/>
  <c r="E89"/>
  <c r="F89" s="1"/>
  <c r="E80"/>
  <c r="F80" s="1"/>
  <c r="E79"/>
  <c r="F79" s="1"/>
  <c r="J90"/>
  <c r="H56" i="7"/>
  <c r="K59"/>
  <c r="K55"/>
  <c r="E54"/>
  <c r="F54" s="1"/>
  <c r="E55"/>
  <c r="F55" s="1"/>
  <c r="E56"/>
  <c r="F56" s="1"/>
  <c r="E57"/>
  <c r="F57" s="1"/>
  <c r="F53"/>
  <c r="E53"/>
  <c r="F52"/>
  <c r="G52" s="1"/>
  <c r="I52" s="1"/>
  <c r="K52" s="1"/>
  <c r="E52"/>
  <c r="J60"/>
  <c r="J58"/>
  <c r="E23" i="6"/>
  <c r="F23" s="1"/>
  <c r="E22"/>
  <c r="F22" s="1"/>
  <c r="G22" s="1"/>
  <c r="I22" s="1"/>
  <c r="K22" s="1"/>
  <c r="K57"/>
  <c r="E57"/>
  <c r="F57" s="1"/>
  <c r="G57" s="1"/>
  <c r="J78" i="5"/>
  <c r="H70"/>
  <c r="E69"/>
  <c r="F69" s="1"/>
  <c r="E70"/>
  <c r="F70" s="1"/>
  <c r="E71"/>
  <c r="F71" s="1"/>
  <c r="G71" s="1"/>
  <c r="I71" s="1"/>
  <c r="E72"/>
  <c r="F72" s="1"/>
  <c r="G72" s="1"/>
  <c r="I72" s="1"/>
  <c r="E73"/>
  <c r="F73" s="1"/>
  <c r="G73" s="1"/>
  <c r="I73" s="1"/>
  <c r="E74"/>
  <c r="F74" s="1"/>
  <c r="E75"/>
  <c r="F75" s="1"/>
  <c r="E76"/>
  <c r="F76" s="1"/>
  <c r="E77"/>
  <c r="F77" s="1"/>
  <c r="E68"/>
  <c r="F68" s="1"/>
  <c r="E67"/>
  <c r="F67" s="1"/>
  <c r="H47" i="7"/>
  <c r="K44"/>
  <c r="K45"/>
  <c r="K46"/>
  <c r="K47"/>
  <c r="K48"/>
  <c r="K49"/>
  <c r="K50"/>
  <c r="K51"/>
  <c r="K43"/>
  <c r="E45"/>
  <c r="F45" s="1"/>
  <c r="E46"/>
  <c r="F46" s="1"/>
  <c r="E47"/>
  <c r="F47" s="1"/>
  <c r="E48"/>
  <c r="F48" s="1"/>
  <c r="E44"/>
  <c r="F44" s="1"/>
  <c r="E43"/>
  <c r="F43" s="1"/>
  <c r="J51"/>
  <c r="J49"/>
  <c r="J57" i="6"/>
  <c r="L57" s="1"/>
  <c r="G61" i="7" l="1"/>
  <c r="I61" s="1"/>
  <c r="K61" s="1"/>
  <c r="G62"/>
  <c r="I62" s="1"/>
  <c r="G63"/>
  <c r="I63" s="1"/>
  <c r="K63" s="1"/>
  <c r="G64"/>
  <c r="I64" s="1"/>
  <c r="K64" s="1"/>
  <c r="G65"/>
  <c r="I65" s="1"/>
  <c r="K65" s="1"/>
  <c r="G66"/>
  <c r="I66" s="1"/>
  <c r="K66" s="1"/>
  <c r="G25" i="6"/>
  <c r="I25" s="1"/>
  <c r="K25" s="1"/>
  <c r="G26"/>
  <c r="I26" s="1"/>
  <c r="K26" s="1"/>
  <c r="G58"/>
  <c r="G79" i="5"/>
  <c r="I79" s="1"/>
  <c r="G80"/>
  <c r="I80" s="1"/>
  <c r="G81"/>
  <c r="I81" s="1"/>
  <c r="G82"/>
  <c r="I82" s="1"/>
  <c r="G83"/>
  <c r="I83" s="1"/>
  <c r="G84"/>
  <c r="I84" s="1"/>
  <c r="G85"/>
  <c r="I85" s="1"/>
  <c r="G86"/>
  <c r="I86" s="1"/>
  <c r="G87"/>
  <c r="I87" s="1"/>
  <c r="G88"/>
  <c r="I88" s="1"/>
  <c r="G89"/>
  <c r="I89" s="1"/>
  <c r="G53" i="7"/>
  <c r="I53" s="1"/>
  <c r="K53" s="1"/>
  <c r="G54"/>
  <c r="I54" s="1"/>
  <c r="K54" s="1"/>
  <c r="G55"/>
  <c r="I55" s="1"/>
  <c r="G56"/>
  <c r="I56" s="1"/>
  <c r="K56" s="1"/>
  <c r="G57"/>
  <c r="I57" s="1"/>
  <c r="K57" s="1"/>
  <c r="G23" i="6"/>
  <c r="I23" s="1"/>
  <c r="G67" i="5"/>
  <c r="I67" s="1"/>
  <c r="G68"/>
  <c r="I68" s="1"/>
  <c r="G69"/>
  <c r="I69" s="1"/>
  <c r="G70"/>
  <c r="I70" s="1"/>
  <c r="G74"/>
  <c r="I74" s="1"/>
  <c r="G75"/>
  <c r="I75" s="1"/>
  <c r="G76"/>
  <c r="I76" s="1"/>
  <c r="G77"/>
  <c r="I77" s="1"/>
  <c r="G43" i="7"/>
  <c r="I43" s="1"/>
  <c r="G44"/>
  <c r="I44" s="1"/>
  <c r="G45"/>
  <c r="I45" s="1"/>
  <c r="G46"/>
  <c r="I46" s="1"/>
  <c r="G47"/>
  <c r="I47" s="1"/>
  <c r="G48"/>
  <c r="I48" s="1"/>
  <c r="K56" i="6"/>
  <c r="J56"/>
  <c r="L56" s="1"/>
  <c r="E56"/>
  <c r="E20"/>
  <c r="F20" s="1"/>
  <c r="F19"/>
  <c r="E19"/>
  <c r="H58" i="5"/>
  <c r="J66"/>
  <c r="E57"/>
  <c r="F57" s="1"/>
  <c r="E58"/>
  <c r="F58" s="1"/>
  <c r="G58" s="1"/>
  <c r="E59"/>
  <c r="F59" s="1"/>
  <c r="E60"/>
  <c r="F60" s="1"/>
  <c r="E61"/>
  <c r="F61" s="1"/>
  <c r="E62"/>
  <c r="F62" s="1"/>
  <c r="E63"/>
  <c r="F63" s="1"/>
  <c r="E64"/>
  <c r="F64" s="1"/>
  <c r="E65"/>
  <c r="F65" s="1"/>
  <c r="F56"/>
  <c r="G56" s="1"/>
  <c r="I56" s="1"/>
  <c r="E56"/>
  <c r="F55"/>
  <c r="E55"/>
  <c r="G55"/>
  <c r="I55" s="1"/>
  <c r="H38" i="7"/>
  <c r="K41"/>
  <c r="K35"/>
  <c r="K37"/>
  <c r="E36"/>
  <c r="F36" s="1"/>
  <c r="E37"/>
  <c r="F37" s="1"/>
  <c r="G37" s="1"/>
  <c r="I37" s="1"/>
  <c r="E38"/>
  <c r="F38" s="1"/>
  <c r="E39"/>
  <c r="F39" s="1"/>
  <c r="F35"/>
  <c r="E35"/>
  <c r="F34"/>
  <c r="E34"/>
  <c r="J42"/>
  <c r="G35"/>
  <c r="I35" s="1"/>
  <c r="E17" i="6"/>
  <c r="F17" s="1"/>
  <c r="E16"/>
  <c r="F16" s="1"/>
  <c r="G16" s="1"/>
  <c r="I16" s="1"/>
  <c r="K55"/>
  <c r="E55"/>
  <c r="F55" s="1"/>
  <c r="J55"/>
  <c r="L55" s="1"/>
  <c r="H46" i="5"/>
  <c r="J54"/>
  <c r="E45"/>
  <c r="F45" s="1"/>
  <c r="G45" s="1"/>
  <c r="I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44"/>
  <c r="F44" s="1"/>
  <c r="G44" s="1"/>
  <c r="I44" s="1"/>
  <c r="E43"/>
  <c r="F43" s="1"/>
  <c r="G43" s="1"/>
  <c r="I43" s="1"/>
  <c r="J29" i="7"/>
  <c r="K28"/>
  <c r="E27"/>
  <c r="F27" s="1"/>
  <c r="E28"/>
  <c r="F28" s="1"/>
  <c r="E29"/>
  <c r="F29" s="1"/>
  <c r="E30"/>
  <c r="F30" s="1"/>
  <c r="F26"/>
  <c r="E26"/>
  <c r="F25"/>
  <c r="E25"/>
  <c r="J33"/>
  <c r="G26"/>
  <c r="I26" s="1"/>
  <c r="K26" s="1"/>
  <c r="K54" i="6"/>
  <c r="E54"/>
  <c r="F54" s="1"/>
  <c r="G54" s="1"/>
  <c r="J54"/>
  <c r="L54" s="1"/>
  <c r="J15"/>
  <c r="F14"/>
  <c r="E14"/>
  <c r="F13"/>
  <c r="E13"/>
  <c r="H34" i="5"/>
  <c r="J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F31"/>
  <c r="E32"/>
  <c r="E31"/>
  <c r="D249" i="1"/>
  <c r="I249" s="1"/>
  <c r="D247"/>
  <c r="D254"/>
  <c r="D260"/>
  <c r="D256"/>
  <c r="D272"/>
  <c r="D270"/>
  <c r="I270" s="1"/>
  <c r="I272"/>
  <c r="D274"/>
  <c r="I274" s="1"/>
  <c r="D279"/>
  <c r="I279" s="1"/>
  <c r="D278"/>
  <c r="I278" s="1"/>
  <c r="L290"/>
  <c r="L291"/>
  <c r="L268"/>
  <c r="L267"/>
  <c r="C289"/>
  <c r="I288"/>
  <c r="G288"/>
  <c r="H288" s="1"/>
  <c r="D288"/>
  <c r="I287"/>
  <c r="G287"/>
  <c r="H287" s="1"/>
  <c r="G286"/>
  <c r="H286" s="1"/>
  <c r="I286"/>
  <c r="I285"/>
  <c r="G285"/>
  <c r="H285" s="1"/>
  <c r="I284"/>
  <c r="G284"/>
  <c r="H284" s="1"/>
  <c r="I283"/>
  <c r="G283"/>
  <c r="H283" s="1"/>
  <c r="D283"/>
  <c r="G282"/>
  <c r="H282" s="1"/>
  <c r="D282"/>
  <c r="I282" s="1"/>
  <c r="I281"/>
  <c r="G281"/>
  <c r="H281" s="1"/>
  <c r="I280"/>
  <c r="G280"/>
  <c r="H280" s="1"/>
  <c r="G279"/>
  <c r="H279" s="1"/>
  <c r="G278"/>
  <c r="H278" s="1"/>
  <c r="I277"/>
  <c r="G277"/>
  <c r="H277" s="1"/>
  <c r="J277" s="1"/>
  <c r="I276"/>
  <c r="G276"/>
  <c r="H276" s="1"/>
  <c r="J276" s="1"/>
  <c r="G275"/>
  <c r="H275" s="1"/>
  <c r="D275"/>
  <c r="I275" s="1"/>
  <c r="G274"/>
  <c r="H274" s="1"/>
  <c r="G273"/>
  <c r="H273" s="1"/>
  <c r="D273"/>
  <c r="I273" s="1"/>
  <c r="G272"/>
  <c r="H272" s="1"/>
  <c r="I271"/>
  <c r="G271"/>
  <c r="H271" s="1"/>
  <c r="G270"/>
  <c r="H270" s="1"/>
  <c r="I269"/>
  <c r="G269"/>
  <c r="H269" s="1"/>
  <c r="C266"/>
  <c r="I265"/>
  <c r="G265"/>
  <c r="H265" s="1"/>
  <c r="I264"/>
  <c r="G264"/>
  <c r="H264" s="1"/>
  <c r="G263"/>
  <c r="H263" s="1"/>
  <c r="I263"/>
  <c r="I262"/>
  <c r="G262"/>
  <c r="H262" s="1"/>
  <c r="I261"/>
  <c r="G261"/>
  <c r="H261" s="1"/>
  <c r="G260"/>
  <c r="H260" s="1"/>
  <c r="I260"/>
  <c r="G259"/>
  <c r="H259" s="1"/>
  <c r="D259"/>
  <c r="I259" s="1"/>
  <c r="I258"/>
  <c r="G258"/>
  <c r="H258" s="1"/>
  <c r="I257"/>
  <c r="G257"/>
  <c r="H257" s="1"/>
  <c r="I256"/>
  <c r="G256"/>
  <c r="H256" s="1"/>
  <c r="I255"/>
  <c r="G255"/>
  <c r="H255" s="1"/>
  <c r="I254"/>
  <c r="G254"/>
  <c r="H254" s="1"/>
  <c r="I253"/>
  <c r="G253"/>
  <c r="H253" s="1"/>
  <c r="G252"/>
  <c r="H252" s="1"/>
  <c r="I252"/>
  <c r="I251"/>
  <c r="G251"/>
  <c r="H251" s="1"/>
  <c r="G250"/>
  <c r="H250" s="1"/>
  <c r="I250"/>
  <c r="G249"/>
  <c r="H249" s="1"/>
  <c r="I248"/>
  <c r="G248"/>
  <c r="H248" s="1"/>
  <c r="G247"/>
  <c r="H247" s="1"/>
  <c r="I247"/>
  <c r="I246"/>
  <c r="G246"/>
  <c r="H246" s="1"/>
  <c r="D202"/>
  <c r="I202"/>
  <c r="D216"/>
  <c r="D211"/>
  <c r="D219"/>
  <c r="I219" s="1"/>
  <c r="D226"/>
  <c r="D229"/>
  <c r="D227"/>
  <c r="D224"/>
  <c r="I226"/>
  <c r="I229"/>
  <c r="D233"/>
  <c r="I233" s="1"/>
  <c r="D242"/>
  <c r="D237"/>
  <c r="I237" s="1"/>
  <c r="D236"/>
  <c r="I236" s="1"/>
  <c r="D240"/>
  <c r="G240"/>
  <c r="H240" s="1"/>
  <c r="I240"/>
  <c r="L221"/>
  <c r="L244"/>
  <c r="L245"/>
  <c r="L222"/>
  <c r="C243"/>
  <c r="I242"/>
  <c r="G242"/>
  <c r="H242" s="1"/>
  <c r="I241"/>
  <c r="G241"/>
  <c r="H241" s="1"/>
  <c r="J241" s="1"/>
  <c r="I239"/>
  <c r="G239"/>
  <c r="H239" s="1"/>
  <c r="I238"/>
  <c r="G238"/>
  <c r="H238" s="1"/>
  <c r="G237"/>
  <c r="H237" s="1"/>
  <c r="G236"/>
  <c r="H236" s="1"/>
  <c r="I235"/>
  <c r="G235"/>
  <c r="H235" s="1"/>
  <c r="I234"/>
  <c r="G234"/>
  <c r="H234" s="1"/>
  <c r="G233"/>
  <c r="H233" s="1"/>
  <c r="I232"/>
  <c r="G232"/>
  <c r="H232" s="1"/>
  <c r="I231"/>
  <c r="G231"/>
  <c r="H231" s="1"/>
  <c r="I230"/>
  <c r="G230"/>
  <c r="H230" s="1"/>
  <c r="G229"/>
  <c r="H229" s="1"/>
  <c r="I228"/>
  <c r="G228"/>
  <c r="H228" s="1"/>
  <c r="I227"/>
  <c r="G227"/>
  <c r="H227" s="1"/>
  <c r="G226"/>
  <c r="H226" s="1"/>
  <c r="G225"/>
  <c r="H225" s="1"/>
  <c r="I225"/>
  <c r="J225" s="1"/>
  <c r="I224"/>
  <c r="G224"/>
  <c r="H224" s="1"/>
  <c r="I223"/>
  <c r="G223"/>
  <c r="H223" s="1"/>
  <c r="C220"/>
  <c r="G219"/>
  <c r="H219" s="1"/>
  <c r="I218"/>
  <c r="G218"/>
  <c r="H218" s="1"/>
  <c r="J218" s="1"/>
  <c r="I217"/>
  <c r="G217"/>
  <c r="H217" s="1"/>
  <c r="I216"/>
  <c r="G216"/>
  <c r="H216" s="1"/>
  <c r="I215"/>
  <c r="G215"/>
  <c r="H215" s="1"/>
  <c r="G214"/>
  <c r="H214" s="1"/>
  <c r="I214"/>
  <c r="I213"/>
  <c r="G213"/>
  <c r="H213" s="1"/>
  <c r="I212"/>
  <c r="G212"/>
  <c r="H212" s="1"/>
  <c r="G211"/>
  <c r="H211" s="1"/>
  <c r="I211"/>
  <c r="I210"/>
  <c r="G210"/>
  <c r="H210" s="1"/>
  <c r="I209"/>
  <c r="G209"/>
  <c r="H209" s="1"/>
  <c r="I208"/>
  <c r="G208"/>
  <c r="H208" s="1"/>
  <c r="G207"/>
  <c r="H207" s="1"/>
  <c r="D207"/>
  <c r="I207" s="1"/>
  <c r="I206"/>
  <c r="G206"/>
  <c r="H206" s="1"/>
  <c r="I205"/>
  <c r="G205"/>
  <c r="H205" s="1"/>
  <c r="G204"/>
  <c r="H204" s="1"/>
  <c r="D204"/>
  <c r="I204" s="1"/>
  <c r="G203"/>
  <c r="H203" s="1"/>
  <c r="I203"/>
  <c r="J203" s="1"/>
  <c r="G202"/>
  <c r="H202" s="1"/>
  <c r="I201"/>
  <c r="G201"/>
  <c r="H201" s="1"/>
  <c r="D181"/>
  <c r="D182"/>
  <c r="D197"/>
  <c r="D189"/>
  <c r="L200"/>
  <c r="L199"/>
  <c r="C198"/>
  <c r="G197"/>
  <c r="H197" s="1"/>
  <c r="I197"/>
  <c r="I196"/>
  <c r="G196"/>
  <c r="H196" s="1"/>
  <c r="I195"/>
  <c r="G195"/>
  <c r="H195" s="1"/>
  <c r="I194"/>
  <c r="G194"/>
  <c r="H194" s="1"/>
  <c r="I193"/>
  <c r="G193"/>
  <c r="H193" s="1"/>
  <c r="I192"/>
  <c r="G192"/>
  <c r="H192" s="1"/>
  <c r="D192"/>
  <c r="I191"/>
  <c r="G191"/>
  <c r="H191" s="1"/>
  <c r="I190"/>
  <c r="G190"/>
  <c r="H190" s="1"/>
  <c r="G189"/>
  <c r="H189" s="1"/>
  <c r="I189"/>
  <c r="I188"/>
  <c r="G188"/>
  <c r="H188" s="1"/>
  <c r="I187"/>
  <c r="G187"/>
  <c r="H187" s="1"/>
  <c r="I186"/>
  <c r="G186"/>
  <c r="H186" s="1"/>
  <c r="I185"/>
  <c r="G185"/>
  <c r="H185" s="1"/>
  <c r="D185"/>
  <c r="I184"/>
  <c r="G184"/>
  <c r="H184" s="1"/>
  <c r="J184" s="1"/>
  <c r="I183"/>
  <c r="H183"/>
  <c r="J183" s="1"/>
  <c r="G183"/>
  <c r="G182"/>
  <c r="H182" s="1"/>
  <c r="I182"/>
  <c r="I181"/>
  <c r="G181"/>
  <c r="H181" s="1"/>
  <c r="I180"/>
  <c r="H180"/>
  <c r="J180" s="1"/>
  <c r="G180"/>
  <c r="I179"/>
  <c r="H179"/>
  <c r="J179" s="1"/>
  <c r="G179"/>
  <c r="D170"/>
  <c r="I170" s="1"/>
  <c r="D167"/>
  <c r="I167"/>
  <c r="D160"/>
  <c r="I160" s="1"/>
  <c r="D159"/>
  <c r="I159" s="1"/>
  <c r="D163"/>
  <c r="I163" s="1"/>
  <c r="L177"/>
  <c r="C176"/>
  <c r="I175"/>
  <c r="G175"/>
  <c r="H175" s="1"/>
  <c r="I174"/>
  <c r="G174"/>
  <c r="H174" s="1"/>
  <c r="I173"/>
  <c r="G173"/>
  <c r="H173" s="1"/>
  <c r="I172"/>
  <c r="G172"/>
  <c r="H172" s="1"/>
  <c r="I171"/>
  <c r="G171"/>
  <c r="H171" s="1"/>
  <c r="G170"/>
  <c r="H170" s="1"/>
  <c r="I169"/>
  <c r="G169"/>
  <c r="H169" s="1"/>
  <c r="I168"/>
  <c r="G168"/>
  <c r="H168" s="1"/>
  <c r="G167"/>
  <c r="H167" s="1"/>
  <c r="I166"/>
  <c r="G166"/>
  <c r="H166" s="1"/>
  <c r="G165"/>
  <c r="H165" s="1"/>
  <c r="I165"/>
  <c r="I164"/>
  <c r="G164"/>
  <c r="H164" s="1"/>
  <c r="G163"/>
  <c r="H163" s="1"/>
  <c r="I162"/>
  <c r="G162"/>
  <c r="H162" s="1"/>
  <c r="I161"/>
  <c r="G161"/>
  <c r="H161" s="1"/>
  <c r="G160"/>
  <c r="H160" s="1"/>
  <c r="G159"/>
  <c r="H159" s="1"/>
  <c r="G158"/>
  <c r="H158" s="1"/>
  <c r="I158"/>
  <c r="I157"/>
  <c r="J157" s="1"/>
  <c r="G157"/>
  <c r="H157" s="1"/>
  <c r="D136"/>
  <c r="D138"/>
  <c r="I138" s="1"/>
  <c r="D143"/>
  <c r="L156"/>
  <c r="L155"/>
  <c r="C154"/>
  <c r="I153"/>
  <c r="G153"/>
  <c r="H153" s="1"/>
  <c r="I152"/>
  <c r="G152"/>
  <c r="H152" s="1"/>
  <c r="J152" s="1"/>
  <c r="I151"/>
  <c r="H151"/>
  <c r="J151" s="1"/>
  <c r="G151"/>
  <c r="I150"/>
  <c r="G150"/>
  <c r="H150" s="1"/>
  <c r="I149"/>
  <c r="G149"/>
  <c r="H149" s="1"/>
  <c r="I148"/>
  <c r="G148"/>
  <c r="H148" s="1"/>
  <c r="J148" s="1"/>
  <c r="I147"/>
  <c r="G147"/>
  <c r="H147" s="1"/>
  <c r="J147" s="1"/>
  <c r="I146"/>
  <c r="G146"/>
  <c r="H146" s="1"/>
  <c r="G145"/>
  <c r="H145" s="1"/>
  <c r="I145"/>
  <c r="I144"/>
  <c r="G144"/>
  <c r="H144" s="1"/>
  <c r="I143"/>
  <c r="G143"/>
  <c r="H143" s="1"/>
  <c r="I142"/>
  <c r="G142"/>
  <c r="H142" s="1"/>
  <c r="J142" s="1"/>
  <c r="I141"/>
  <c r="H141"/>
  <c r="J141" s="1"/>
  <c r="G141"/>
  <c r="I140"/>
  <c r="G140"/>
  <c r="H140" s="1"/>
  <c r="I139"/>
  <c r="G139"/>
  <c r="H139" s="1"/>
  <c r="J139" s="1"/>
  <c r="G138"/>
  <c r="H138" s="1"/>
  <c r="I137"/>
  <c r="G137"/>
  <c r="H137" s="1"/>
  <c r="I136"/>
  <c r="G136"/>
  <c r="H136" s="1"/>
  <c r="I135"/>
  <c r="G135"/>
  <c r="H135" s="1"/>
  <c r="D116"/>
  <c r="I116" s="1"/>
  <c r="D123"/>
  <c r="L134"/>
  <c r="L133"/>
  <c r="C132"/>
  <c r="G131"/>
  <c r="H131" s="1"/>
  <c r="D131"/>
  <c r="I131" s="1"/>
  <c r="I130"/>
  <c r="G130"/>
  <c r="H130" s="1"/>
  <c r="I129"/>
  <c r="G129"/>
  <c r="H129" s="1"/>
  <c r="I128"/>
  <c r="G128"/>
  <c r="H128" s="1"/>
  <c r="I127"/>
  <c r="G127"/>
  <c r="H127" s="1"/>
  <c r="I126"/>
  <c r="G126"/>
  <c r="H126" s="1"/>
  <c r="I125"/>
  <c r="G125"/>
  <c r="H125" s="1"/>
  <c r="I124"/>
  <c r="G124"/>
  <c r="H124" s="1"/>
  <c r="I123"/>
  <c r="G123"/>
  <c r="H123" s="1"/>
  <c r="G122"/>
  <c r="H122" s="1"/>
  <c r="D122"/>
  <c r="I122" s="1"/>
  <c r="I121"/>
  <c r="G121"/>
  <c r="H121" s="1"/>
  <c r="I120"/>
  <c r="G120"/>
  <c r="H120" s="1"/>
  <c r="I119"/>
  <c r="G119"/>
  <c r="H119" s="1"/>
  <c r="I118"/>
  <c r="G118"/>
  <c r="H118" s="1"/>
  <c r="I117"/>
  <c r="G117"/>
  <c r="H117" s="1"/>
  <c r="G116"/>
  <c r="H116" s="1"/>
  <c r="I115"/>
  <c r="G115"/>
  <c r="H115" s="1"/>
  <c r="I114"/>
  <c r="G114"/>
  <c r="H114" s="1"/>
  <c r="I113"/>
  <c r="H113"/>
  <c r="J113" s="1"/>
  <c r="G113"/>
  <c r="D94"/>
  <c r="I94" s="1"/>
  <c r="J94" s="1"/>
  <c r="D101"/>
  <c r="I101" s="1"/>
  <c r="D109"/>
  <c r="D100"/>
  <c r="I100" s="1"/>
  <c r="L112"/>
  <c r="L111"/>
  <c r="C110"/>
  <c r="I109"/>
  <c r="G109"/>
  <c r="H109" s="1"/>
  <c r="I108"/>
  <c r="G108"/>
  <c r="H108" s="1"/>
  <c r="J108" s="1"/>
  <c r="I107"/>
  <c r="G107"/>
  <c r="H107" s="1"/>
  <c r="J107" s="1"/>
  <c r="I106"/>
  <c r="G106"/>
  <c r="H106" s="1"/>
  <c r="J106" s="1"/>
  <c r="I105"/>
  <c r="G105"/>
  <c r="H105" s="1"/>
  <c r="J105" s="1"/>
  <c r="I104"/>
  <c r="G104"/>
  <c r="H104" s="1"/>
  <c r="J104" s="1"/>
  <c r="I103"/>
  <c r="H103"/>
  <c r="J103" s="1"/>
  <c r="G103"/>
  <c r="I102"/>
  <c r="G102"/>
  <c r="H102" s="1"/>
  <c r="G101"/>
  <c r="H101" s="1"/>
  <c r="G100"/>
  <c r="H100" s="1"/>
  <c r="I99"/>
  <c r="G99"/>
  <c r="H99" s="1"/>
  <c r="I98"/>
  <c r="G98"/>
  <c r="H98" s="1"/>
  <c r="G97"/>
  <c r="H97" s="1"/>
  <c r="I97"/>
  <c r="I96"/>
  <c r="G96"/>
  <c r="H96" s="1"/>
  <c r="I95"/>
  <c r="G95"/>
  <c r="H95" s="1"/>
  <c r="G94"/>
  <c r="H94" s="1"/>
  <c r="I93"/>
  <c r="G93"/>
  <c r="H93" s="1"/>
  <c r="I92"/>
  <c r="G92"/>
  <c r="H92" s="1"/>
  <c r="I91"/>
  <c r="G91"/>
  <c r="H91" s="1"/>
  <c r="D72"/>
  <c r="I72" s="1"/>
  <c r="D79"/>
  <c r="I79" s="1"/>
  <c r="D87"/>
  <c r="D78"/>
  <c r="I78" s="1"/>
  <c r="L90"/>
  <c r="L89"/>
  <c r="C88"/>
  <c r="G87"/>
  <c r="H87" s="1"/>
  <c r="I87"/>
  <c r="I86"/>
  <c r="G86"/>
  <c r="H86" s="1"/>
  <c r="I85"/>
  <c r="G85"/>
  <c r="H85" s="1"/>
  <c r="I84"/>
  <c r="G84"/>
  <c r="H84" s="1"/>
  <c r="I83"/>
  <c r="G83"/>
  <c r="H83" s="1"/>
  <c r="I82"/>
  <c r="G82"/>
  <c r="H82" s="1"/>
  <c r="I81"/>
  <c r="G81"/>
  <c r="H81" s="1"/>
  <c r="I80"/>
  <c r="G80"/>
  <c r="H80" s="1"/>
  <c r="G79"/>
  <c r="H79" s="1"/>
  <c r="G78"/>
  <c r="H78" s="1"/>
  <c r="I77"/>
  <c r="G77"/>
  <c r="H77" s="1"/>
  <c r="I76"/>
  <c r="G76"/>
  <c r="H76" s="1"/>
  <c r="I75"/>
  <c r="G75"/>
  <c r="H75" s="1"/>
  <c r="D75"/>
  <c r="I74"/>
  <c r="G74"/>
  <c r="H74" s="1"/>
  <c r="J74" s="1"/>
  <c r="I73"/>
  <c r="H73"/>
  <c r="J73" s="1"/>
  <c r="G73"/>
  <c r="G72"/>
  <c r="H72" s="1"/>
  <c r="I71"/>
  <c r="G71"/>
  <c r="H71" s="1"/>
  <c r="I70"/>
  <c r="G70"/>
  <c r="H70" s="1"/>
  <c r="I69"/>
  <c r="G69"/>
  <c r="H69" s="1"/>
  <c r="D50"/>
  <c r="I50" s="1"/>
  <c r="D53"/>
  <c r="I53" s="1"/>
  <c r="D57"/>
  <c r="I57" s="1"/>
  <c r="D56"/>
  <c r="D65"/>
  <c r="L68"/>
  <c r="L67"/>
  <c r="J22" i="7"/>
  <c r="J20"/>
  <c r="I14"/>
  <c r="E18"/>
  <c r="F18" s="1"/>
  <c r="E19"/>
  <c r="F19" s="1"/>
  <c r="E20"/>
  <c r="F20" s="1"/>
  <c r="G20" s="1"/>
  <c r="E21"/>
  <c r="F21" s="1"/>
  <c r="G21" s="1"/>
  <c r="I21" s="1"/>
  <c r="K21" s="1"/>
  <c r="E17"/>
  <c r="F17" s="1"/>
  <c r="F16"/>
  <c r="E16"/>
  <c r="J24"/>
  <c r="C66" i="1"/>
  <c r="I65"/>
  <c r="G65"/>
  <c r="H65" s="1"/>
  <c r="I64"/>
  <c r="H64"/>
  <c r="J64" s="1"/>
  <c r="G64"/>
  <c r="I63"/>
  <c r="G63"/>
  <c r="H63" s="1"/>
  <c r="I62"/>
  <c r="G62"/>
  <c r="H62" s="1"/>
  <c r="I61"/>
  <c r="G61"/>
  <c r="H61" s="1"/>
  <c r="I60"/>
  <c r="G60"/>
  <c r="H60" s="1"/>
  <c r="I59"/>
  <c r="G59"/>
  <c r="H59" s="1"/>
  <c r="I58"/>
  <c r="G58"/>
  <c r="H58" s="1"/>
  <c r="G57"/>
  <c r="H57" s="1"/>
  <c r="I56"/>
  <c r="G56"/>
  <c r="H56" s="1"/>
  <c r="I55"/>
  <c r="G55"/>
  <c r="H55" s="1"/>
  <c r="I54"/>
  <c r="H54"/>
  <c r="J54" s="1"/>
  <c r="G54"/>
  <c r="G53"/>
  <c r="H53" s="1"/>
  <c r="I52"/>
  <c r="H52"/>
  <c r="G52"/>
  <c r="I51"/>
  <c r="G51"/>
  <c r="H51" s="1"/>
  <c r="J51" s="1"/>
  <c r="G50"/>
  <c r="H50" s="1"/>
  <c r="I49"/>
  <c r="G49"/>
  <c r="H49" s="1"/>
  <c r="I48"/>
  <c r="J48" s="1"/>
  <c r="G48"/>
  <c r="H48" s="1"/>
  <c r="I47"/>
  <c r="G47"/>
  <c r="H47" s="1"/>
  <c r="D35"/>
  <c r="K16" i="6" l="1"/>
  <c r="K23"/>
  <c r="I24"/>
  <c r="K24" s="1"/>
  <c r="G19"/>
  <c r="I19" s="1"/>
  <c r="K19" s="1"/>
  <c r="F56"/>
  <c r="G56" s="1"/>
  <c r="I68" i="7"/>
  <c r="K68" s="1"/>
  <c r="I67"/>
  <c r="K67" s="1"/>
  <c r="I27" i="6"/>
  <c r="K27" s="1"/>
  <c r="I90" i="5"/>
  <c r="K90" s="1"/>
  <c r="I59" i="7"/>
  <c r="I58"/>
  <c r="K58" s="1"/>
  <c r="I78" i="5"/>
  <c r="K78" s="1"/>
  <c r="I50" i="7"/>
  <c r="I49"/>
  <c r="G20" i="6"/>
  <c r="I20" s="1"/>
  <c r="G57" i="5"/>
  <c r="I57" s="1"/>
  <c r="I58"/>
  <c r="G59"/>
  <c r="I59" s="1"/>
  <c r="G60"/>
  <c r="I60" s="1"/>
  <c r="G61"/>
  <c r="I61" s="1"/>
  <c r="G62"/>
  <c r="I62" s="1"/>
  <c r="G63"/>
  <c r="I63" s="1"/>
  <c r="G64"/>
  <c r="I64" s="1"/>
  <c r="G65"/>
  <c r="I65" s="1"/>
  <c r="I41" i="7"/>
  <c r="G34"/>
  <c r="I34" s="1"/>
  <c r="K34" s="1"/>
  <c r="G36"/>
  <c r="I36" s="1"/>
  <c r="K36" s="1"/>
  <c r="G38"/>
  <c r="I38" s="1"/>
  <c r="K38" s="1"/>
  <c r="G39"/>
  <c r="I39" s="1"/>
  <c r="K39" s="1"/>
  <c r="J40"/>
  <c r="G17" i="6"/>
  <c r="I17" s="1"/>
  <c r="G55"/>
  <c r="G46" i="5"/>
  <c r="I46" s="1"/>
  <c r="G47"/>
  <c r="I47" s="1"/>
  <c r="G48"/>
  <c r="I48" s="1"/>
  <c r="G49"/>
  <c r="I49" s="1"/>
  <c r="G50"/>
  <c r="I50" s="1"/>
  <c r="G51"/>
  <c r="I51" s="1"/>
  <c r="G52"/>
  <c r="I52" s="1"/>
  <c r="G53"/>
  <c r="I53" s="1"/>
  <c r="G28" i="7"/>
  <c r="I28" s="1"/>
  <c r="I32"/>
  <c r="K32" s="1"/>
  <c r="G25"/>
  <c r="I25" s="1"/>
  <c r="K25" s="1"/>
  <c r="G27"/>
  <c r="I27" s="1"/>
  <c r="K27" s="1"/>
  <c r="G29"/>
  <c r="I29" s="1"/>
  <c r="K29" s="1"/>
  <c r="G30"/>
  <c r="I30" s="1"/>
  <c r="K30" s="1"/>
  <c r="J31"/>
  <c r="G13" i="6"/>
  <c r="I13" s="1"/>
  <c r="K13" s="1"/>
  <c r="G14"/>
  <c r="I14" s="1"/>
  <c r="G31" i="5"/>
  <c r="I31" s="1"/>
  <c r="G32"/>
  <c r="I32" s="1"/>
  <c r="G33"/>
  <c r="I33" s="1"/>
  <c r="G34"/>
  <c r="I34" s="1"/>
  <c r="G35"/>
  <c r="I35" s="1"/>
  <c r="G36"/>
  <c r="I36" s="1"/>
  <c r="G37"/>
  <c r="I37" s="1"/>
  <c r="G38"/>
  <c r="I38" s="1"/>
  <c r="G39"/>
  <c r="I39" s="1"/>
  <c r="G40"/>
  <c r="I40" s="1"/>
  <c r="G41"/>
  <c r="I41" s="1"/>
  <c r="J253" i="1"/>
  <c r="J264"/>
  <c r="J255"/>
  <c r="J254"/>
  <c r="J287"/>
  <c r="J278"/>
  <c r="J273"/>
  <c r="J275"/>
  <c r="J270"/>
  <c r="J259"/>
  <c r="J249"/>
  <c r="J247"/>
  <c r="J272"/>
  <c r="J282"/>
  <c r="J286"/>
  <c r="J250"/>
  <c r="J252"/>
  <c r="J260"/>
  <c r="J263"/>
  <c r="J269"/>
  <c r="J271"/>
  <c r="J274"/>
  <c r="J279"/>
  <c r="J280"/>
  <c r="J281"/>
  <c r="J283"/>
  <c r="J284"/>
  <c r="J285"/>
  <c r="J288"/>
  <c r="J251"/>
  <c r="J261"/>
  <c r="J262"/>
  <c r="J246"/>
  <c r="J248"/>
  <c r="J256"/>
  <c r="J257"/>
  <c r="J258"/>
  <c r="J265"/>
  <c r="J214"/>
  <c r="J217"/>
  <c r="J240"/>
  <c r="J229"/>
  <c r="J239"/>
  <c r="J236"/>
  <c r="J233"/>
  <c r="J211"/>
  <c r="J204"/>
  <c r="J207"/>
  <c r="J226"/>
  <c r="J223"/>
  <c r="J224"/>
  <c r="J227"/>
  <c r="J228"/>
  <c r="J230"/>
  <c r="J231"/>
  <c r="J232"/>
  <c r="J234"/>
  <c r="J235"/>
  <c r="J237"/>
  <c r="J238"/>
  <c r="J242"/>
  <c r="J201"/>
  <c r="J202"/>
  <c r="J205"/>
  <c r="J206"/>
  <c r="J208"/>
  <c r="J209"/>
  <c r="J210"/>
  <c r="J212"/>
  <c r="J213"/>
  <c r="J215"/>
  <c r="J216"/>
  <c r="J219"/>
  <c r="J190"/>
  <c r="J191"/>
  <c r="J182"/>
  <c r="J189"/>
  <c r="J197"/>
  <c r="J181"/>
  <c r="J185"/>
  <c r="J186"/>
  <c r="J187"/>
  <c r="J188"/>
  <c r="J192"/>
  <c r="J193"/>
  <c r="J194"/>
  <c r="J195"/>
  <c r="J196"/>
  <c r="J165"/>
  <c r="J159"/>
  <c r="J158"/>
  <c r="J160"/>
  <c r="J161"/>
  <c r="J162"/>
  <c r="J163"/>
  <c r="J164"/>
  <c r="J166"/>
  <c r="J167"/>
  <c r="J168"/>
  <c r="J169"/>
  <c r="J170"/>
  <c r="J171"/>
  <c r="J172"/>
  <c r="J173"/>
  <c r="J174"/>
  <c r="J175"/>
  <c r="J150"/>
  <c r="J146"/>
  <c r="J143"/>
  <c r="J140"/>
  <c r="J138"/>
  <c r="J145"/>
  <c r="J144"/>
  <c r="J135"/>
  <c r="J136"/>
  <c r="J137"/>
  <c r="J149"/>
  <c r="J153"/>
  <c r="J122"/>
  <c r="J114"/>
  <c r="J115"/>
  <c r="J131"/>
  <c r="J116"/>
  <c r="J117"/>
  <c r="J118"/>
  <c r="J119"/>
  <c r="J120"/>
  <c r="J121"/>
  <c r="J123"/>
  <c r="J124"/>
  <c r="J125"/>
  <c r="J126"/>
  <c r="J127"/>
  <c r="J128"/>
  <c r="J129"/>
  <c r="J130"/>
  <c r="J100"/>
  <c r="J101"/>
  <c r="J102"/>
  <c r="J97"/>
  <c r="J91"/>
  <c r="J92"/>
  <c r="J93"/>
  <c r="J95"/>
  <c r="J96"/>
  <c r="J98"/>
  <c r="J99"/>
  <c r="J109"/>
  <c r="J78"/>
  <c r="J72"/>
  <c r="J87"/>
  <c r="J69"/>
  <c r="J70"/>
  <c r="J71"/>
  <c r="J75"/>
  <c r="J76"/>
  <c r="J77"/>
  <c r="J79"/>
  <c r="J80"/>
  <c r="J81"/>
  <c r="J82"/>
  <c r="J83"/>
  <c r="J84"/>
  <c r="J85"/>
  <c r="J86"/>
  <c r="J58"/>
  <c r="J57"/>
  <c r="J60"/>
  <c r="J61"/>
  <c r="J62"/>
  <c r="J53"/>
  <c r="J63"/>
  <c r="J59"/>
  <c r="J55"/>
  <c r="J52"/>
  <c r="J65"/>
  <c r="J50"/>
  <c r="I22" i="7"/>
  <c r="G18"/>
  <c r="I18" s="1"/>
  <c r="K18" s="1"/>
  <c r="G16"/>
  <c r="I16" s="1"/>
  <c r="K16" s="1"/>
  <c r="I20"/>
  <c r="K20" s="1"/>
  <c r="G17"/>
  <c r="I17" s="1"/>
  <c r="K17" s="1"/>
  <c r="G19"/>
  <c r="I19" s="1"/>
  <c r="K19" s="1"/>
  <c r="J56" i="1"/>
  <c r="J47"/>
  <c r="J49"/>
  <c r="D34"/>
  <c r="I35"/>
  <c r="I34"/>
  <c r="I30"/>
  <c r="D28"/>
  <c r="I28"/>
  <c r="H29"/>
  <c r="I29"/>
  <c r="H30"/>
  <c r="I31"/>
  <c r="I32"/>
  <c r="I33"/>
  <c r="I36"/>
  <c r="I37"/>
  <c r="I38"/>
  <c r="I39"/>
  <c r="I40"/>
  <c r="I41"/>
  <c r="G29"/>
  <c r="G30"/>
  <c r="G31"/>
  <c r="H31" s="1"/>
  <c r="G32"/>
  <c r="H32" s="1"/>
  <c r="G33"/>
  <c r="H33" s="1"/>
  <c r="G34"/>
  <c r="H34" s="1"/>
  <c r="G35"/>
  <c r="H35" s="1"/>
  <c r="G36"/>
  <c r="H36" s="1"/>
  <c r="G37"/>
  <c r="H37" s="1"/>
  <c r="G38"/>
  <c r="H38" s="1"/>
  <c r="G39"/>
  <c r="H39" s="1"/>
  <c r="G40"/>
  <c r="H40" s="1"/>
  <c r="G41"/>
  <c r="H41" s="1"/>
  <c r="G42"/>
  <c r="L46"/>
  <c r="L45"/>
  <c r="C44"/>
  <c r="I43"/>
  <c r="H43"/>
  <c r="G43"/>
  <c r="H42"/>
  <c r="I42"/>
  <c r="G28"/>
  <c r="H28" s="1"/>
  <c r="I27"/>
  <c r="G27"/>
  <c r="H27" s="1"/>
  <c r="I26"/>
  <c r="H26"/>
  <c r="G26"/>
  <c r="I25"/>
  <c r="H25"/>
  <c r="G25"/>
  <c r="K53" i="6"/>
  <c r="E53"/>
  <c r="F53" s="1"/>
  <c r="G53" s="1"/>
  <c r="E11"/>
  <c r="F11" s="1"/>
  <c r="E10"/>
  <c r="F10" s="1"/>
  <c r="G10" s="1"/>
  <c r="I10" s="1"/>
  <c r="H22" i="5"/>
  <c r="J30"/>
  <c r="E21"/>
  <c r="F21" s="1"/>
  <c r="G21" s="1"/>
  <c r="I21" s="1"/>
  <c r="E22"/>
  <c r="F22" s="1"/>
  <c r="G22" s="1"/>
  <c r="E23"/>
  <c r="F23" s="1"/>
  <c r="E24"/>
  <c r="F24" s="1"/>
  <c r="E25"/>
  <c r="F25" s="1"/>
  <c r="E26"/>
  <c r="F26" s="1"/>
  <c r="E27"/>
  <c r="F27" s="1"/>
  <c r="E28"/>
  <c r="F28" s="1"/>
  <c r="E29"/>
  <c r="F29" s="1"/>
  <c r="F20"/>
  <c r="G20" s="1"/>
  <c r="I20" s="1"/>
  <c r="E20"/>
  <c r="F19"/>
  <c r="G19" s="1"/>
  <c r="I19" s="1"/>
  <c r="E19"/>
  <c r="I21" i="6" l="1"/>
  <c r="K21" s="1"/>
  <c r="G11"/>
  <c r="I11" s="1"/>
  <c r="I12" s="1"/>
  <c r="K12" s="1"/>
  <c r="I18"/>
  <c r="K18" s="1"/>
  <c r="I69" i="7"/>
  <c r="K69" s="1"/>
  <c r="I60"/>
  <c r="K60" s="1"/>
  <c r="I51"/>
  <c r="I66" i="5"/>
  <c r="K66" s="1"/>
  <c r="I40" i="7"/>
  <c r="K40" s="1"/>
  <c r="I54" i="5"/>
  <c r="K54" s="1"/>
  <c r="I31" i="7"/>
  <c r="K31" s="1"/>
  <c r="I15" i="6"/>
  <c r="K15" s="1"/>
  <c r="I42" i="5"/>
  <c r="K42" s="1"/>
  <c r="J290" i="1"/>
  <c r="J289"/>
  <c r="J267"/>
  <c r="J266"/>
  <c r="J244"/>
  <c r="J243"/>
  <c r="J221"/>
  <c r="J220"/>
  <c r="J199"/>
  <c r="J198"/>
  <c r="K199"/>
  <c r="M199" s="1"/>
  <c r="J176"/>
  <c r="J177"/>
  <c r="J155"/>
  <c r="J154"/>
  <c r="J132"/>
  <c r="J133"/>
  <c r="J111"/>
  <c r="K111" s="1"/>
  <c r="M111" s="1"/>
  <c r="J110"/>
  <c r="J89"/>
  <c r="J88"/>
  <c r="I23" i="7"/>
  <c r="K23" s="1"/>
  <c r="K22"/>
  <c r="J67" i="1"/>
  <c r="J66"/>
  <c r="J35"/>
  <c r="J43"/>
  <c r="J31"/>
  <c r="J39"/>
  <c r="J37"/>
  <c r="J38"/>
  <c r="J41"/>
  <c r="J40"/>
  <c r="J36"/>
  <c r="J34"/>
  <c r="J33"/>
  <c r="J32"/>
  <c r="J30"/>
  <c r="J27"/>
  <c r="J25"/>
  <c r="J29"/>
  <c r="J26"/>
  <c r="J42"/>
  <c r="J28"/>
  <c r="I22" i="5"/>
  <c r="G23"/>
  <c r="I23" s="1"/>
  <c r="G24"/>
  <c r="I24" s="1"/>
  <c r="G25"/>
  <c r="I25" s="1"/>
  <c r="G26"/>
  <c r="I26" s="1"/>
  <c r="G27"/>
  <c r="I27" s="1"/>
  <c r="G28"/>
  <c r="I28" s="1"/>
  <c r="G29"/>
  <c r="I29" s="1"/>
  <c r="I18"/>
  <c r="J22" i="1"/>
  <c r="I13" i="7"/>
  <c r="K13" s="1"/>
  <c r="J15"/>
  <c r="K14"/>
  <c r="D20" i="1"/>
  <c r="L24"/>
  <c r="D10"/>
  <c r="J12"/>
  <c r="H10"/>
  <c r="I42" i="7" l="1"/>
  <c r="K42" s="1"/>
  <c r="I33"/>
  <c r="K33" s="1"/>
  <c r="K290" i="1"/>
  <c r="M290" s="1"/>
  <c r="J291"/>
  <c r="K267"/>
  <c r="M267" s="1"/>
  <c r="J268"/>
  <c r="J245"/>
  <c r="K245" s="1"/>
  <c r="M245" s="1"/>
  <c r="K221"/>
  <c r="M221" s="1"/>
  <c r="K244"/>
  <c r="M244" s="1"/>
  <c r="J222"/>
  <c r="J200"/>
  <c r="K200" s="1"/>
  <c r="M200" s="1"/>
  <c r="K177"/>
  <c r="M177" s="1"/>
  <c r="J178"/>
  <c r="J156"/>
  <c r="K156" s="1"/>
  <c r="M156" s="1"/>
  <c r="K155"/>
  <c r="M155" s="1"/>
  <c r="K133"/>
  <c r="M133" s="1"/>
  <c r="J134"/>
  <c r="J112"/>
  <c r="K112" s="1"/>
  <c r="M112" s="1"/>
  <c r="K89"/>
  <c r="M89" s="1"/>
  <c r="J90"/>
  <c r="K67"/>
  <c r="M67" s="1"/>
  <c r="I24" i="7"/>
  <c r="K24" s="1"/>
  <c r="J68" i="1"/>
  <c r="J44"/>
  <c r="J45"/>
  <c r="K45" s="1"/>
  <c r="M45" s="1"/>
  <c r="I30" i="5"/>
  <c r="K30" s="1"/>
  <c r="L23" i="1"/>
  <c r="I19"/>
  <c r="J19" s="1"/>
  <c r="H19"/>
  <c r="G19"/>
  <c r="I18"/>
  <c r="H18"/>
  <c r="J18" s="1"/>
  <c r="G18"/>
  <c r="I17"/>
  <c r="H17"/>
  <c r="J17" s="1"/>
  <c r="G17"/>
  <c r="I16"/>
  <c r="H16"/>
  <c r="J16" s="1"/>
  <c r="G16"/>
  <c r="I15"/>
  <c r="H15"/>
  <c r="J15" s="1"/>
  <c r="G15"/>
  <c r="K291" l="1"/>
  <c r="M291" s="1"/>
  <c r="K268"/>
  <c r="M268" s="1"/>
  <c r="K222"/>
  <c r="M222" s="1"/>
  <c r="K178"/>
  <c r="M178" s="1"/>
  <c r="K134"/>
  <c r="M134" s="1"/>
  <c r="K90"/>
  <c r="M90" s="1"/>
  <c r="K68"/>
  <c r="M68" s="1"/>
  <c r="J46"/>
  <c r="K46" s="1"/>
  <c r="M46" s="1"/>
  <c r="C22"/>
  <c r="I15" i="7"/>
  <c r="K15" s="1"/>
  <c r="E12"/>
  <c r="F12" s="1"/>
  <c r="K11"/>
  <c r="H11"/>
  <c r="E11"/>
  <c r="E10"/>
  <c r="F10" s="1"/>
  <c r="K8"/>
  <c r="K9"/>
  <c r="E9"/>
  <c r="F9" s="1"/>
  <c r="F8"/>
  <c r="E8"/>
  <c r="E7"/>
  <c r="F7" s="1"/>
  <c r="G12" l="1"/>
  <c r="I12" s="1"/>
  <c r="K12" s="1"/>
  <c r="F11"/>
  <c r="G11" s="1"/>
  <c r="I11" s="1"/>
  <c r="G10"/>
  <c r="I10" s="1"/>
  <c r="K10" s="1"/>
  <c r="K52" i="6"/>
  <c r="J53"/>
  <c r="L53" s="1"/>
  <c r="E52"/>
  <c r="F52" s="1"/>
  <c r="J18" i="5"/>
  <c r="E17"/>
  <c r="E16"/>
  <c r="F16" s="1"/>
  <c r="G16" l="1"/>
  <c r="I16" s="1"/>
  <c r="F17"/>
  <c r="G17" s="1"/>
  <c r="I17" s="1"/>
  <c r="E7" i="6"/>
  <c r="F7" s="1"/>
  <c r="G7" i="5"/>
  <c r="I7"/>
  <c r="K18"/>
  <c r="H10"/>
  <c r="I14"/>
  <c r="I13"/>
  <c r="I12"/>
  <c r="E12"/>
  <c r="F12"/>
  <c r="G12" s="1"/>
  <c r="E13"/>
  <c r="F13" s="1"/>
  <c r="G13" s="1"/>
  <c r="E14"/>
  <c r="F14"/>
  <c r="G14" s="1"/>
  <c r="F15"/>
  <c r="E15"/>
  <c r="F11"/>
  <c r="E11"/>
  <c r="F10"/>
  <c r="E10"/>
  <c r="F9"/>
  <c r="E9"/>
  <c r="F8"/>
  <c r="E8"/>
  <c r="F7"/>
  <c r="E7"/>
  <c r="F73" i="4" l="1"/>
  <c r="F74"/>
  <c r="F72"/>
  <c r="F71"/>
  <c r="E73"/>
  <c r="E74"/>
  <c r="E72"/>
  <c r="E71"/>
  <c r="F68"/>
  <c r="F69"/>
  <c r="F67"/>
  <c r="F66"/>
  <c r="E69"/>
  <c r="E68"/>
  <c r="E67"/>
  <c r="E66"/>
  <c r="F62"/>
  <c r="F63"/>
  <c r="F61"/>
  <c r="F60"/>
  <c r="E63"/>
  <c r="E62"/>
  <c r="E61"/>
  <c r="E60"/>
  <c r="E56"/>
  <c r="F56" s="1"/>
  <c r="E57"/>
  <c r="F57" s="1"/>
  <c r="E58"/>
  <c r="F58" s="1"/>
  <c r="F55"/>
  <c r="E55"/>
  <c r="F51"/>
  <c r="F52"/>
  <c r="F50"/>
  <c r="F49"/>
  <c r="E52"/>
  <c r="E51"/>
  <c r="E50"/>
  <c r="E49"/>
  <c r="F46"/>
  <c r="F47"/>
  <c r="F45"/>
  <c r="F44"/>
  <c r="E46"/>
  <c r="E47"/>
  <c r="E45"/>
  <c r="E44"/>
  <c r="F42"/>
  <c r="E42"/>
  <c r="F41"/>
  <c r="E41"/>
  <c r="F40"/>
  <c r="E40"/>
  <c r="F39"/>
  <c r="E39"/>
  <c r="F37"/>
  <c r="F36"/>
  <c r="F35"/>
  <c r="F34"/>
  <c r="E36"/>
  <c r="E37"/>
  <c r="E35"/>
  <c r="E34"/>
  <c r="F31"/>
  <c r="F32"/>
  <c r="F30"/>
  <c r="F29"/>
  <c r="E31"/>
  <c r="E32"/>
  <c r="E30"/>
  <c r="E29"/>
  <c r="E11"/>
  <c r="E12"/>
  <c r="E10"/>
  <c r="E9"/>
  <c r="F26"/>
  <c r="F27"/>
  <c r="F25"/>
  <c r="F24"/>
  <c r="E26"/>
  <c r="E27"/>
  <c r="E25"/>
  <c r="E24"/>
  <c r="F21"/>
  <c r="F22"/>
  <c r="F20"/>
  <c r="F19"/>
  <c r="E21"/>
  <c r="E22"/>
  <c r="E20"/>
  <c r="E19"/>
  <c r="F15"/>
  <c r="F16"/>
  <c r="F17"/>
  <c r="E17"/>
  <c r="E16"/>
  <c r="E15"/>
  <c r="F14"/>
  <c r="E14"/>
  <c r="F9" l="1"/>
  <c r="F10"/>
  <c r="F11"/>
  <c r="F12"/>
  <c r="G74"/>
  <c r="I74" s="1"/>
  <c r="G73"/>
  <c r="I73" s="1"/>
  <c r="G72"/>
  <c r="I72" s="1"/>
  <c r="G71"/>
  <c r="I71" s="1"/>
  <c r="G69"/>
  <c r="I69" s="1"/>
  <c r="G68"/>
  <c r="I68" s="1"/>
  <c r="G67"/>
  <c r="I67" s="1"/>
  <c r="G66"/>
  <c r="I66" s="1"/>
  <c r="G63"/>
  <c r="I63" s="1"/>
  <c r="G62"/>
  <c r="I62" s="1"/>
  <c r="G61"/>
  <c r="I61" s="1"/>
  <c r="G60"/>
  <c r="I60" s="1"/>
  <c r="G58"/>
  <c r="I58" s="1"/>
  <c r="G57"/>
  <c r="I57" s="1"/>
  <c r="G56"/>
  <c r="I56" s="1"/>
  <c r="G55"/>
  <c r="I55" s="1"/>
  <c r="G52"/>
  <c r="I52" s="1"/>
  <c r="G51"/>
  <c r="I51" s="1"/>
  <c r="G50"/>
  <c r="I50" s="1"/>
  <c r="G49"/>
  <c r="I49" s="1"/>
  <c r="G47"/>
  <c r="I47" s="1"/>
  <c r="G46"/>
  <c r="I46" s="1"/>
  <c r="G45"/>
  <c r="I45" s="1"/>
  <c r="G44"/>
  <c r="I44" s="1"/>
  <c r="G42"/>
  <c r="I42" s="1"/>
  <c r="G41"/>
  <c r="I41" s="1"/>
  <c r="G40"/>
  <c r="I40" s="1"/>
  <c r="G39"/>
  <c r="I39" s="1"/>
  <c r="G37"/>
  <c r="I37" s="1"/>
  <c r="G36"/>
  <c r="I36" s="1"/>
  <c r="G35"/>
  <c r="I35" s="1"/>
  <c r="G34"/>
  <c r="I34" s="1"/>
  <c r="G32"/>
  <c r="I32" s="1"/>
  <c r="G31"/>
  <c r="I31" s="1"/>
  <c r="G30"/>
  <c r="I30" s="1"/>
  <c r="G29"/>
  <c r="I29" s="1"/>
  <c r="G27"/>
  <c r="I27" s="1"/>
  <c r="G26"/>
  <c r="I26" s="1"/>
  <c r="G25"/>
  <c r="I25" s="1"/>
  <c r="G24"/>
  <c r="I24" s="1"/>
  <c r="G22"/>
  <c r="I22" s="1"/>
  <c r="G21"/>
  <c r="I21" s="1"/>
  <c r="G20"/>
  <c r="I20" s="1"/>
  <c r="G19"/>
  <c r="I19" s="1"/>
  <c r="G9" i="7"/>
  <c r="I70" i="4" l="1"/>
  <c r="J70" s="1"/>
  <c r="L70" s="1"/>
  <c r="I53"/>
  <c r="J53" s="1"/>
  <c r="L53" s="1"/>
  <c r="I43"/>
  <c r="J43" s="1"/>
  <c r="L43" s="1"/>
  <c r="I64"/>
  <c r="J64" s="1"/>
  <c r="L64" s="1"/>
  <c r="I48"/>
  <c r="J48" s="1"/>
  <c r="L48" s="1"/>
  <c r="I59"/>
  <c r="J59" s="1"/>
  <c r="L59" s="1"/>
  <c r="I23"/>
  <c r="J23" s="1"/>
  <c r="L23" s="1"/>
  <c r="I33"/>
  <c r="J33" s="1"/>
  <c r="L33" s="1"/>
  <c r="I75"/>
  <c r="J75" s="1"/>
  <c r="L75" s="1"/>
  <c r="I28"/>
  <c r="J28" s="1"/>
  <c r="L28" s="1"/>
  <c r="I38"/>
  <c r="J38" s="1"/>
  <c r="L38" s="1"/>
  <c r="I9" i="7"/>
  <c r="G8"/>
  <c r="I8" s="1"/>
  <c r="G7"/>
  <c r="I7" s="1"/>
  <c r="K7" s="1"/>
  <c r="G10" i="1"/>
  <c r="I10"/>
  <c r="G11"/>
  <c r="H11" s="1"/>
  <c r="I11"/>
  <c r="G12"/>
  <c r="H12" s="1"/>
  <c r="I12"/>
  <c r="G13"/>
  <c r="H13" s="1"/>
  <c r="I13"/>
  <c r="G14"/>
  <c r="H14" s="1"/>
  <c r="I14"/>
  <c r="G20"/>
  <c r="H20" s="1"/>
  <c r="I20"/>
  <c r="G21"/>
  <c r="H21" s="1"/>
  <c r="I21"/>
  <c r="J21" l="1"/>
  <c r="J20"/>
  <c r="J14"/>
  <c r="J13"/>
  <c r="J11"/>
  <c r="J10"/>
  <c r="G52" i="6" l="1"/>
  <c r="J52" s="1"/>
  <c r="L52" s="1"/>
  <c r="G7"/>
  <c r="I7" s="1"/>
  <c r="K7" s="1"/>
  <c r="G15" i="5"/>
  <c r="I15" s="1"/>
  <c r="G11"/>
  <c r="I11" s="1"/>
  <c r="G9"/>
  <c r="I9" s="1"/>
  <c r="G10"/>
  <c r="G8"/>
  <c r="I8" s="1"/>
  <c r="G14" i="4"/>
  <c r="I14" s="1"/>
  <c r="G10"/>
  <c r="I10" s="1"/>
  <c r="G9"/>
  <c r="I9" s="1"/>
  <c r="G17"/>
  <c r="I17" s="1"/>
  <c r="G16"/>
  <c r="I16" s="1"/>
  <c r="G15"/>
  <c r="I15" s="1"/>
  <c r="G11"/>
  <c r="I11" s="1"/>
  <c r="G12"/>
  <c r="I12" s="1"/>
  <c r="I13" l="1"/>
  <c r="I9" i="6"/>
  <c r="I10" i="5"/>
  <c r="G7" i="1" l="1"/>
  <c r="H7" s="1"/>
  <c r="I18" i="4" l="1"/>
  <c r="J18" s="1"/>
  <c r="L18" s="1"/>
  <c r="I8" i="1"/>
  <c r="I9"/>
  <c r="I7"/>
  <c r="J7" s="1"/>
  <c r="G9"/>
  <c r="H9" s="1"/>
  <c r="G8"/>
  <c r="H8" s="1"/>
  <c r="J9" l="1"/>
  <c r="J8"/>
  <c r="J23" l="1"/>
  <c r="J13" i="4"/>
  <c r="L13" s="1"/>
  <c r="J24" i="1" l="1"/>
  <c r="K24" s="1"/>
  <c r="M24" s="1"/>
  <c r="K23"/>
  <c r="M23" s="1"/>
</calcChain>
</file>

<file path=xl/sharedStrings.xml><?xml version="1.0" encoding="utf-8"?>
<sst xmlns="http://schemas.openxmlformats.org/spreadsheetml/2006/main" count="1121" uniqueCount="125">
  <si>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</si>
  <si>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</si>
  <si>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</si>
  <si>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</si>
  <si>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</si>
  <si>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</si>
  <si>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</si>
  <si>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</si>
  <si>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</si>
  <si>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</si>
  <si>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</si>
  <si>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</si>
  <si>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</si>
  <si>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</si>
  <si>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</si>
  <si>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</si>
  <si>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</si>
  <si>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</si>
  <si>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</si>
  <si>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</si>
  <si>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</si>
  <si>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</si>
  <si>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</si>
  <si>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</si>
  <si>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</si>
  <si>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</si>
  <si>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</si>
  <si>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</si>
  <si>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</si>
  <si>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</si>
  <si>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</si>
  <si>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</si>
  <si>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</si>
  <si>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</si>
  <si>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</si>
  <si>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</si>
  <si>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</si>
  <si>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</si>
  <si>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</si>
  <si>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</si>
  <si>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</si>
  <si>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</si>
  <si>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</si>
  <si>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</si>
  <si>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</si>
  <si>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</si>
  <si>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</si>
  <si>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</si>
  <si>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</si>
  <si>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</si>
  <si>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</si>
  <si>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</si>
  <si>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</si>
  <si>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</si>
  <si>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</si>
  <si>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</si>
  <si>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</si>
  <si>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</si>
  <si>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кв.м</t>
  </si>
  <si>
    <t>Тариф (цена 1 кв.м.), руб.</t>
  </si>
  <si>
    <t>Хозтовары</t>
  </si>
  <si>
    <t>д/сад Вишенка</t>
  </si>
  <si>
    <t>Время использования имущ.комплекса на 1 воспит.</t>
  </si>
  <si>
    <t>д/сад Капитошка</t>
  </si>
  <si>
    <t>д/сад Катюша</t>
  </si>
  <si>
    <t>д/сад Колосок</t>
  </si>
  <si>
    <t>д/сад Одуванчик</t>
  </si>
  <si>
    <t>д/сад Росинка</t>
  </si>
  <si>
    <t>д/сад Сибирячок</t>
  </si>
  <si>
    <t>д/сад Солнышко</t>
  </si>
  <si>
    <t>д/сад Тополек</t>
  </si>
  <si>
    <t>д/сад Теремок</t>
  </si>
  <si>
    <t>д/сад Аленка</t>
  </si>
  <si>
    <t>д/сад Калинка</t>
  </si>
  <si>
    <t>д/сад № 6</t>
  </si>
  <si>
    <t>6=гр.5/кол.воспит.</t>
  </si>
  <si>
    <t>Общее полезное время использования: 1) 247*8*(122/1974) =1976*0,062=122,51</t>
  </si>
  <si>
    <t>122 восп.</t>
  </si>
  <si>
    <t>240 восп.</t>
  </si>
  <si>
    <t>123 восп.</t>
  </si>
  <si>
    <t>140 восп.</t>
  </si>
  <si>
    <t>220 восп.</t>
  </si>
  <si>
    <t>250 восп.</t>
  </si>
  <si>
    <t>131 восп.</t>
  </si>
  <si>
    <t>126 восп.</t>
  </si>
  <si>
    <t>206 восп.</t>
  </si>
  <si>
    <t>275 восп.</t>
  </si>
  <si>
    <t>347 восп.</t>
  </si>
  <si>
    <t>434 восп.</t>
  </si>
  <si>
    <t>Время использования имущественного комплекса на 1 восп.: 1)122,51/122= 1,00418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</si>
  <si>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</si>
  <si>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</si>
  <si>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</si>
  <si>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Очистка крыши от снега</t>
  </si>
  <si>
    <t>ремонт мебели</t>
  </si>
  <si>
    <t>муниципальный бюджет</t>
  </si>
  <si>
    <t>Госпошлина</t>
  </si>
  <si>
    <t>Налог за негативное воздейств.на окр.среду</t>
  </si>
  <si>
    <t>краевой бюджет</t>
  </si>
  <si>
    <t>Канцелярия</t>
  </si>
  <si>
    <t>Обучение персонала</t>
  </si>
  <si>
    <t>Медицинский осмотр</t>
  </si>
  <si>
    <t>УСЛУГА "Реализация основных общеобразовательных программ дошкольного образования"</t>
  </si>
  <si>
    <t>Заведующий</t>
  </si>
  <si>
    <t>Зам.заведующего</t>
  </si>
  <si>
    <t>Помощник воспитателя</t>
  </si>
  <si>
    <t>Завхоз</t>
  </si>
  <si>
    <t>Делопроизводитель</t>
  </si>
  <si>
    <t>Повар</t>
  </si>
  <si>
    <t>Подсобный рабочий</t>
  </si>
  <si>
    <t>кладовщик</t>
  </si>
  <si>
    <t>грузчик</t>
  </si>
  <si>
    <t>канстелянша</t>
  </si>
  <si>
    <t>машинист по стирке белья</t>
  </si>
  <si>
    <t>рабочий по компл.обслуживанию здания</t>
  </si>
  <si>
    <t>Обслуживание "Стрелец-Мониторинг"</t>
  </si>
  <si>
    <t>Шеф-повар</t>
  </si>
  <si>
    <t>Специалист по кадрам</t>
  </si>
  <si>
    <t>Специалист по ОТ</t>
  </si>
  <si>
    <t>вахтер</t>
  </si>
  <si>
    <t>техник</t>
  </si>
  <si>
    <t>Карта-ключ для теплового узла</t>
  </si>
  <si>
    <t>Обслуживание камер видеонаблюдения</t>
  </si>
  <si>
    <t>Обслуживание системы дымоудаления</t>
  </si>
  <si>
    <t>Обслуживание электроустановок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</si>
</sst>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2" fontId="0" fillId="0" borderId="3" xfId="0" applyNumberFormat="1" applyBorder="1"/>
    <xf numFmtId="2" fontId="1" fillId="0" borderId="3" xfId="0" applyNumberFormat="1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2" fontId="3" fillId="0" borderId="10" xfId="0" applyNumberFormat="1" applyFont="1" applyBorder="1"/>
    <xf numFmtId="2" fontId="1" fillId="0" borderId="12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0" fillId="0" borderId="13" xfId="0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165" fontId="1" fillId="0" borderId="15" xfId="0" applyNumberFormat="1" applyFont="1" applyBorder="1"/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15" xfId="0" applyNumberFormat="1" applyFont="1" applyBorder="1"/>
    <xf numFmtId="165" fontId="1" fillId="0" borderId="16" xfId="0" applyNumberFormat="1" applyFont="1" applyBorder="1"/>
    <xf numFmtId="2" fontId="1" fillId="0" borderId="16" xfId="0" applyNumberFormat="1" applyFont="1" applyBorder="1"/>
    <xf numFmtId="0" fontId="1" fillId="0" borderId="17" xfId="0" applyFont="1" applyBorder="1"/>
    <xf numFmtId="1" fontId="1" fillId="0" borderId="3" xfId="0" applyNumberFormat="1" applyFont="1" applyBorder="1"/>
    <xf numFmtId="0" fontId="0" fillId="0" borderId="7" xfId="0" applyBorder="1" applyAlignment="1">
      <alignment horizontal="left"/>
    </xf>
    <xf numFmtId="0" fontId="8" fillId="0" borderId="0" xfId="0" applyFont="1"/>
    <xf numFmtId="0" fontId="1" fillId="0" borderId="2" xfId="0" applyFont="1" applyBorder="1" applyAlignment="1">
      <alignment wrapText="1"/>
    </xf>
    <xf numFmtId="0" fontId="9" fillId="0" borderId="0" xfId="0" applyFont="1"/>
    <xf numFmtId="2" fontId="2" fillId="0" borderId="18" xfId="0" applyNumberFormat="1" applyFont="1" applyBorder="1"/>
    <xf numFmtId="1" fontId="0" fillId="0" borderId="19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7" fontId="1" fillId="0" borderId="0" xfId="0" applyNumberFormat="1" applyFont="1"/>
    <xf numFmtId="0" fontId="0" fillId="0" borderId="20" xfId="0" applyBorder="1"/>
    <xf numFmtId="0" fontId="1" fillId="0" borderId="16" xfId="0" applyFont="1" applyBorder="1"/>
    <xf numFmtId="2" fontId="2" fillId="0" borderId="16" xfId="0" applyNumberFormat="1" applyFont="1" applyBorder="1"/>
    <xf numFmtId="0" fontId="0" fillId="0" borderId="21" xfId="0" applyBorder="1"/>
    <xf numFmtId="0" fontId="1" fillId="0" borderId="19" xfId="0" applyFont="1" applyBorder="1"/>
    <xf numFmtId="2" fontId="2" fillId="0" borderId="19" xfId="0" applyNumberFormat="1" applyFont="1" applyBorder="1"/>
    <xf numFmtId="2" fontId="2" fillId="0" borderId="22" xfId="0" applyNumberFormat="1" applyFont="1" applyBorder="1"/>
    <xf numFmtId="0" fontId="10" fillId="0" borderId="0" xfId="0" applyFont="1"/>
    <xf numFmtId="0" fontId="1" fillId="2" borderId="1" xfId="0" applyFont="1" applyFill="1" applyBorder="1"/>
    <xf numFmtId="2" fontId="0" fillId="0" borderId="19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2" fontId="2" fillId="0" borderId="14" xfId="0" applyNumberFormat="1" applyFont="1" applyBorder="1"/>
    <xf numFmtId="1" fontId="1" fillId="0" borderId="0" xfId="0" applyNumberFormat="1" applyFont="1"/>
    <xf numFmtId="167" fontId="1" fillId="0" borderId="1" xfId="0" applyNumberFormat="1" applyFont="1" applyBorder="1"/>
    <xf numFmtId="1" fontId="1" fillId="0" borderId="1" xfId="0" applyNumberFormat="1" applyFont="1" applyBorder="1"/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1" fontId="0" fillId="0" borderId="23" xfId="0" applyNumberFormat="1" applyBorder="1" applyAlignment="1">
      <alignment horizontal="right"/>
    </xf>
    <xf numFmtId="1" fontId="0" fillId="0" borderId="24" xfId="0" applyNumberFormat="1" applyBorder="1" applyAlignment="1">
      <alignment horizontal="right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6"/>
  <sheetViews>
    <sheetView workbookViewId="0">
      <pane xSplit="2" ySplit="8" topLeftCell="C75" activePane="bottomRight" state="frozen"/>
      <selection pane="topRight" activeCell="C1" sqref="C1"/>
      <selection pane="bottomLeft" activeCell="A7" sqref="A7"/>
      <selection pane="bottomRight" activeCell="C41" sqref="C41"/>
    </sheetView>
  </sheetViews>
  <sheetFormatPr defaultRowHeight="15"/>
  <cols>
    <col min="1" max="1" width="16.85546875" customWidth="1"/>
    <col min="2" max="2" width="19.42578125" style="1" customWidth="1"/>
    <col min="3" max="3" width="10.42578125" style="1" customWidth="1"/>
    <col min="4" max="4" width="11.28515625" style="1" customWidth="1"/>
    <col min="5" max="5" width="13.85546875" style="1" customWidth="1"/>
    <col min="6" max="6" width="13.42578125" style="1" customWidth="1"/>
    <col min="7" max="7" width="12.5703125" customWidth="1"/>
    <col min="8" max="8" width="9.140625" customWidth="1"/>
    <col min="9" max="9" width="10.85546875" style="1" customWidth="1"/>
    <col min="10" max="10" width="10.42578125" style="1" customWidth="1"/>
    <col min="11" max="11" width="10.7109375" style="1" customWidth="1"/>
    <col min="12" max="12" width="5.7109375" style="1" customWidth="1"/>
    <col min="13" max="19" width="9.140625" style="1"/>
  </cols>
  <sheetData>
    <row r="1" spans="1:12" ht="18.75">
      <c r="A1" s="85" t="s">
        <v>102</v>
      </c>
    </row>
    <row r="3" spans="1:12" ht="15" customHeight="1">
      <c r="A3" s="95" t="s">
        <v>18</v>
      </c>
      <c r="B3" s="95"/>
      <c r="C3" s="95"/>
      <c r="D3" s="95"/>
      <c r="E3" s="95"/>
      <c r="F3" s="95"/>
      <c r="G3" s="95"/>
      <c r="H3" s="95"/>
      <c r="I3" s="95"/>
    </row>
    <row r="4" spans="1:12" ht="15.75">
      <c r="A4" s="47" t="s">
        <v>76</v>
      </c>
    </row>
    <row r="5" spans="1:12" ht="15.75">
      <c r="A5" s="47" t="s">
        <v>89</v>
      </c>
    </row>
    <row r="6" spans="1:12" ht="15.75" thickBot="1">
      <c r="G6" s="71" t="s">
        <v>95</v>
      </c>
    </row>
    <row r="7" spans="1:12" ht="105">
      <c r="A7" s="30" t="s">
        <v>2</v>
      </c>
      <c r="B7" s="31" t="s">
        <v>19</v>
      </c>
      <c r="C7" s="31" t="s">
        <v>14</v>
      </c>
      <c r="D7" s="31" t="s">
        <v>16</v>
      </c>
      <c r="E7" s="31" t="s">
        <v>27</v>
      </c>
      <c r="F7" s="31" t="s">
        <v>62</v>
      </c>
      <c r="G7" s="31" t="s">
        <v>29</v>
      </c>
      <c r="H7" s="31" t="s">
        <v>30</v>
      </c>
      <c r="I7" s="32" t="s">
        <v>11</v>
      </c>
      <c r="J7" s="2" t="s">
        <v>33</v>
      </c>
      <c r="K7" s="2" t="s">
        <v>34</v>
      </c>
      <c r="L7" s="2"/>
    </row>
    <row r="8" spans="1:12" ht="15.75" thickBot="1">
      <c r="A8" s="33">
        <v>1</v>
      </c>
      <c r="B8" s="34">
        <v>2</v>
      </c>
      <c r="C8" s="34">
        <v>3</v>
      </c>
      <c r="D8" s="34">
        <v>4</v>
      </c>
      <c r="E8" s="34">
        <v>5</v>
      </c>
      <c r="F8" s="34" t="s">
        <v>75</v>
      </c>
      <c r="G8" s="34" t="s">
        <v>31</v>
      </c>
      <c r="H8" s="35">
        <v>8</v>
      </c>
      <c r="I8" s="36" t="s">
        <v>32</v>
      </c>
    </row>
    <row r="9" spans="1:12">
      <c r="A9" s="16" t="s">
        <v>61</v>
      </c>
      <c r="B9" s="13" t="s">
        <v>20</v>
      </c>
      <c r="C9" s="44" t="s">
        <v>24</v>
      </c>
      <c r="D9" s="69">
        <v>90000</v>
      </c>
      <c r="E9" s="65">
        <f>247*8*(122/1974)</f>
        <v>122.12360688956433</v>
      </c>
      <c r="F9" s="40">
        <f>E9/122</f>
        <v>1.0010131712259371</v>
      </c>
      <c r="G9" s="50">
        <f>D9/E9*F9</f>
        <v>737.70491803278696</v>
      </c>
      <c r="H9" s="14">
        <v>5.36</v>
      </c>
      <c r="I9" s="29">
        <f>H9*G9</f>
        <v>3954.0983606557384</v>
      </c>
    </row>
    <row r="10" spans="1:12">
      <c r="A10" s="21" t="s">
        <v>77</v>
      </c>
      <c r="B10" s="6" t="s">
        <v>21</v>
      </c>
      <c r="C10" s="45" t="s">
        <v>25</v>
      </c>
      <c r="D10" s="10">
        <v>534.26895000000002</v>
      </c>
      <c r="E10" s="8">
        <f>247*8*(122/1974)</f>
        <v>122.12360688956433</v>
      </c>
      <c r="F10" s="40">
        <f t="shared" ref="F10:F12" si="0">E10/122</f>
        <v>1.0010131712259371</v>
      </c>
      <c r="G10" s="50">
        <f>D10/E10*F10</f>
        <v>4.3792536885245905</v>
      </c>
      <c r="H10" s="7">
        <v>1448.6</v>
      </c>
      <c r="I10" s="29">
        <f t="shared" ref="I10:I12" si="1">H10*G10</f>
        <v>6343.7868931967214</v>
      </c>
    </row>
    <row r="11" spans="1:12">
      <c r="A11" s="41"/>
      <c r="B11" s="42" t="s">
        <v>22</v>
      </c>
      <c r="C11" s="46" t="s">
        <v>26</v>
      </c>
      <c r="D11" s="42">
        <v>1900</v>
      </c>
      <c r="E11" s="8">
        <f t="shared" ref="E11:E12" si="2">247*8*(122/1974)</f>
        <v>122.12360688956433</v>
      </c>
      <c r="F11" s="40">
        <f t="shared" si="0"/>
        <v>1.0010131712259371</v>
      </c>
      <c r="G11" s="50">
        <f t="shared" ref="G11:G12" si="3">D11/E11*F11</f>
        <v>15.573770491803279</v>
      </c>
      <c r="H11" s="43">
        <v>28.7</v>
      </c>
      <c r="I11" s="29">
        <f t="shared" si="1"/>
        <v>446.96721311475409</v>
      </c>
    </row>
    <row r="12" spans="1:12">
      <c r="A12" s="41"/>
      <c r="B12" s="42" t="s">
        <v>23</v>
      </c>
      <c r="C12" s="46" t="s">
        <v>26</v>
      </c>
      <c r="D12" s="42">
        <v>1900</v>
      </c>
      <c r="E12" s="8">
        <f t="shared" si="2"/>
        <v>122.12360688956433</v>
      </c>
      <c r="F12" s="40">
        <f t="shared" si="0"/>
        <v>1.0010131712259371</v>
      </c>
      <c r="G12" s="50">
        <f t="shared" si="3"/>
        <v>15.573770491803279</v>
      </c>
      <c r="H12" s="43">
        <v>40.76</v>
      </c>
      <c r="I12" s="29">
        <f t="shared" si="1"/>
        <v>634.78688524590166</v>
      </c>
    </row>
    <row r="13" spans="1:12" s="1" customFormat="1" ht="15.75" thickBot="1">
      <c r="A13" s="23"/>
      <c r="B13" s="24"/>
      <c r="C13" s="24"/>
      <c r="D13" s="24"/>
      <c r="E13" s="24"/>
      <c r="F13" s="24"/>
      <c r="G13" s="51"/>
      <c r="H13" s="28"/>
      <c r="I13" s="27">
        <f>SUM(I9:I12)</f>
        <v>11379.639352213115</v>
      </c>
      <c r="J13" s="3">
        <f>I13*122</f>
        <v>1388316.0009699999</v>
      </c>
      <c r="K13" s="3">
        <v>1388316</v>
      </c>
      <c r="L13" s="3">
        <f>K13-J13</f>
        <v>-9.6999993547797203E-4</v>
      </c>
    </row>
    <row r="14" spans="1:12" s="1" customFormat="1">
      <c r="A14" s="16" t="s">
        <v>63</v>
      </c>
      <c r="B14" s="13" t="s">
        <v>20</v>
      </c>
      <c r="C14" s="44" t="s">
        <v>24</v>
      </c>
      <c r="D14" s="17">
        <v>95000</v>
      </c>
      <c r="E14" s="65">
        <f>247*8*(240/1974)</f>
        <v>240.24316109422492</v>
      </c>
      <c r="F14" s="48">
        <f>E14/240</f>
        <v>1.0010131712259371</v>
      </c>
      <c r="G14" s="50">
        <f>D14/E14*F14</f>
        <v>395.83333333333331</v>
      </c>
      <c r="H14" s="14">
        <v>5.36</v>
      </c>
      <c r="I14" s="29">
        <f>H14*G14</f>
        <v>2121.6666666666665</v>
      </c>
    </row>
    <row r="15" spans="1:12" s="1" customFormat="1">
      <c r="A15" s="21" t="s">
        <v>78</v>
      </c>
      <c r="B15" s="6" t="s">
        <v>21</v>
      </c>
      <c r="C15" s="45" t="s">
        <v>25</v>
      </c>
      <c r="D15" s="10">
        <v>720.87532999999996</v>
      </c>
      <c r="E15" s="8">
        <f t="shared" ref="E15:E17" si="4">247*8*(240/1974)</f>
        <v>240.24316109422492</v>
      </c>
      <c r="F15" s="39">
        <f t="shared" ref="F15:F17" si="5">E15/240</f>
        <v>1.0010131712259371</v>
      </c>
      <c r="G15" s="50">
        <f t="shared" ref="G15:G17" si="6">D15/E15*F15</f>
        <v>3.0036472083333332</v>
      </c>
      <c r="H15" s="7">
        <v>1448.6</v>
      </c>
      <c r="I15" s="29">
        <f>H15*G15</f>
        <v>4351.0833459916666</v>
      </c>
    </row>
    <row r="16" spans="1:12" s="1" customFormat="1">
      <c r="A16" s="21"/>
      <c r="B16" s="42" t="s">
        <v>22</v>
      </c>
      <c r="C16" s="46" t="s">
        <v>26</v>
      </c>
      <c r="D16" s="6">
        <v>3500</v>
      </c>
      <c r="E16" s="8">
        <f t="shared" si="4"/>
        <v>240.24316109422492</v>
      </c>
      <c r="F16" s="39">
        <f t="shared" si="5"/>
        <v>1.0010131712259371</v>
      </c>
      <c r="G16" s="50">
        <f t="shared" si="6"/>
        <v>14.583333333333334</v>
      </c>
      <c r="H16" s="43">
        <v>28.7</v>
      </c>
      <c r="I16" s="29">
        <f t="shared" ref="I16:I17" si="7">H16*G16</f>
        <v>418.54166666666669</v>
      </c>
    </row>
    <row r="17" spans="1:12" s="1" customFormat="1">
      <c r="A17" s="21"/>
      <c r="B17" s="42" t="s">
        <v>23</v>
      </c>
      <c r="C17" s="46" t="s">
        <v>26</v>
      </c>
      <c r="D17" s="6">
        <v>3500</v>
      </c>
      <c r="E17" s="8">
        <f t="shared" si="4"/>
        <v>240.24316109422492</v>
      </c>
      <c r="F17" s="39">
        <f t="shared" si="5"/>
        <v>1.0010131712259371</v>
      </c>
      <c r="G17" s="50">
        <f t="shared" si="6"/>
        <v>14.583333333333334</v>
      </c>
      <c r="H17" s="43">
        <v>40.76</v>
      </c>
      <c r="I17" s="29">
        <f t="shared" si="7"/>
        <v>594.41666666666663</v>
      </c>
    </row>
    <row r="18" spans="1:12" s="1" customFormat="1" ht="15.75" thickBot="1">
      <c r="A18" s="23"/>
      <c r="B18" s="24"/>
      <c r="C18" s="26"/>
      <c r="D18" s="24"/>
      <c r="E18" s="24"/>
      <c r="F18" s="24"/>
      <c r="G18" s="37"/>
      <c r="H18" s="28"/>
      <c r="I18" s="27">
        <f>SUM(I14:I17)</f>
        <v>7485.7083459916666</v>
      </c>
      <c r="J18" s="1">
        <f>I18*240</f>
        <v>1796570.0030380001</v>
      </c>
      <c r="K18" s="1">
        <v>1796570</v>
      </c>
      <c r="L18" s="3">
        <f>K18-J18</f>
        <v>-3.0380000825971365E-3</v>
      </c>
    </row>
    <row r="19" spans="1:12" s="1" customFormat="1">
      <c r="A19" s="16" t="s">
        <v>64</v>
      </c>
      <c r="B19" s="13" t="s">
        <v>20</v>
      </c>
      <c r="C19" s="44" t="s">
        <v>24</v>
      </c>
      <c r="D19" s="17">
        <v>43000</v>
      </c>
      <c r="E19" s="65">
        <f>247*8*(123/1974)</f>
        <v>123.12462006079028</v>
      </c>
      <c r="F19" s="48">
        <f>E19/123</f>
        <v>1.0010131712259371</v>
      </c>
      <c r="G19" s="50">
        <f>D19/E19*F19</f>
        <v>349.59349593495932</v>
      </c>
      <c r="H19" s="14">
        <v>5.36</v>
      </c>
      <c r="I19" s="29">
        <f>H19*G19</f>
        <v>1873.821138211382</v>
      </c>
    </row>
    <row r="20" spans="1:12" s="1" customFormat="1">
      <c r="A20" s="21" t="s">
        <v>79</v>
      </c>
      <c r="B20" s="6" t="s">
        <v>21</v>
      </c>
      <c r="C20" s="45" t="s">
        <v>25</v>
      </c>
      <c r="D20" s="10">
        <v>420.84867000000003</v>
      </c>
      <c r="E20" s="8">
        <f>247*8*(123/1974)</f>
        <v>123.12462006079028</v>
      </c>
      <c r="F20" s="39">
        <f>E20/123</f>
        <v>1.0010131712259371</v>
      </c>
      <c r="G20" s="50">
        <f t="shared" ref="G20:G22" si="8">D20/E20*F20</f>
        <v>3.4215339024390241</v>
      </c>
      <c r="H20" s="7">
        <v>1448.6</v>
      </c>
      <c r="I20" s="29">
        <f>H20*G20</f>
        <v>4956.43401107317</v>
      </c>
    </row>
    <row r="21" spans="1:12" s="1" customFormat="1">
      <c r="A21" s="21"/>
      <c r="B21" s="42" t="s">
        <v>22</v>
      </c>
      <c r="C21" s="46" t="s">
        <v>26</v>
      </c>
      <c r="D21" s="6">
        <v>1647</v>
      </c>
      <c r="E21" s="8">
        <f t="shared" ref="E21:E22" si="9">247*8*(123/1974)</f>
        <v>123.12462006079028</v>
      </c>
      <c r="F21" s="39">
        <f t="shared" ref="F21:F22" si="10">E21/123</f>
        <v>1.0010131712259371</v>
      </c>
      <c r="G21" s="50">
        <f t="shared" si="8"/>
        <v>13.390243902439023</v>
      </c>
      <c r="H21" s="43">
        <v>28.7</v>
      </c>
      <c r="I21" s="29">
        <f t="shared" ref="I21:I22" si="11">H21*G21</f>
        <v>384.29999999999995</v>
      </c>
    </row>
    <row r="22" spans="1:12" s="1" customFormat="1">
      <c r="A22" s="21"/>
      <c r="B22" s="42" t="s">
        <v>23</v>
      </c>
      <c r="C22" s="46" t="s">
        <v>26</v>
      </c>
      <c r="D22" s="6">
        <v>1647</v>
      </c>
      <c r="E22" s="8">
        <f t="shared" si="9"/>
        <v>123.12462006079028</v>
      </c>
      <c r="F22" s="39">
        <f t="shared" si="10"/>
        <v>1.0010131712259371</v>
      </c>
      <c r="G22" s="50">
        <f t="shared" si="8"/>
        <v>13.390243902439023</v>
      </c>
      <c r="H22" s="43">
        <v>40.76</v>
      </c>
      <c r="I22" s="29">
        <f t="shared" si="11"/>
        <v>545.7863414634146</v>
      </c>
    </row>
    <row r="23" spans="1:12" s="1" customFormat="1" ht="15.75" thickBot="1">
      <c r="A23" s="23"/>
      <c r="B23" s="24"/>
      <c r="C23" s="26"/>
      <c r="D23" s="24"/>
      <c r="E23" s="24"/>
      <c r="F23" s="24"/>
      <c r="G23" s="37"/>
      <c r="H23" s="28"/>
      <c r="I23" s="27">
        <f>SUM(I19:I22)</f>
        <v>7760.3414907479673</v>
      </c>
      <c r="J23" s="1">
        <f>I23*123</f>
        <v>954522.00336199999</v>
      </c>
      <c r="K23" s="1">
        <v>954522</v>
      </c>
      <c r="L23" s="3">
        <f>K23-J23</f>
        <v>-3.3619999885559082E-3</v>
      </c>
    </row>
    <row r="24" spans="1:12" s="1" customFormat="1">
      <c r="A24" s="16" t="s">
        <v>65</v>
      </c>
      <c r="B24" s="13" t="s">
        <v>20</v>
      </c>
      <c r="C24" s="44" t="s">
        <v>24</v>
      </c>
      <c r="D24" s="17">
        <v>50000</v>
      </c>
      <c r="E24" s="65">
        <f>247*8*(140/1974)</f>
        <v>140.1418439716312</v>
      </c>
      <c r="F24" s="48">
        <f>E24/140</f>
        <v>1.0010131712259371</v>
      </c>
      <c r="G24" s="50">
        <f>D24/E24*F24</f>
        <v>357.14285714285711</v>
      </c>
      <c r="H24" s="14">
        <v>5.36</v>
      </c>
      <c r="I24" s="29">
        <f>H24*G24</f>
        <v>1914.2857142857142</v>
      </c>
    </row>
    <row r="25" spans="1:12" s="1" customFormat="1">
      <c r="A25" s="21" t="s">
        <v>80</v>
      </c>
      <c r="B25" s="6" t="s">
        <v>21</v>
      </c>
      <c r="C25" s="45" t="s">
        <v>25</v>
      </c>
      <c r="D25" s="10">
        <v>457.96492999999998</v>
      </c>
      <c r="E25" s="8">
        <f>247*8*(140/1974)</f>
        <v>140.1418439716312</v>
      </c>
      <c r="F25" s="39">
        <f>E25/140</f>
        <v>1.0010131712259371</v>
      </c>
      <c r="G25" s="50">
        <f t="shared" ref="G25:G27" si="12">D25/E25*F25</f>
        <v>3.271178071428571</v>
      </c>
      <c r="H25" s="7">
        <v>1448.6</v>
      </c>
      <c r="I25" s="29">
        <f>H25*G25</f>
        <v>4738.6285542714277</v>
      </c>
    </row>
    <row r="26" spans="1:12" s="1" customFormat="1">
      <c r="A26" s="21"/>
      <c r="B26" s="42" t="s">
        <v>22</v>
      </c>
      <c r="C26" s="46" t="s">
        <v>26</v>
      </c>
      <c r="D26" s="6">
        <v>2050</v>
      </c>
      <c r="E26" s="8">
        <f t="shared" ref="E26:E27" si="13">247*8*(140/1974)</f>
        <v>140.1418439716312</v>
      </c>
      <c r="F26" s="39">
        <f t="shared" ref="F26:F27" si="14">E26/140</f>
        <v>1.0010131712259371</v>
      </c>
      <c r="G26" s="50">
        <f t="shared" si="12"/>
        <v>14.642857142857142</v>
      </c>
      <c r="H26" s="43">
        <v>28.7</v>
      </c>
      <c r="I26" s="29">
        <f t="shared" ref="I26:I27" si="15">H26*G26</f>
        <v>420.25</v>
      </c>
    </row>
    <row r="27" spans="1:12" s="1" customFormat="1">
      <c r="A27" s="21"/>
      <c r="B27" s="42" t="s">
        <v>23</v>
      </c>
      <c r="C27" s="46" t="s">
        <v>26</v>
      </c>
      <c r="D27" s="6">
        <v>2050</v>
      </c>
      <c r="E27" s="8">
        <f t="shared" si="13"/>
        <v>140.1418439716312</v>
      </c>
      <c r="F27" s="39">
        <f t="shared" si="14"/>
        <v>1.0010131712259371</v>
      </c>
      <c r="G27" s="50">
        <f t="shared" si="12"/>
        <v>14.642857142857142</v>
      </c>
      <c r="H27" s="43">
        <v>40.76</v>
      </c>
      <c r="I27" s="29">
        <f t="shared" si="15"/>
        <v>596.84285714285704</v>
      </c>
    </row>
    <row r="28" spans="1:12" s="1" customFormat="1" ht="15.75" thickBot="1">
      <c r="A28" s="23"/>
      <c r="B28" s="24"/>
      <c r="C28" s="26"/>
      <c r="D28" s="24"/>
      <c r="E28" s="24"/>
      <c r="F28" s="24"/>
      <c r="G28" s="37"/>
      <c r="H28" s="28"/>
      <c r="I28" s="27">
        <f>SUM(I24:I27)</f>
        <v>7670.0071256999991</v>
      </c>
      <c r="J28" s="1">
        <f>I28*140</f>
        <v>1073800.9975979999</v>
      </c>
      <c r="K28" s="1">
        <v>1073801</v>
      </c>
      <c r="L28" s="3">
        <f>K28-J28</f>
        <v>2.4020001292228699E-3</v>
      </c>
    </row>
    <row r="29" spans="1:12" s="1" customFormat="1">
      <c r="A29" s="16" t="s">
        <v>66</v>
      </c>
      <c r="B29" s="13" t="s">
        <v>20</v>
      </c>
      <c r="C29" s="44" t="s">
        <v>24</v>
      </c>
      <c r="D29" s="17">
        <v>42000</v>
      </c>
      <c r="E29" s="65">
        <f>247*8*(123/1974)</f>
        <v>123.12462006079028</v>
      </c>
      <c r="F29" s="48">
        <f>E29/123</f>
        <v>1.0010131712259371</v>
      </c>
      <c r="G29" s="50">
        <f>D29/E29*F29</f>
        <v>341.46341463414632</v>
      </c>
      <c r="H29" s="14">
        <v>5.36</v>
      </c>
      <c r="I29" s="29">
        <f>H29*G29</f>
        <v>1830.2439024390244</v>
      </c>
    </row>
    <row r="30" spans="1:12" s="1" customFormat="1">
      <c r="A30" s="21" t="s">
        <v>79</v>
      </c>
      <c r="B30" s="6" t="s">
        <v>21</v>
      </c>
      <c r="C30" s="45" t="s">
        <v>25</v>
      </c>
      <c r="D30" s="10">
        <v>363.48266999999998</v>
      </c>
      <c r="E30" s="8">
        <f>247*8*(123/1974)</f>
        <v>123.12462006079028</v>
      </c>
      <c r="F30" s="39">
        <f>E30/123</f>
        <v>1.0010131712259371</v>
      </c>
      <c r="G30" s="50">
        <f t="shared" ref="G30:G32" si="16">D30/E30*F30</f>
        <v>2.9551436585365849</v>
      </c>
      <c r="H30" s="7">
        <v>1448.6</v>
      </c>
      <c r="I30" s="29">
        <f>H30*G30</f>
        <v>4280.8211037560968</v>
      </c>
    </row>
    <row r="31" spans="1:12" s="1" customFormat="1">
      <c r="A31" s="21"/>
      <c r="B31" s="42" t="s">
        <v>22</v>
      </c>
      <c r="C31" s="46" t="s">
        <v>26</v>
      </c>
      <c r="D31" s="6">
        <v>3000</v>
      </c>
      <c r="E31" s="8">
        <f t="shared" ref="E31:E32" si="17">247*8*(123/1974)</f>
        <v>123.12462006079028</v>
      </c>
      <c r="F31" s="39">
        <f t="shared" ref="F31:F32" si="18">E31/123</f>
        <v>1.0010131712259371</v>
      </c>
      <c r="G31" s="50">
        <f t="shared" si="16"/>
        <v>24.390243902439021</v>
      </c>
      <c r="H31" s="43">
        <v>28.7</v>
      </c>
      <c r="I31" s="29">
        <f t="shared" ref="I31:I32" si="19">H31*G31</f>
        <v>699.99999999999989</v>
      </c>
    </row>
    <row r="32" spans="1:12" s="1" customFormat="1">
      <c r="A32" s="21"/>
      <c r="B32" s="42" t="s">
        <v>23</v>
      </c>
      <c r="C32" s="46" t="s">
        <v>26</v>
      </c>
      <c r="D32" s="6">
        <v>3000</v>
      </c>
      <c r="E32" s="8">
        <f t="shared" si="17"/>
        <v>123.12462006079028</v>
      </c>
      <c r="F32" s="39">
        <f t="shared" si="18"/>
        <v>1.0010131712259371</v>
      </c>
      <c r="G32" s="50">
        <f t="shared" si="16"/>
        <v>24.390243902439021</v>
      </c>
      <c r="H32" s="43">
        <v>40.76</v>
      </c>
      <c r="I32" s="29">
        <f t="shared" si="19"/>
        <v>994.1463414634145</v>
      </c>
    </row>
    <row r="33" spans="1:12" s="1" customFormat="1" ht="15.75" thickBot="1">
      <c r="A33" s="23"/>
      <c r="B33" s="24"/>
      <c r="C33" s="26"/>
      <c r="D33" s="24"/>
      <c r="E33" s="24"/>
      <c r="F33" s="24"/>
      <c r="G33" s="37"/>
      <c r="H33" s="28"/>
      <c r="I33" s="27">
        <f>SUM(I29:I32)</f>
        <v>7805.2113476585355</v>
      </c>
      <c r="J33" s="1">
        <f>I33*123</f>
        <v>960040.99576199986</v>
      </c>
      <c r="K33" s="1">
        <v>960041</v>
      </c>
      <c r="L33" s="3">
        <f>K33-J33</f>
        <v>4.2380001395940781E-3</v>
      </c>
    </row>
    <row r="34" spans="1:12" s="1" customFormat="1">
      <c r="A34" s="16" t="s">
        <v>67</v>
      </c>
      <c r="B34" s="13" t="s">
        <v>20</v>
      </c>
      <c r="C34" s="44" t="s">
        <v>24</v>
      </c>
      <c r="D34" s="17">
        <v>63000</v>
      </c>
      <c r="E34" s="65">
        <f>247*8*(220/1974)</f>
        <v>220.22289766970619</v>
      </c>
      <c r="F34" s="48">
        <f>E34/220</f>
        <v>1.0010131712259371</v>
      </c>
      <c r="G34" s="50">
        <f>D34/E34*F34</f>
        <v>286.36363636363637</v>
      </c>
      <c r="H34" s="14">
        <v>5.36</v>
      </c>
      <c r="I34" s="29">
        <f>H34*G34</f>
        <v>1534.909090909091</v>
      </c>
    </row>
    <row r="35" spans="1:12" s="1" customFormat="1">
      <c r="A35" s="21"/>
      <c r="B35" s="6" t="s">
        <v>21</v>
      </c>
      <c r="C35" s="45" t="s">
        <v>25</v>
      </c>
      <c r="D35" s="10">
        <v>542.88969999999995</v>
      </c>
      <c r="E35" s="8">
        <f>247*8*(220/1974)</f>
        <v>220.22289766970619</v>
      </c>
      <c r="F35" s="39">
        <f t="shared" ref="F35:F37" si="20">E35/220</f>
        <v>1.0010131712259371</v>
      </c>
      <c r="G35" s="50">
        <f t="shared" ref="G35:G37" si="21">D35/E35*F35</f>
        <v>2.4676804545454543</v>
      </c>
      <c r="H35" s="7">
        <v>1448.6</v>
      </c>
      <c r="I35" s="29">
        <f>H35*G35</f>
        <v>3574.6819064545448</v>
      </c>
    </row>
    <row r="36" spans="1:12" s="1" customFormat="1">
      <c r="A36" s="21" t="s">
        <v>81</v>
      </c>
      <c r="B36" s="42" t="s">
        <v>22</v>
      </c>
      <c r="C36" s="46" t="s">
        <v>26</v>
      </c>
      <c r="D36" s="6">
        <v>2700</v>
      </c>
      <c r="E36" s="8">
        <f t="shared" ref="E36:E37" si="22">247*8*(220/1974)</f>
        <v>220.22289766970619</v>
      </c>
      <c r="F36" s="39">
        <f t="shared" si="20"/>
        <v>1.0010131712259371</v>
      </c>
      <c r="G36" s="50">
        <f t="shared" si="21"/>
        <v>12.272727272727272</v>
      </c>
      <c r="H36" s="43">
        <v>28.7</v>
      </c>
      <c r="I36" s="29">
        <f t="shared" ref="I36:I37" si="23">H36*G36</f>
        <v>352.22727272727269</v>
      </c>
    </row>
    <row r="37" spans="1:12" s="1" customFormat="1">
      <c r="A37" s="21"/>
      <c r="B37" s="42" t="s">
        <v>23</v>
      </c>
      <c r="C37" s="46" t="s">
        <v>26</v>
      </c>
      <c r="D37" s="6">
        <v>2700</v>
      </c>
      <c r="E37" s="8">
        <f t="shared" si="22"/>
        <v>220.22289766970619</v>
      </c>
      <c r="F37" s="66">
        <f t="shared" si="20"/>
        <v>1.0010131712259371</v>
      </c>
      <c r="G37" s="50">
        <f t="shared" si="21"/>
        <v>12.272727272727272</v>
      </c>
      <c r="H37" s="43">
        <v>40.76</v>
      </c>
      <c r="I37" s="29">
        <f t="shared" si="23"/>
        <v>500.23636363636359</v>
      </c>
    </row>
    <row r="38" spans="1:12" s="1" customFormat="1" ht="15.75" thickBot="1">
      <c r="A38" s="23"/>
      <c r="B38" s="24"/>
      <c r="C38" s="26"/>
      <c r="D38" s="24"/>
      <c r="E38" s="24"/>
      <c r="F38" s="24"/>
      <c r="G38" s="37"/>
      <c r="H38" s="28"/>
      <c r="I38" s="27">
        <f>SUM(I34:I37)</f>
        <v>5962.0546337272717</v>
      </c>
      <c r="J38" s="3">
        <f>I38*220</f>
        <v>1311652.0194199998</v>
      </c>
      <c r="K38" s="1">
        <v>1311652.02</v>
      </c>
      <c r="L38" s="3">
        <f>K38-J38</f>
        <v>5.8000022545456886E-4</v>
      </c>
    </row>
    <row r="39" spans="1:12" s="1" customFormat="1">
      <c r="A39" s="16" t="s">
        <v>68</v>
      </c>
      <c r="B39" s="13" t="s">
        <v>20</v>
      </c>
      <c r="C39" s="44" t="s">
        <v>24</v>
      </c>
      <c r="D39" s="17">
        <v>80000</v>
      </c>
      <c r="E39" s="65">
        <f>247*8*(250/1974)</f>
        <v>250.25329280648432</v>
      </c>
      <c r="F39" s="48">
        <f>E39/250</f>
        <v>1.0010131712259374</v>
      </c>
      <c r="G39" s="50">
        <f>D39/E39*F39</f>
        <v>320</v>
      </c>
      <c r="H39" s="14">
        <v>5.36</v>
      </c>
      <c r="I39" s="29">
        <f>H39*G39</f>
        <v>1715.2</v>
      </c>
    </row>
    <row r="40" spans="1:12" s="1" customFormat="1">
      <c r="A40" s="21"/>
      <c r="B40" s="6" t="s">
        <v>21</v>
      </c>
      <c r="C40" s="45" t="s">
        <v>25</v>
      </c>
      <c r="D40" s="10">
        <v>573.53237799999999</v>
      </c>
      <c r="E40" s="8">
        <f t="shared" ref="E40:E42" si="24">247*8*(250/1974)</f>
        <v>250.25329280648432</v>
      </c>
      <c r="F40" s="39">
        <f t="shared" ref="F40:F42" si="25">E40/250</f>
        <v>1.0010131712259374</v>
      </c>
      <c r="G40" s="50">
        <f t="shared" ref="G40:G42" si="26">D40/E40*F40</f>
        <v>2.294129512</v>
      </c>
      <c r="H40" s="7">
        <v>1448.6</v>
      </c>
      <c r="I40" s="29">
        <f>H40*G40</f>
        <v>3323.2760110832</v>
      </c>
    </row>
    <row r="41" spans="1:12" s="1" customFormat="1">
      <c r="A41" s="21" t="s">
        <v>82</v>
      </c>
      <c r="B41" s="42" t="s">
        <v>22</v>
      </c>
      <c r="C41" s="46" t="s">
        <v>26</v>
      </c>
      <c r="D41" s="6">
        <v>4500</v>
      </c>
      <c r="E41" s="8">
        <f t="shared" si="24"/>
        <v>250.25329280648432</v>
      </c>
      <c r="F41" s="39">
        <f t="shared" si="25"/>
        <v>1.0010131712259374</v>
      </c>
      <c r="G41" s="50">
        <f t="shared" si="26"/>
        <v>18.000000000000004</v>
      </c>
      <c r="H41" s="43">
        <v>28.7</v>
      </c>
      <c r="I41" s="29">
        <f t="shared" ref="I41:I42" si="27">H41*G41</f>
        <v>516.60000000000014</v>
      </c>
    </row>
    <row r="42" spans="1:12" s="1" customFormat="1">
      <c r="A42" s="21"/>
      <c r="B42" s="42" t="s">
        <v>23</v>
      </c>
      <c r="C42" s="46" t="s">
        <v>26</v>
      </c>
      <c r="D42" s="6">
        <v>4500</v>
      </c>
      <c r="E42" s="8">
        <f t="shared" si="24"/>
        <v>250.25329280648432</v>
      </c>
      <c r="F42" s="39">
        <f t="shared" si="25"/>
        <v>1.0010131712259374</v>
      </c>
      <c r="G42" s="50">
        <f t="shared" si="26"/>
        <v>18.000000000000004</v>
      </c>
      <c r="H42" s="43">
        <v>40.76</v>
      </c>
      <c r="I42" s="29">
        <f t="shared" si="27"/>
        <v>733.68000000000006</v>
      </c>
    </row>
    <row r="43" spans="1:12" s="1" customFormat="1" ht="15.75" thickBot="1">
      <c r="A43" s="23"/>
      <c r="B43" s="24"/>
      <c r="C43" s="26"/>
      <c r="D43" s="24"/>
      <c r="E43" s="24"/>
      <c r="F43" s="24"/>
      <c r="G43" s="37"/>
      <c r="H43" s="28"/>
      <c r="I43" s="27">
        <f>SUM(I39:I42)</f>
        <v>6288.756011083201</v>
      </c>
      <c r="J43" s="1">
        <f>I43*250</f>
        <v>1572189.0027708001</v>
      </c>
      <c r="K43" s="1">
        <v>1572189</v>
      </c>
      <c r="L43" s="3">
        <f>K43-J43</f>
        <v>-2.7708001434803009E-3</v>
      </c>
    </row>
    <row r="44" spans="1:12" s="1" customFormat="1">
      <c r="A44" s="16" t="s">
        <v>69</v>
      </c>
      <c r="B44" s="13" t="s">
        <v>20</v>
      </c>
      <c r="C44" s="44" t="s">
        <v>24</v>
      </c>
      <c r="D44" s="17">
        <v>47000</v>
      </c>
      <c r="E44" s="65">
        <f>247*8*(131/1974)</f>
        <v>131.13272543059779</v>
      </c>
      <c r="F44" s="48">
        <f>E44/131</f>
        <v>1.0010131712259374</v>
      </c>
      <c r="G44" s="50">
        <f>D44/E44*F44</f>
        <v>358.7786259541985</v>
      </c>
      <c r="H44" s="14">
        <v>5.36</v>
      </c>
      <c r="I44" s="29">
        <f>H44*G44</f>
        <v>1923.0534351145041</v>
      </c>
    </row>
    <row r="45" spans="1:12" s="1" customFormat="1">
      <c r="A45" s="21"/>
      <c r="B45" s="6" t="s">
        <v>21</v>
      </c>
      <c r="C45" s="45" t="s">
        <v>25</v>
      </c>
      <c r="D45" s="10">
        <v>347.84619500000002</v>
      </c>
      <c r="E45" s="8">
        <f>247*8*(131/1974)</f>
        <v>131.13272543059779</v>
      </c>
      <c r="F45" s="39">
        <f>E45/131</f>
        <v>1.0010131712259374</v>
      </c>
      <c r="G45" s="50">
        <f t="shared" ref="G45:G47" si="28">D45/E45*F45</f>
        <v>2.6553144656488556</v>
      </c>
      <c r="H45" s="7">
        <v>1448.6</v>
      </c>
      <c r="I45" s="29">
        <f>H45*G45</f>
        <v>3846.4885349389319</v>
      </c>
    </row>
    <row r="46" spans="1:12" s="1" customFormat="1">
      <c r="A46" s="21" t="s">
        <v>83</v>
      </c>
      <c r="B46" s="42" t="s">
        <v>22</v>
      </c>
      <c r="C46" s="46" t="s">
        <v>26</v>
      </c>
      <c r="D46" s="6">
        <v>2200</v>
      </c>
      <c r="E46" s="8">
        <f t="shared" ref="E46:E47" si="29">247*8*(131/1974)</f>
        <v>131.13272543059779</v>
      </c>
      <c r="F46" s="39">
        <f t="shared" ref="F46:F47" si="30">E46/131</f>
        <v>1.0010131712259374</v>
      </c>
      <c r="G46" s="50">
        <f t="shared" si="28"/>
        <v>16.793893129770993</v>
      </c>
      <c r="H46" s="43">
        <v>28.7</v>
      </c>
      <c r="I46" s="29">
        <f t="shared" ref="I46:I47" si="31">H46*G46</f>
        <v>481.98473282442745</v>
      </c>
    </row>
    <row r="47" spans="1:12" s="1" customFormat="1">
      <c r="A47" s="21"/>
      <c r="B47" s="42" t="s">
        <v>23</v>
      </c>
      <c r="C47" s="46" t="s">
        <v>26</v>
      </c>
      <c r="D47" s="6">
        <v>2200</v>
      </c>
      <c r="E47" s="8">
        <f t="shared" si="29"/>
        <v>131.13272543059779</v>
      </c>
      <c r="F47" s="39">
        <f t="shared" si="30"/>
        <v>1.0010131712259374</v>
      </c>
      <c r="G47" s="50">
        <f t="shared" si="28"/>
        <v>16.793893129770993</v>
      </c>
      <c r="H47" s="43">
        <v>40.76</v>
      </c>
      <c r="I47" s="29">
        <f t="shared" si="31"/>
        <v>684.51908396946567</v>
      </c>
    </row>
    <row r="48" spans="1:12" s="1" customFormat="1" ht="15.75" thickBot="1">
      <c r="A48" s="23"/>
      <c r="B48" s="24"/>
      <c r="C48" s="26"/>
      <c r="D48" s="24"/>
      <c r="E48" s="24"/>
      <c r="F48" s="24"/>
      <c r="G48" s="37"/>
      <c r="H48" s="28"/>
      <c r="I48" s="27">
        <f>SUM(I44:I47)</f>
        <v>6936.0457868473295</v>
      </c>
      <c r="J48" s="1">
        <f>I48*131</f>
        <v>908621.99807700014</v>
      </c>
      <c r="K48" s="1">
        <v>908622</v>
      </c>
      <c r="L48" s="3">
        <f>K48-J48</f>
        <v>1.9229998579248786E-3</v>
      </c>
    </row>
    <row r="49" spans="1:12" s="1" customFormat="1">
      <c r="A49" s="16" t="s">
        <v>70</v>
      </c>
      <c r="B49" s="13" t="s">
        <v>20</v>
      </c>
      <c r="C49" s="44" t="s">
        <v>24</v>
      </c>
      <c r="D49" s="17">
        <v>50000</v>
      </c>
      <c r="E49" s="8">
        <f>247*8*(126/1974)</f>
        <v>126.12765957446807</v>
      </c>
      <c r="F49" s="48">
        <f>E49/126</f>
        <v>1.0010131712259371</v>
      </c>
      <c r="G49" s="50">
        <f>D49/E49*F49</f>
        <v>396.82539682539687</v>
      </c>
      <c r="H49" s="14">
        <v>5.36</v>
      </c>
      <c r="I49" s="29">
        <f>H49*G49</f>
        <v>2126.9841269841272</v>
      </c>
    </row>
    <row r="50" spans="1:12" s="1" customFormat="1">
      <c r="A50" s="21"/>
      <c r="B50" s="6" t="s">
        <v>21</v>
      </c>
      <c r="C50" s="45" t="s">
        <v>25</v>
      </c>
      <c r="D50" s="10">
        <v>283.78897000000001</v>
      </c>
      <c r="E50" s="8">
        <f>247*8*(126/1974)</f>
        <v>126.12765957446807</v>
      </c>
      <c r="F50" s="39">
        <f>E50/126</f>
        <v>1.0010131712259371</v>
      </c>
      <c r="G50" s="50">
        <f t="shared" ref="G50:G52" si="32">D50/E50*F50</f>
        <v>2.2522934126984127</v>
      </c>
      <c r="H50" s="7">
        <v>1448.6</v>
      </c>
      <c r="I50" s="29">
        <f>H50*G50</f>
        <v>3262.6722376349203</v>
      </c>
    </row>
    <row r="51" spans="1:12" s="1" customFormat="1">
      <c r="A51" s="21" t="s">
        <v>84</v>
      </c>
      <c r="B51" s="42" t="s">
        <v>22</v>
      </c>
      <c r="C51" s="46" t="s">
        <v>26</v>
      </c>
      <c r="D51" s="6">
        <v>1431</v>
      </c>
      <c r="E51" s="8">
        <f>247*8*(126/1974)</f>
        <v>126.12765957446807</v>
      </c>
      <c r="F51" s="39">
        <f t="shared" ref="F51:F52" si="33">E51/126</f>
        <v>1.0010131712259371</v>
      </c>
      <c r="G51" s="50">
        <f t="shared" si="32"/>
        <v>11.357142857142858</v>
      </c>
      <c r="H51" s="43">
        <v>28.7</v>
      </c>
      <c r="I51" s="29">
        <f t="shared" ref="I51:I52" si="34">H51*G51</f>
        <v>325.95</v>
      </c>
    </row>
    <row r="52" spans="1:12" s="1" customFormat="1">
      <c r="A52" s="21"/>
      <c r="B52" s="42" t="s">
        <v>23</v>
      </c>
      <c r="C52" s="46" t="s">
        <v>26</v>
      </c>
      <c r="D52" s="6">
        <v>1860</v>
      </c>
      <c r="E52" s="8">
        <f>247*8*(126/1974)</f>
        <v>126.12765957446807</v>
      </c>
      <c r="F52" s="39">
        <f t="shared" si="33"/>
        <v>1.0010131712259371</v>
      </c>
      <c r="G52" s="50">
        <f t="shared" si="32"/>
        <v>14.761904761904763</v>
      </c>
      <c r="H52" s="43">
        <v>40.76</v>
      </c>
      <c r="I52" s="29">
        <f t="shared" si="34"/>
        <v>601.6952380952381</v>
      </c>
    </row>
    <row r="53" spans="1:12" s="1" customFormat="1" ht="15.75" thickBot="1">
      <c r="A53" s="23"/>
      <c r="B53" s="24"/>
      <c r="C53" s="26"/>
      <c r="D53" s="24"/>
      <c r="E53" s="24"/>
      <c r="F53" s="24"/>
      <c r="G53" s="37"/>
      <c r="H53" s="28"/>
      <c r="I53" s="27">
        <f>SUM(I49:I52)</f>
        <v>6317.3016027142858</v>
      </c>
      <c r="J53" s="1">
        <f>I53*126</f>
        <v>795980.001942</v>
      </c>
      <c r="K53" s="1">
        <v>795980</v>
      </c>
      <c r="L53" s="3">
        <f>K53-J53</f>
        <v>-1.9420000026002526E-3</v>
      </c>
    </row>
    <row r="54" spans="1:12" s="1" customFormat="1" ht="15.75" thickBot="1">
      <c r="A54" s="59"/>
      <c r="B54" s="60"/>
      <c r="C54" s="61"/>
      <c r="D54" s="60"/>
      <c r="E54" s="68"/>
      <c r="F54" s="60"/>
      <c r="G54" s="59"/>
      <c r="H54" s="62"/>
      <c r="I54" s="63"/>
    </row>
    <row r="55" spans="1:12" s="1" customFormat="1">
      <c r="A55" s="16" t="s">
        <v>71</v>
      </c>
      <c r="B55" s="17" t="s">
        <v>20</v>
      </c>
      <c r="C55" s="64" t="s">
        <v>24</v>
      </c>
      <c r="D55" s="17">
        <v>100000</v>
      </c>
      <c r="E55" s="67">
        <f>247*8*(275/1974)</f>
        <v>275.2786220871327</v>
      </c>
      <c r="F55" s="48">
        <f>E55/275</f>
        <v>1.0010131712259371</v>
      </c>
      <c r="G55" s="57">
        <f>D55/E55*F55</f>
        <v>363.63636363636363</v>
      </c>
      <c r="H55" s="18">
        <v>5.36</v>
      </c>
      <c r="I55" s="20">
        <f>H55*G55</f>
        <v>1949.0909090909092</v>
      </c>
    </row>
    <row r="56" spans="1:12" s="1" customFormat="1">
      <c r="A56" s="21"/>
      <c r="B56" s="6" t="s">
        <v>21</v>
      </c>
      <c r="C56" s="45" t="s">
        <v>25</v>
      </c>
      <c r="D56" s="10">
        <v>993.32182999999998</v>
      </c>
      <c r="E56" s="8">
        <f t="shared" ref="E56:E58" si="35">247*8*(275/1974)</f>
        <v>275.2786220871327</v>
      </c>
      <c r="F56" s="39">
        <f t="shared" ref="F56:F58" si="36">E56/275</f>
        <v>1.0010131712259371</v>
      </c>
      <c r="G56" s="50">
        <f t="shared" ref="G56:G58" si="37">D56/E56*F56</f>
        <v>3.612079381818182</v>
      </c>
      <c r="H56" s="7">
        <v>1448.6</v>
      </c>
      <c r="I56" s="29">
        <f>H56*G56</f>
        <v>5232.4581925018183</v>
      </c>
    </row>
    <row r="57" spans="1:12" s="1" customFormat="1">
      <c r="A57" s="21" t="s">
        <v>86</v>
      </c>
      <c r="B57" s="42" t="s">
        <v>22</v>
      </c>
      <c r="C57" s="46" t="s">
        <v>26</v>
      </c>
      <c r="D57" s="6">
        <v>6000</v>
      </c>
      <c r="E57" s="8">
        <f t="shared" si="35"/>
        <v>275.2786220871327</v>
      </c>
      <c r="F57" s="39">
        <f t="shared" si="36"/>
        <v>1.0010131712259371</v>
      </c>
      <c r="G57" s="50">
        <f t="shared" si="37"/>
        <v>21.81818181818182</v>
      </c>
      <c r="H57" s="43">
        <v>28.7</v>
      </c>
      <c r="I57" s="29">
        <f t="shared" ref="I57:I58" si="38">H57*G57</f>
        <v>626.18181818181824</v>
      </c>
    </row>
    <row r="58" spans="1:12" s="1" customFormat="1">
      <c r="A58" s="21"/>
      <c r="B58" s="42" t="s">
        <v>23</v>
      </c>
      <c r="C58" s="46" t="s">
        <v>26</v>
      </c>
      <c r="D58" s="6">
        <v>6000</v>
      </c>
      <c r="E58" s="8">
        <f t="shared" si="35"/>
        <v>275.2786220871327</v>
      </c>
      <c r="F58" s="39">
        <f t="shared" si="36"/>
        <v>1.0010131712259371</v>
      </c>
      <c r="G58" s="50">
        <f t="shared" si="37"/>
        <v>21.81818181818182</v>
      </c>
      <c r="H58" s="43">
        <v>40.76</v>
      </c>
      <c r="I58" s="29">
        <f t="shared" si="38"/>
        <v>889.30909090909097</v>
      </c>
    </row>
    <row r="59" spans="1:12" s="1" customFormat="1" ht="15.75" thickBot="1">
      <c r="A59" s="23"/>
      <c r="B59" s="24"/>
      <c r="C59" s="26"/>
      <c r="D59" s="24"/>
      <c r="E59" s="24"/>
      <c r="F59" s="24"/>
      <c r="G59" s="37"/>
      <c r="H59" s="28"/>
      <c r="I59" s="27">
        <f>SUM(I55:I58)</f>
        <v>8697.0400106836369</v>
      </c>
      <c r="J59" s="1">
        <f>I59*275</f>
        <v>2391686.002938</v>
      </c>
      <c r="K59" s="1">
        <v>2391686</v>
      </c>
      <c r="L59" s="3">
        <f>K59-J59</f>
        <v>-2.9380000196397305E-3</v>
      </c>
    </row>
    <row r="60" spans="1:12" s="1" customFormat="1">
      <c r="A60" s="16" t="s">
        <v>72</v>
      </c>
      <c r="B60" s="13" t="s">
        <v>20</v>
      </c>
      <c r="C60" s="44" t="s">
        <v>24</v>
      </c>
      <c r="D60" s="17">
        <v>50000</v>
      </c>
      <c r="E60" s="8">
        <f>247*8*(206/1974)</f>
        <v>206.20871327254306</v>
      </c>
      <c r="F60" s="48">
        <f>E60/206</f>
        <v>1.0010131712259371</v>
      </c>
      <c r="G60" s="50">
        <f>D60/E60*F60</f>
        <v>242.71844660194174</v>
      </c>
      <c r="H60" s="14">
        <v>5.36</v>
      </c>
      <c r="I60" s="29">
        <f>H60*G60</f>
        <v>1300.9708737864078</v>
      </c>
    </row>
    <row r="61" spans="1:12" s="1" customFormat="1">
      <c r="A61" s="21"/>
      <c r="B61" s="6" t="s">
        <v>21</v>
      </c>
      <c r="C61" s="45" t="s">
        <v>25</v>
      </c>
      <c r="D61" s="10">
        <v>648.39827600000001</v>
      </c>
      <c r="E61" s="8">
        <f>247*8*(206/1974)</f>
        <v>206.20871327254306</v>
      </c>
      <c r="F61" s="39">
        <f>E61/206</f>
        <v>1.0010131712259371</v>
      </c>
      <c r="G61" s="50">
        <f t="shared" ref="G61:G63" si="39">D61/E61*F61</f>
        <v>3.1475644466019412</v>
      </c>
      <c r="H61" s="7">
        <v>1448.6</v>
      </c>
      <c r="I61" s="29">
        <f>H61*G61</f>
        <v>4559.5618573475722</v>
      </c>
    </row>
    <row r="62" spans="1:12" s="1" customFormat="1">
      <c r="A62" s="21" t="s">
        <v>85</v>
      </c>
      <c r="B62" s="42" t="s">
        <v>22</v>
      </c>
      <c r="C62" s="46" t="s">
        <v>26</v>
      </c>
      <c r="D62" s="6">
        <v>4231</v>
      </c>
      <c r="E62" s="8">
        <f>247*8*(206/1974)</f>
        <v>206.20871327254306</v>
      </c>
      <c r="F62" s="39">
        <f t="shared" ref="F62:F63" si="40">E62/206</f>
        <v>1.0010131712259371</v>
      </c>
      <c r="G62" s="50">
        <f t="shared" si="39"/>
        <v>20.538834951456309</v>
      </c>
      <c r="H62" s="43">
        <v>28.7</v>
      </c>
      <c r="I62" s="29">
        <f t="shared" ref="I62:I63" si="41">H62*G62</f>
        <v>589.46456310679605</v>
      </c>
    </row>
    <row r="63" spans="1:12" s="1" customFormat="1">
      <c r="A63" s="21"/>
      <c r="B63" s="42" t="s">
        <v>23</v>
      </c>
      <c r="C63" s="46" t="s">
        <v>26</v>
      </c>
      <c r="D63" s="6">
        <v>4231</v>
      </c>
      <c r="E63" s="8">
        <f>247*8*(206/1974)</f>
        <v>206.20871327254306</v>
      </c>
      <c r="F63" s="39">
        <f t="shared" si="40"/>
        <v>1.0010131712259371</v>
      </c>
      <c r="G63" s="50">
        <f t="shared" si="39"/>
        <v>20.538834951456309</v>
      </c>
      <c r="H63" s="43">
        <v>40.76</v>
      </c>
      <c r="I63" s="29">
        <f t="shared" si="41"/>
        <v>837.16291262135906</v>
      </c>
    </row>
    <row r="64" spans="1:12" s="1" customFormat="1" ht="15.75" thickBot="1">
      <c r="A64" s="23"/>
      <c r="B64" s="24"/>
      <c r="C64" s="26"/>
      <c r="D64" s="24"/>
      <c r="E64" s="24"/>
      <c r="F64" s="24"/>
      <c r="G64" s="37"/>
      <c r="H64" s="28"/>
      <c r="I64" s="27">
        <f>SUM(I60:I63)</f>
        <v>7287.1602068621351</v>
      </c>
      <c r="J64" s="1">
        <f>I64*206</f>
        <v>1501155.0026135999</v>
      </c>
      <c r="K64" s="1">
        <v>1501155</v>
      </c>
      <c r="L64" s="3">
        <f>K64-J64</f>
        <v>-2.6135998778045177E-3</v>
      </c>
    </row>
    <row r="65" spans="1:12" s="1" customFormat="1" ht="15.75" thickBot="1">
      <c r="A65" s="59"/>
      <c r="B65" s="60"/>
      <c r="C65" s="61"/>
      <c r="D65" s="60"/>
      <c r="E65" s="68"/>
      <c r="F65" s="60"/>
      <c r="G65" s="59"/>
      <c r="H65" s="62"/>
      <c r="I65" s="63"/>
    </row>
    <row r="66" spans="1:12" s="1" customFormat="1">
      <c r="A66" s="16" t="s">
        <v>73</v>
      </c>
      <c r="B66" s="17" t="s">
        <v>20</v>
      </c>
      <c r="C66" s="64" t="s">
        <v>24</v>
      </c>
      <c r="D66" s="17">
        <v>133000</v>
      </c>
      <c r="E66" s="15">
        <f>247*8*(347/1974)</f>
        <v>347.3515704154002</v>
      </c>
      <c r="F66" s="48">
        <f>E66/347</f>
        <v>1.0010131712259371</v>
      </c>
      <c r="G66" s="57">
        <f>D66/E66*F66</f>
        <v>383.28530259365988</v>
      </c>
      <c r="H66" s="18">
        <v>5.36</v>
      </c>
      <c r="I66" s="20">
        <f>H66*G66</f>
        <v>2054.4092219020172</v>
      </c>
    </row>
    <row r="67" spans="1:12" s="1" customFormat="1">
      <c r="A67" s="21"/>
      <c r="B67" s="6" t="s">
        <v>21</v>
      </c>
      <c r="C67" s="45" t="s">
        <v>25</v>
      </c>
      <c r="D67" s="10">
        <v>1083.0387519999999</v>
      </c>
      <c r="E67" s="8">
        <f>247*8*(347/1974)</f>
        <v>347.3515704154002</v>
      </c>
      <c r="F67" s="39">
        <f>E67/347</f>
        <v>1.0010131712259371</v>
      </c>
      <c r="G67" s="50">
        <f t="shared" ref="G67:G69" si="42">D67/E67*F67</f>
        <v>3.1211491412103745</v>
      </c>
      <c r="H67" s="7">
        <v>1448.6</v>
      </c>
      <c r="I67" s="29">
        <f>H67*G67</f>
        <v>4521.2966459573481</v>
      </c>
    </row>
    <row r="68" spans="1:12" s="1" customFormat="1">
      <c r="A68" s="21" t="s">
        <v>87</v>
      </c>
      <c r="B68" s="42" t="s">
        <v>22</v>
      </c>
      <c r="C68" s="46" t="s">
        <v>26</v>
      </c>
      <c r="D68" s="6">
        <v>5461</v>
      </c>
      <c r="E68" s="8">
        <f>247*8*(347/1974)</f>
        <v>347.3515704154002</v>
      </c>
      <c r="F68" s="39">
        <f t="shared" ref="F68:F69" si="43">E68/347</f>
        <v>1.0010131712259371</v>
      </c>
      <c r="G68" s="50">
        <f t="shared" si="42"/>
        <v>15.737752161383286</v>
      </c>
      <c r="H68" s="43">
        <v>28.7</v>
      </c>
      <c r="I68" s="29">
        <f t="shared" ref="I68:I69" si="44">H68*G68</f>
        <v>451.67348703170029</v>
      </c>
    </row>
    <row r="69" spans="1:12" s="1" customFormat="1">
      <c r="A69" s="21"/>
      <c r="B69" s="42" t="s">
        <v>23</v>
      </c>
      <c r="C69" s="46" t="s">
        <v>26</v>
      </c>
      <c r="D69" s="6">
        <v>5461</v>
      </c>
      <c r="E69" s="8">
        <f>247*8*(347/1974)</f>
        <v>347.3515704154002</v>
      </c>
      <c r="F69" s="39">
        <f t="shared" si="43"/>
        <v>1.0010131712259371</v>
      </c>
      <c r="G69" s="50">
        <f t="shared" si="42"/>
        <v>15.737752161383286</v>
      </c>
      <c r="H69" s="43">
        <v>40.76</v>
      </c>
      <c r="I69" s="29">
        <f t="shared" si="44"/>
        <v>641.4707780979827</v>
      </c>
    </row>
    <row r="70" spans="1:12" s="1" customFormat="1" ht="15.75" thickBot="1">
      <c r="A70" s="23"/>
      <c r="B70" s="24"/>
      <c r="C70" s="26"/>
      <c r="D70" s="24"/>
      <c r="E70" s="24"/>
      <c r="F70" s="24"/>
      <c r="G70" s="37"/>
      <c r="H70" s="28"/>
      <c r="I70" s="27">
        <f>SUM(I66:I69)</f>
        <v>7668.8501329890487</v>
      </c>
      <c r="J70" s="1">
        <f>I70*347</f>
        <v>2661090.9961472</v>
      </c>
      <c r="K70" s="1">
        <v>2661091</v>
      </c>
      <c r="L70" s="3">
        <f>K70-J70</f>
        <v>3.8528000004589558E-3</v>
      </c>
    </row>
    <row r="71" spans="1:12" s="1" customFormat="1">
      <c r="A71" s="16" t="s">
        <v>74</v>
      </c>
      <c r="B71" s="13" t="s">
        <v>20</v>
      </c>
      <c r="C71" s="44" t="s">
        <v>24</v>
      </c>
      <c r="D71" s="17">
        <v>110000</v>
      </c>
      <c r="E71" s="15">
        <f>247*8*(434/1974)</f>
        <v>434.43971631205676</v>
      </c>
      <c r="F71" s="48">
        <f>E71/434</f>
        <v>1.0010131712259371</v>
      </c>
      <c r="G71" s="50">
        <f>D71/E71*F71</f>
        <v>253.45622119815667</v>
      </c>
      <c r="H71" s="14">
        <v>5.36</v>
      </c>
      <c r="I71" s="29">
        <f>H71*G71</f>
        <v>1358.5253456221199</v>
      </c>
    </row>
    <row r="72" spans="1:12" s="1" customFormat="1">
      <c r="A72" s="21"/>
      <c r="B72" s="6" t="s">
        <v>21</v>
      </c>
      <c r="C72" s="45" t="s">
        <v>25</v>
      </c>
      <c r="D72" s="10">
        <v>1308.248652</v>
      </c>
      <c r="E72" s="8">
        <f>247*8*(434/1974)</f>
        <v>434.43971631205676</v>
      </c>
      <c r="F72" s="39">
        <f>E72/434</f>
        <v>1.0010131712259371</v>
      </c>
      <c r="G72" s="50">
        <f t="shared" ref="G72:G74" si="45">D72/E72*F72</f>
        <v>3.0143978156682025</v>
      </c>
      <c r="H72" s="7">
        <v>1448.6</v>
      </c>
      <c r="I72" s="29">
        <f>H72*G72</f>
        <v>4366.6566757769579</v>
      </c>
    </row>
    <row r="73" spans="1:12" s="1" customFormat="1">
      <c r="A73" s="21" t="s">
        <v>88</v>
      </c>
      <c r="B73" s="42" t="s">
        <v>22</v>
      </c>
      <c r="C73" s="46" t="s">
        <v>26</v>
      </c>
      <c r="D73" s="6">
        <v>3150</v>
      </c>
      <c r="E73" s="8">
        <f t="shared" ref="E73:E74" si="46">247*8*(434/1974)</f>
        <v>434.43971631205676</v>
      </c>
      <c r="F73" s="39">
        <f t="shared" ref="F73:F74" si="47">E73/434</f>
        <v>1.0010131712259371</v>
      </c>
      <c r="G73" s="50">
        <f t="shared" si="45"/>
        <v>7.258064516129032</v>
      </c>
      <c r="H73" s="43">
        <v>28.7</v>
      </c>
      <c r="I73" s="29">
        <f t="shared" ref="I73:I74" si="48">H73*G73</f>
        <v>208.3064516129032</v>
      </c>
    </row>
    <row r="74" spans="1:12" s="1" customFormat="1">
      <c r="A74" s="21"/>
      <c r="B74" s="42" t="s">
        <v>23</v>
      </c>
      <c r="C74" s="46" t="s">
        <v>26</v>
      </c>
      <c r="D74" s="6">
        <v>3150</v>
      </c>
      <c r="E74" s="8">
        <f t="shared" si="46"/>
        <v>434.43971631205676</v>
      </c>
      <c r="F74" s="39">
        <f t="shared" si="47"/>
        <v>1.0010131712259371</v>
      </c>
      <c r="G74" s="50">
        <f t="shared" si="45"/>
        <v>7.258064516129032</v>
      </c>
      <c r="H74" s="43">
        <v>40.76</v>
      </c>
      <c r="I74" s="29">
        <f t="shared" si="48"/>
        <v>295.83870967741933</v>
      </c>
    </row>
    <row r="75" spans="1:12" s="1" customFormat="1" ht="15.75" thickBot="1">
      <c r="A75" s="23"/>
      <c r="B75" s="24"/>
      <c r="C75" s="26"/>
      <c r="D75" s="24"/>
      <c r="E75" s="24"/>
      <c r="F75" s="24"/>
      <c r="G75" s="37"/>
      <c r="H75" s="28"/>
      <c r="I75" s="27">
        <f>SUM(I71:I74)</f>
        <v>6229.3271826894006</v>
      </c>
      <c r="J75" s="1">
        <f>I75*434</f>
        <v>2703527.9972871998</v>
      </c>
      <c r="K75" s="1">
        <v>2703528</v>
      </c>
      <c r="L75" s="3">
        <f>K75-J75</f>
        <v>2.7128001675009727E-3</v>
      </c>
    </row>
    <row r="76" spans="1:12" s="1" customFormat="1">
      <c r="A76" s="59"/>
      <c r="B76" s="60"/>
      <c r="C76" s="61"/>
      <c r="D76" s="60"/>
      <c r="E76" s="60"/>
      <c r="F76" s="60"/>
      <c r="G76" s="59"/>
      <c r="H76" s="62"/>
      <c r="I76" s="63"/>
    </row>
  </sheetData>
  <mergeCells count="1">
    <mergeCell ref="A3:I3"/>
  </mergeCells>
  <pageMargins left="0.31496062992125984" right="0" top="0.35433070866141736" bottom="0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69"/>
  <sheetViews>
    <sheetView zoomScale="90" zoomScaleNormal="90" workbookViewId="0">
      <pane xSplit="1" ySplit="6" topLeftCell="B106" activePane="bottomRight" state="frozen"/>
      <selection pane="topRight" activeCell="B1" sqref="B1"/>
      <selection pane="bottomLeft" activeCell="A7" sqref="A7"/>
      <selection pane="bottomRight" activeCell="D142" sqref="D142:D153"/>
    </sheetView>
  </sheetViews>
  <sheetFormatPr defaultRowHeight="15"/>
  <cols>
    <col min="1" max="1" width="15.85546875" customWidth="1"/>
    <col min="2" max="2" width="40.42578125" style="1" customWidth="1"/>
    <col min="3" max="3" width="10.85546875" style="1" customWidth="1"/>
    <col min="4" max="4" width="8.28515625" style="1" customWidth="1"/>
    <col min="5" max="5" width="11.42578125" style="1" customWidth="1"/>
    <col min="6" max="6" width="9.85546875" style="1" customWidth="1"/>
    <col min="7" max="7" width="12.5703125" customWidth="1"/>
    <col min="8" max="8" width="10.85546875" style="1" customWidth="1"/>
    <col min="9" max="9" width="9.140625" style="1"/>
    <col min="10" max="10" width="10.7109375" style="1" customWidth="1"/>
    <col min="11" max="18" width="9.140625" style="1"/>
  </cols>
  <sheetData>
    <row r="1" spans="1:11" ht="18.75">
      <c r="A1" s="85" t="s">
        <v>102</v>
      </c>
    </row>
    <row r="3" spans="1:11" ht="18.75">
      <c r="A3" s="96" t="s">
        <v>35</v>
      </c>
      <c r="B3" s="96"/>
      <c r="C3" s="96"/>
      <c r="D3" s="96"/>
      <c r="E3" s="96"/>
      <c r="F3" s="96"/>
      <c r="G3" s="96"/>
      <c r="H3" s="96"/>
    </row>
    <row r="4" spans="1:11" ht="15.75" thickBot="1">
      <c r="G4" s="71" t="s">
        <v>95</v>
      </c>
    </row>
    <row r="5" spans="1:11" ht="105">
      <c r="A5" s="30" t="s">
        <v>2</v>
      </c>
      <c r="B5" s="31" t="s">
        <v>15</v>
      </c>
      <c r="C5" s="31" t="s">
        <v>14</v>
      </c>
      <c r="D5" s="31" t="s">
        <v>16</v>
      </c>
      <c r="E5" s="31" t="s">
        <v>27</v>
      </c>
      <c r="F5" s="31" t="s">
        <v>90</v>
      </c>
      <c r="G5" s="31" t="s">
        <v>29</v>
      </c>
      <c r="H5" s="31" t="s">
        <v>30</v>
      </c>
      <c r="I5" s="31" t="s">
        <v>11</v>
      </c>
      <c r="J5" s="2" t="s">
        <v>34</v>
      </c>
      <c r="K5" s="2" t="s">
        <v>33</v>
      </c>
    </row>
    <row r="6" spans="1:11" ht="15.75" thickBot="1">
      <c r="A6" s="5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31</v>
      </c>
      <c r="H6" s="11">
        <v>8</v>
      </c>
      <c r="I6" s="53" t="s">
        <v>32</v>
      </c>
    </row>
    <row r="7" spans="1:11">
      <c r="A7" s="16" t="s">
        <v>61</v>
      </c>
      <c r="B7" s="17" t="s">
        <v>36</v>
      </c>
      <c r="C7" s="17" t="s">
        <v>17</v>
      </c>
      <c r="D7" s="17">
        <v>1</v>
      </c>
      <c r="E7" s="19">
        <f>247*8*(122/1974)</f>
        <v>122.12360688956433</v>
      </c>
      <c r="F7" s="38">
        <f>E7/122</f>
        <v>1.0010131712259371</v>
      </c>
      <c r="G7" s="55">
        <f>D7/E7*F7</f>
        <v>8.1967213114754103E-3</v>
      </c>
      <c r="H7" s="18">
        <v>24861</v>
      </c>
      <c r="I7" s="20">
        <f>H7*G7</f>
        <v>203.77868852459017</v>
      </c>
    </row>
    <row r="8" spans="1:11" s="1" customFormat="1">
      <c r="A8" s="70">
        <v>122</v>
      </c>
      <c r="B8" s="6" t="s">
        <v>37</v>
      </c>
      <c r="C8" s="6" t="s">
        <v>17</v>
      </c>
      <c r="D8" s="6">
        <v>1</v>
      </c>
      <c r="E8" s="8">
        <f>247*8*(122/1974)</f>
        <v>122.12360688956433</v>
      </c>
      <c r="F8" s="39">
        <f>E8/122</f>
        <v>1.0010131712259371</v>
      </c>
      <c r="G8" s="54">
        <f>D8/E8*F8</f>
        <v>8.1967213114754103E-3</v>
      </c>
      <c r="H8" s="7">
        <v>6000</v>
      </c>
      <c r="I8" s="22">
        <f t="shared" ref="I8:I15" si="0">H8*G8</f>
        <v>49.180327868852459</v>
      </c>
    </row>
    <row r="9" spans="1:11" s="1" customFormat="1">
      <c r="A9" s="21"/>
      <c r="B9" s="6" t="s">
        <v>40</v>
      </c>
      <c r="C9" s="6" t="s">
        <v>17</v>
      </c>
      <c r="D9" s="6">
        <v>1</v>
      </c>
      <c r="E9" s="8">
        <f>247*8*(122/1974)</f>
        <v>122.12360688956433</v>
      </c>
      <c r="F9" s="39">
        <f>E9/122</f>
        <v>1.0010131712259371</v>
      </c>
      <c r="G9" s="54">
        <f>D9/E9*F9</f>
        <v>8.1967213114754103E-3</v>
      </c>
      <c r="H9" s="7">
        <v>15600</v>
      </c>
      <c r="I9" s="22">
        <f t="shared" ref="I9" si="1">H9*G9</f>
        <v>127.8688524590164</v>
      </c>
    </row>
    <row r="10" spans="1:11" s="1" customFormat="1">
      <c r="A10" s="21"/>
      <c r="B10" s="6" t="s">
        <v>38</v>
      </c>
      <c r="C10" s="6" t="s">
        <v>17</v>
      </c>
      <c r="D10" s="6">
        <v>1</v>
      </c>
      <c r="E10" s="8">
        <f>247*8*(122/1974)</f>
        <v>122.12360688956433</v>
      </c>
      <c r="F10" s="39">
        <f>E10/122</f>
        <v>1.0010131712259371</v>
      </c>
      <c r="G10" s="54">
        <f t="shared" ref="G10" si="2">D10/E10*F10</f>
        <v>8.1967213114754103E-3</v>
      </c>
      <c r="H10" s="7">
        <f>3600+24000</f>
        <v>27600</v>
      </c>
      <c r="I10" s="22">
        <f t="shared" si="0"/>
        <v>226.22950819672133</v>
      </c>
    </row>
    <row r="11" spans="1:11" s="1" customFormat="1">
      <c r="A11" s="21"/>
      <c r="B11" s="6" t="s">
        <v>39</v>
      </c>
      <c r="C11" s="6" t="s">
        <v>17</v>
      </c>
      <c r="D11" s="6">
        <v>1</v>
      </c>
      <c r="E11" s="8">
        <f>247*8*(122/1974)</f>
        <v>122.12360688956433</v>
      </c>
      <c r="F11" s="39">
        <f>E11/122</f>
        <v>1.0010131712259371</v>
      </c>
      <c r="G11" s="54">
        <f t="shared" ref="G11:G15" si="3">D11/E11*F11</f>
        <v>8.1967213114754103E-3</v>
      </c>
      <c r="H11" s="8">
        <v>6177</v>
      </c>
      <c r="I11" s="22">
        <f t="shared" si="0"/>
        <v>50.631147540983612</v>
      </c>
    </row>
    <row r="12" spans="1:11" s="1" customFormat="1">
      <c r="A12" s="21"/>
      <c r="B12" s="6" t="s">
        <v>92</v>
      </c>
      <c r="C12" s="6" t="s">
        <v>17</v>
      </c>
      <c r="D12" s="6">
        <v>1</v>
      </c>
      <c r="E12" s="8">
        <f t="shared" ref="E12:E14" si="4">247*8*(122/1974)</f>
        <v>122.12360688956433</v>
      </c>
      <c r="F12" s="39">
        <f t="shared" ref="F12:F14" si="5">E12/122</f>
        <v>1.0010131712259371</v>
      </c>
      <c r="G12" s="54">
        <f t="shared" ref="G12:G14" si="6">D12/E12*F12</f>
        <v>8.1967213114754103E-3</v>
      </c>
      <c r="H12" s="8">
        <v>5000</v>
      </c>
      <c r="I12" s="22">
        <f t="shared" si="0"/>
        <v>40.983606557377051</v>
      </c>
    </row>
    <row r="13" spans="1:11" s="1" customFormat="1">
      <c r="A13" s="21"/>
      <c r="B13" s="6" t="s">
        <v>41</v>
      </c>
      <c r="C13" s="6" t="s">
        <v>17</v>
      </c>
      <c r="D13" s="6">
        <v>1</v>
      </c>
      <c r="E13" s="8">
        <f t="shared" si="4"/>
        <v>122.12360688956433</v>
      </c>
      <c r="F13" s="39">
        <f t="shared" si="5"/>
        <v>1.0010131712259371</v>
      </c>
      <c r="G13" s="54">
        <f t="shared" si="6"/>
        <v>8.1967213114754103E-3</v>
      </c>
      <c r="H13" s="8">
        <v>6000</v>
      </c>
      <c r="I13" s="22">
        <f t="shared" si="0"/>
        <v>49.180327868852459</v>
      </c>
    </row>
    <row r="14" spans="1:11" s="1" customFormat="1">
      <c r="A14" s="21"/>
      <c r="B14" s="6" t="s">
        <v>93</v>
      </c>
      <c r="C14" s="6" t="s">
        <v>17</v>
      </c>
      <c r="D14" s="6">
        <v>1</v>
      </c>
      <c r="E14" s="8">
        <f t="shared" si="4"/>
        <v>122.12360688956433</v>
      </c>
      <c r="F14" s="39">
        <f t="shared" si="5"/>
        <v>1.0010131712259371</v>
      </c>
      <c r="G14" s="54">
        <f t="shared" si="6"/>
        <v>8.1967213114754103E-3</v>
      </c>
      <c r="H14" s="8">
        <v>6000</v>
      </c>
      <c r="I14" s="22">
        <f t="shared" si="0"/>
        <v>49.180327868852459</v>
      </c>
    </row>
    <row r="15" spans="1:11" s="1" customFormat="1">
      <c r="A15" s="21"/>
      <c r="B15" s="49" t="s">
        <v>91</v>
      </c>
      <c r="C15" s="6" t="s">
        <v>17</v>
      </c>
      <c r="D15" s="6">
        <v>1</v>
      </c>
      <c r="E15" s="8">
        <f>247*8*(122/1974)</f>
        <v>122.12360688956433</v>
      </c>
      <c r="F15" s="39">
        <f>E15/122</f>
        <v>1.0010131712259371</v>
      </c>
      <c r="G15" s="54">
        <f t="shared" si="3"/>
        <v>8.1967213114754103E-3</v>
      </c>
      <c r="H15" s="8">
        <v>25200</v>
      </c>
      <c r="I15" s="22">
        <f t="shared" si="0"/>
        <v>206.55737704918033</v>
      </c>
    </row>
    <row r="16" spans="1:11" s="1" customFormat="1">
      <c r="A16" s="41"/>
      <c r="B16" s="72" t="s">
        <v>96</v>
      </c>
      <c r="C16" s="6" t="s">
        <v>17</v>
      </c>
      <c r="D16" s="6">
        <v>1</v>
      </c>
      <c r="E16" s="8">
        <f t="shared" ref="E16:E17" si="7">247*8*(122/1974)</f>
        <v>122.12360688956433</v>
      </c>
      <c r="F16" s="39">
        <f t="shared" ref="F16:F17" si="8">E16/122</f>
        <v>1.0010131712259371</v>
      </c>
      <c r="G16" s="54">
        <f t="shared" ref="G16:G17" si="9">D16/E16*F16</f>
        <v>8.1967213114754103E-3</v>
      </c>
      <c r="H16" s="8">
        <v>2000</v>
      </c>
      <c r="I16" s="22">
        <f t="shared" ref="I16:I17" si="10">H16*G16</f>
        <v>16.393442622950822</v>
      </c>
    </row>
    <row r="17" spans="1:11" s="1" customFormat="1" ht="13.5" customHeight="1">
      <c r="A17" s="41"/>
      <c r="B17" s="72" t="s">
        <v>97</v>
      </c>
      <c r="C17" s="6" t="s">
        <v>17</v>
      </c>
      <c r="D17" s="6">
        <v>1</v>
      </c>
      <c r="E17" s="8">
        <f t="shared" si="7"/>
        <v>122.12360688956433</v>
      </c>
      <c r="F17" s="39">
        <f t="shared" si="8"/>
        <v>1.0010131712259371</v>
      </c>
      <c r="G17" s="54">
        <f t="shared" si="9"/>
        <v>8.1967213114754103E-3</v>
      </c>
      <c r="H17" s="8">
        <v>259</v>
      </c>
      <c r="I17" s="22">
        <f t="shared" si="10"/>
        <v>2.1229508196721314</v>
      </c>
    </row>
    <row r="18" spans="1:11" s="1" customFormat="1" ht="15.75" thickBot="1">
      <c r="A18" s="23"/>
      <c r="B18" s="24"/>
      <c r="C18" s="24"/>
      <c r="D18" s="24"/>
      <c r="E18" s="24"/>
      <c r="F18" s="24"/>
      <c r="G18" s="28"/>
      <c r="H18" s="56"/>
      <c r="I18" s="27">
        <f>SUM(I7:I17)</f>
        <v>1022.1065573770493</v>
      </c>
      <c r="J18" s="77">
        <f>98438+24000+2259</f>
        <v>124697</v>
      </c>
      <c r="K18" s="77">
        <f>I18*A8</f>
        <v>124697.00000000001</v>
      </c>
    </row>
    <row r="19" spans="1:11">
      <c r="A19" s="16" t="s">
        <v>63</v>
      </c>
      <c r="B19" s="17" t="s">
        <v>36</v>
      </c>
      <c r="C19" s="17" t="s">
        <v>17</v>
      </c>
      <c r="D19" s="17">
        <v>1</v>
      </c>
      <c r="E19" s="19">
        <f>247*8*(240/1974)</f>
        <v>240.24316109422492</v>
      </c>
      <c r="F19" s="38">
        <f>E19/240</f>
        <v>1.0010131712259371</v>
      </c>
      <c r="G19" s="55">
        <f>D19/E19*F19</f>
        <v>4.1666666666666666E-3</v>
      </c>
      <c r="H19" s="18">
        <v>35721</v>
      </c>
      <c r="I19" s="20">
        <f>H19*G19</f>
        <v>148.83750000000001</v>
      </c>
    </row>
    <row r="20" spans="1:11" s="1" customFormat="1">
      <c r="A20" s="70">
        <v>240</v>
      </c>
      <c r="B20" s="6" t="s">
        <v>37</v>
      </c>
      <c r="C20" s="6" t="s">
        <v>17</v>
      </c>
      <c r="D20" s="6">
        <v>1</v>
      </c>
      <c r="E20" s="8">
        <f>247*8*(240/1974)</f>
        <v>240.24316109422492</v>
      </c>
      <c r="F20" s="39">
        <f>E20/240</f>
        <v>1.0010131712259371</v>
      </c>
      <c r="G20" s="54">
        <f>D20/E20*F20</f>
        <v>4.1666666666666666E-3</v>
      </c>
      <c r="H20" s="7">
        <v>6672</v>
      </c>
      <c r="I20" s="22">
        <f t="shared" ref="I20:I29" si="11">H20*G20</f>
        <v>27.8</v>
      </c>
    </row>
    <row r="21" spans="1:11" s="1" customFormat="1">
      <c r="A21" s="21"/>
      <c r="B21" s="6" t="s">
        <v>40</v>
      </c>
      <c r="C21" s="6" t="s">
        <v>17</v>
      </c>
      <c r="D21" s="6">
        <v>1</v>
      </c>
      <c r="E21" s="8">
        <f t="shared" ref="E21:E29" si="12">247*8*(240/1974)</f>
        <v>240.24316109422492</v>
      </c>
      <c r="F21" s="39">
        <f t="shared" ref="F21:F29" si="13">E21/240</f>
        <v>1.0010131712259371</v>
      </c>
      <c r="G21" s="54">
        <f>D21/E21*F21</f>
        <v>4.1666666666666666E-3</v>
      </c>
      <c r="H21" s="7">
        <v>12000</v>
      </c>
      <c r="I21" s="22">
        <f t="shared" si="11"/>
        <v>50</v>
      </c>
    </row>
    <row r="22" spans="1:11" s="1" customFormat="1">
      <c r="A22" s="21"/>
      <c r="B22" s="6" t="s">
        <v>38</v>
      </c>
      <c r="C22" s="6" t="s">
        <v>17</v>
      </c>
      <c r="D22" s="6">
        <v>1</v>
      </c>
      <c r="E22" s="8">
        <f t="shared" si="12"/>
        <v>240.24316109422492</v>
      </c>
      <c r="F22" s="39">
        <f t="shared" si="13"/>
        <v>1.0010131712259371</v>
      </c>
      <c r="G22" s="54">
        <f t="shared" ref="G22:G29" si="14">D22/E22*F22</f>
        <v>4.1666666666666666E-3</v>
      </c>
      <c r="H22" s="7">
        <f>4968+24000</f>
        <v>28968</v>
      </c>
      <c r="I22" s="22">
        <f t="shared" si="11"/>
        <v>120.7</v>
      </c>
    </row>
    <row r="23" spans="1:11" s="1" customFormat="1">
      <c r="A23" s="21"/>
      <c r="B23" s="6" t="s">
        <v>39</v>
      </c>
      <c r="C23" s="6" t="s">
        <v>17</v>
      </c>
      <c r="D23" s="6">
        <v>1</v>
      </c>
      <c r="E23" s="8">
        <f t="shared" si="12"/>
        <v>240.24316109422492</v>
      </c>
      <c r="F23" s="39">
        <f t="shared" si="13"/>
        <v>1.0010131712259371</v>
      </c>
      <c r="G23" s="54">
        <f t="shared" si="14"/>
        <v>4.1666666666666666E-3</v>
      </c>
      <c r="H23" s="8">
        <v>11405</v>
      </c>
      <c r="I23" s="22">
        <f t="shared" si="11"/>
        <v>47.520833333333336</v>
      </c>
    </row>
    <row r="24" spans="1:11" s="1" customFormat="1">
      <c r="A24" s="21"/>
      <c r="B24" s="6" t="s">
        <v>92</v>
      </c>
      <c r="C24" s="6" t="s">
        <v>17</v>
      </c>
      <c r="D24" s="6">
        <v>1</v>
      </c>
      <c r="E24" s="8">
        <f t="shared" si="12"/>
        <v>240.24316109422492</v>
      </c>
      <c r="F24" s="39">
        <f t="shared" si="13"/>
        <v>1.0010131712259371</v>
      </c>
      <c r="G24" s="54">
        <f t="shared" si="14"/>
        <v>4.1666666666666666E-3</v>
      </c>
      <c r="H24" s="8">
        <v>6429</v>
      </c>
      <c r="I24" s="22">
        <f t="shared" si="11"/>
        <v>26.787499999999998</v>
      </c>
    </row>
    <row r="25" spans="1:11" s="1" customFormat="1">
      <c r="A25" s="21"/>
      <c r="B25" s="6" t="s">
        <v>41</v>
      </c>
      <c r="C25" s="6" t="s">
        <v>17</v>
      </c>
      <c r="D25" s="6">
        <v>1</v>
      </c>
      <c r="E25" s="8">
        <f t="shared" si="12"/>
        <v>240.24316109422492</v>
      </c>
      <c r="F25" s="39">
        <f t="shared" si="13"/>
        <v>1.0010131712259371</v>
      </c>
      <c r="G25" s="54">
        <f t="shared" si="14"/>
        <v>4.1666666666666666E-3</v>
      </c>
      <c r="H25" s="8">
        <v>8000</v>
      </c>
      <c r="I25" s="22">
        <f t="shared" si="11"/>
        <v>33.333333333333336</v>
      </c>
    </row>
    <row r="26" spans="1:11" s="1" customFormat="1">
      <c r="A26" s="21"/>
      <c r="B26" s="6" t="s">
        <v>115</v>
      </c>
      <c r="C26" s="6" t="s">
        <v>17</v>
      </c>
      <c r="D26" s="6">
        <v>1</v>
      </c>
      <c r="E26" s="8">
        <f t="shared" si="12"/>
        <v>240.24316109422492</v>
      </c>
      <c r="F26" s="39">
        <f t="shared" si="13"/>
        <v>1.0010131712259371</v>
      </c>
      <c r="G26" s="54">
        <f t="shared" si="14"/>
        <v>4.1666666666666666E-3</v>
      </c>
      <c r="H26" s="8">
        <v>36000</v>
      </c>
      <c r="I26" s="22">
        <f t="shared" si="11"/>
        <v>150</v>
      </c>
    </row>
    <row r="27" spans="1:11" s="1" customFormat="1">
      <c r="A27" s="21"/>
      <c r="B27" s="49" t="s">
        <v>91</v>
      </c>
      <c r="C27" s="6" t="s">
        <v>17</v>
      </c>
      <c r="D27" s="6">
        <v>1</v>
      </c>
      <c r="E27" s="8">
        <f t="shared" si="12"/>
        <v>240.24316109422492</v>
      </c>
      <c r="F27" s="39">
        <f t="shared" si="13"/>
        <v>1.0010131712259371</v>
      </c>
      <c r="G27" s="54">
        <f t="shared" si="14"/>
        <v>4.1666666666666666E-3</v>
      </c>
      <c r="H27" s="8">
        <v>25200</v>
      </c>
      <c r="I27" s="22">
        <f t="shared" si="11"/>
        <v>105</v>
      </c>
    </row>
    <row r="28" spans="1:11" s="1" customFormat="1">
      <c r="A28" s="41"/>
      <c r="B28" s="72" t="s">
        <v>96</v>
      </c>
      <c r="C28" s="6" t="s">
        <v>17</v>
      </c>
      <c r="D28" s="6">
        <v>1</v>
      </c>
      <c r="E28" s="8">
        <f t="shared" si="12"/>
        <v>240.24316109422492</v>
      </c>
      <c r="F28" s="39">
        <f t="shared" si="13"/>
        <v>1.0010131712259371</v>
      </c>
      <c r="G28" s="54">
        <f t="shared" si="14"/>
        <v>4.1666666666666666E-3</v>
      </c>
      <c r="H28" s="8">
        <v>2000</v>
      </c>
      <c r="I28" s="22">
        <f t="shared" si="11"/>
        <v>8.3333333333333339</v>
      </c>
    </row>
    <row r="29" spans="1:11" s="1" customFormat="1" ht="13.5" customHeight="1">
      <c r="A29" s="41"/>
      <c r="B29" s="72" t="s">
        <v>97</v>
      </c>
      <c r="C29" s="6" t="s">
        <v>17</v>
      </c>
      <c r="D29" s="6">
        <v>1</v>
      </c>
      <c r="E29" s="8">
        <f t="shared" si="12"/>
        <v>240.24316109422492</v>
      </c>
      <c r="F29" s="39">
        <f t="shared" si="13"/>
        <v>1.0010131712259371</v>
      </c>
      <c r="G29" s="54">
        <f t="shared" si="14"/>
        <v>4.1666666666666666E-3</v>
      </c>
      <c r="H29" s="8">
        <v>698</v>
      </c>
      <c r="I29" s="22">
        <f t="shared" si="11"/>
        <v>2.9083333333333332</v>
      </c>
    </row>
    <row r="30" spans="1:11" s="1" customFormat="1" ht="15.75" thickBot="1">
      <c r="A30" s="23"/>
      <c r="B30" s="24"/>
      <c r="C30" s="24"/>
      <c r="D30" s="24"/>
      <c r="E30" s="24"/>
      <c r="F30" s="24"/>
      <c r="G30" s="28"/>
      <c r="H30" s="56"/>
      <c r="I30" s="27">
        <f>SUM(I19:I29)</f>
        <v>721.22083333333342</v>
      </c>
      <c r="J30" s="77">
        <f>146395+24000+2698</f>
        <v>173093</v>
      </c>
      <c r="K30" s="77">
        <f>I30*A20</f>
        <v>173093.00000000003</v>
      </c>
    </row>
    <row r="31" spans="1:11">
      <c r="A31" s="16" t="s">
        <v>64</v>
      </c>
      <c r="B31" s="17" t="s">
        <v>36</v>
      </c>
      <c r="C31" s="17" t="s">
        <v>17</v>
      </c>
      <c r="D31" s="17">
        <v>1</v>
      </c>
      <c r="E31" s="19">
        <f>247*8*(123/1974)</f>
        <v>123.12462006079028</v>
      </c>
      <c r="F31" s="38">
        <f>E31/123</f>
        <v>1.0010131712259371</v>
      </c>
      <c r="G31" s="55">
        <f>D31/E31*F31</f>
        <v>8.1300813008130073E-3</v>
      </c>
      <c r="H31" s="18">
        <v>19627</v>
      </c>
      <c r="I31" s="20">
        <f>H31*G31</f>
        <v>159.5691056910569</v>
      </c>
    </row>
    <row r="32" spans="1:11" s="1" customFormat="1">
      <c r="A32" s="70">
        <v>123</v>
      </c>
      <c r="B32" s="6" t="s">
        <v>37</v>
      </c>
      <c r="C32" s="6" t="s">
        <v>17</v>
      </c>
      <c r="D32" s="6">
        <v>1</v>
      </c>
      <c r="E32" s="8">
        <f>247*8*(123/1974)</f>
        <v>123.12462006079028</v>
      </c>
      <c r="F32" s="39">
        <f>E32/123</f>
        <v>1.0010131712259371</v>
      </c>
      <c r="G32" s="54">
        <f>D32/E32*F32</f>
        <v>8.1300813008130073E-3</v>
      </c>
      <c r="H32" s="7">
        <v>7200</v>
      </c>
      <c r="I32" s="22">
        <f t="shared" ref="I32:I41" si="15">H32*G32</f>
        <v>58.536585365853654</v>
      </c>
    </row>
    <row r="33" spans="1:11" s="1" customFormat="1">
      <c r="A33" s="21"/>
      <c r="B33" s="6" t="s">
        <v>40</v>
      </c>
      <c r="C33" s="6" t="s">
        <v>17</v>
      </c>
      <c r="D33" s="6">
        <v>1</v>
      </c>
      <c r="E33" s="8">
        <f t="shared" ref="E33:E41" si="16">247*8*(123/1974)</f>
        <v>123.12462006079028</v>
      </c>
      <c r="F33" s="39">
        <f t="shared" ref="F33:F41" si="17">E33/123</f>
        <v>1.0010131712259371</v>
      </c>
      <c r="G33" s="54">
        <f>D33/E33*F33</f>
        <v>8.1300813008130073E-3</v>
      </c>
      <c r="H33" s="7"/>
      <c r="I33" s="22">
        <f t="shared" si="15"/>
        <v>0</v>
      </c>
    </row>
    <row r="34" spans="1:11" s="1" customFormat="1">
      <c r="A34" s="21"/>
      <c r="B34" s="6" t="s">
        <v>38</v>
      </c>
      <c r="C34" s="6" t="s">
        <v>17</v>
      </c>
      <c r="D34" s="6">
        <v>1</v>
      </c>
      <c r="E34" s="8">
        <f t="shared" si="16"/>
        <v>123.12462006079028</v>
      </c>
      <c r="F34" s="39">
        <f t="shared" si="17"/>
        <v>1.0010131712259371</v>
      </c>
      <c r="G34" s="54">
        <f t="shared" ref="G34:G41" si="18">D34/E34*F34</f>
        <v>8.1300813008130073E-3</v>
      </c>
      <c r="H34" s="7">
        <f>5520+24000</f>
        <v>29520</v>
      </c>
      <c r="I34" s="22">
        <f t="shared" si="15"/>
        <v>239.99999999999997</v>
      </c>
    </row>
    <row r="35" spans="1:11" s="1" customFormat="1">
      <c r="A35" s="21"/>
      <c r="B35" s="6" t="s">
        <v>39</v>
      </c>
      <c r="C35" s="6" t="s">
        <v>17</v>
      </c>
      <c r="D35" s="6">
        <v>1</v>
      </c>
      <c r="E35" s="8">
        <f t="shared" si="16"/>
        <v>123.12462006079028</v>
      </c>
      <c r="F35" s="39">
        <f t="shared" si="17"/>
        <v>1.0010131712259371</v>
      </c>
      <c r="G35" s="54">
        <f t="shared" si="18"/>
        <v>8.1300813008130073E-3</v>
      </c>
      <c r="H35" s="8">
        <v>6230</v>
      </c>
      <c r="I35" s="22">
        <f t="shared" si="15"/>
        <v>50.650406504065032</v>
      </c>
    </row>
    <row r="36" spans="1:11" s="1" customFormat="1">
      <c r="A36" s="21"/>
      <c r="B36" s="6" t="s">
        <v>92</v>
      </c>
      <c r="C36" s="6" t="s">
        <v>17</v>
      </c>
      <c r="D36" s="6">
        <v>1</v>
      </c>
      <c r="E36" s="8">
        <f t="shared" si="16"/>
        <v>123.12462006079028</v>
      </c>
      <c r="F36" s="39">
        <f t="shared" si="17"/>
        <v>1.0010131712259371</v>
      </c>
      <c r="G36" s="54">
        <f t="shared" si="18"/>
        <v>8.1300813008130073E-3</v>
      </c>
      <c r="H36" s="8">
        <v>5000</v>
      </c>
      <c r="I36" s="22">
        <f t="shared" si="15"/>
        <v>40.650406504065039</v>
      </c>
    </row>
    <row r="37" spans="1:11" s="1" customFormat="1">
      <c r="A37" s="21"/>
      <c r="B37" s="6" t="s">
        <v>41</v>
      </c>
      <c r="C37" s="6" t="s">
        <v>17</v>
      </c>
      <c r="D37" s="6">
        <v>1</v>
      </c>
      <c r="E37" s="8">
        <f t="shared" si="16"/>
        <v>123.12462006079028</v>
      </c>
      <c r="F37" s="39">
        <f t="shared" si="17"/>
        <v>1.0010131712259371</v>
      </c>
      <c r="G37" s="54">
        <f t="shared" si="18"/>
        <v>8.1300813008130073E-3</v>
      </c>
      <c r="H37" s="8">
        <v>7000</v>
      </c>
      <c r="I37" s="22">
        <f t="shared" si="15"/>
        <v>56.910569105691053</v>
      </c>
    </row>
    <row r="38" spans="1:11" s="1" customFormat="1">
      <c r="A38" s="21"/>
      <c r="B38" s="6" t="s">
        <v>121</v>
      </c>
      <c r="C38" s="6" t="s">
        <v>17</v>
      </c>
      <c r="D38" s="6">
        <v>1</v>
      </c>
      <c r="E38" s="8">
        <f t="shared" si="16"/>
        <v>123.12462006079028</v>
      </c>
      <c r="F38" s="39">
        <f t="shared" si="17"/>
        <v>1.0010131712259371</v>
      </c>
      <c r="G38" s="54">
        <f t="shared" si="18"/>
        <v>8.1300813008130073E-3</v>
      </c>
      <c r="H38" s="8">
        <v>12183</v>
      </c>
      <c r="I38" s="22">
        <f t="shared" si="15"/>
        <v>99.048780487804862</v>
      </c>
    </row>
    <row r="39" spans="1:11" s="1" customFormat="1">
      <c r="A39" s="21"/>
      <c r="B39" s="49" t="s">
        <v>91</v>
      </c>
      <c r="C39" s="6" t="s">
        <v>17</v>
      </c>
      <c r="D39" s="6">
        <v>1</v>
      </c>
      <c r="E39" s="8">
        <f t="shared" si="16"/>
        <v>123.12462006079028</v>
      </c>
      <c r="F39" s="39">
        <f t="shared" si="17"/>
        <v>1.0010131712259371</v>
      </c>
      <c r="G39" s="54">
        <f t="shared" si="18"/>
        <v>8.1300813008130073E-3</v>
      </c>
      <c r="H39" s="8">
        <v>27600</v>
      </c>
      <c r="I39" s="22">
        <f t="shared" si="15"/>
        <v>224.39024390243901</v>
      </c>
    </row>
    <row r="40" spans="1:11" s="1" customFormat="1">
      <c r="A40" s="41"/>
      <c r="B40" s="72" t="s">
        <v>96</v>
      </c>
      <c r="C40" s="6" t="s">
        <v>17</v>
      </c>
      <c r="D40" s="6">
        <v>1</v>
      </c>
      <c r="E40" s="8">
        <f t="shared" si="16"/>
        <v>123.12462006079028</v>
      </c>
      <c r="F40" s="39">
        <f t="shared" si="17"/>
        <v>1.0010131712259371</v>
      </c>
      <c r="G40" s="54">
        <f t="shared" si="18"/>
        <v>8.1300813008130073E-3</v>
      </c>
      <c r="H40" s="8">
        <v>2000</v>
      </c>
      <c r="I40" s="22">
        <f t="shared" si="15"/>
        <v>16.260162601626014</v>
      </c>
    </row>
    <row r="41" spans="1:11" s="1" customFormat="1" ht="13.5" customHeight="1">
      <c r="A41" s="41"/>
      <c r="B41" s="72" t="s">
        <v>97</v>
      </c>
      <c r="C41" s="6" t="s">
        <v>17</v>
      </c>
      <c r="D41" s="6">
        <v>1</v>
      </c>
      <c r="E41" s="8">
        <f t="shared" si="16"/>
        <v>123.12462006079028</v>
      </c>
      <c r="F41" s="39">
        <f t="shared" si="17"/>
        <v>1.0010131712259371</v>
      </c>
      <c r="G41" s="54">
        <f t="shared" si="18"/>
        <v>8.1300813008130073E-3</v>
      </c>
      <c r="H41" s="8">
        <v>554</v>
      </c>
      <c r="I41" s="22">
        <f t="shared" si="15"/>
        <v>4.5040650406504064</v>
      </c>
    </row>
    <row r="42" spans="1:11" s="1" customFormat="1" ht="15.75" thickBot="1">
      <c r="A42" s="23"/>
      <c r="B42" s="24"/>
      <c r="C42" s="24"/>
      <c r="D42" s="24"/>
      <c r="E42" s="24"/>
      <c r="F42" s="24"/>
      <c r="G42" s="28"/>
      <c r="H42" s="56"/>
      <c r="I42" s="27">
        <f>SUM(I31:I41)</f>
        <v>950.5203252032519</v>
      </c>
      <c r="J42" s="77">
        <f>78177+24000+12183+2554</f>
        <v>116914</v>
      </c>
      <c r="K42" s="77">
        <f>I42*A32</f>
        <v>116913.99999999999</v>
      </c>
    </row>
    <row r="43" spans="1:11">
      <c r="A43" s="16" t="s">
        <v>65</v>
      </c>
      <c r="B43" s="17" t="s">
        <v>36</v>
      </c>
      <c r="C43" s="17" t="s">
        <v>17</v>
      </c>
      <c r="D43" s="17">
        <v>1</v>
      </c>
      <c r="E43" s="65">
        <f>247*8*(140/1974)</f>
        <v>140.1418439716312</v>
      </c>
      <c r="F43" s="48">
        <f>E43/140</f>
        <v>1.0010131712259371</v>
      </c>
      <c r="G43" s="55">
        <f>D43/E43*F43</f>
        <v>7.1428571428571426E-3</v>
      </c>
      <c r="H43" s="18">
        <v>26169</v>
      </c>
      <c r="I43" s="20">
        <f>H43*G43</f>
        <v>186.92142857142858</v>
      </c>
    </row>
    <row r="44" spans="1:11" s="1" customFormat="1">
      <c r="A44" s="70">
        <v>140</v>
      </c>
      <c r="B44" s="6" t="s">
        <v>37</v>
      </c>
      <c r="C44" s="6" t="s">
        <v>17</v>
      </c>
      <c r="D44" s="6">
        <v>1</v>
      </c>
      <c r="E44" s="8">
        <f>247*8*(140/1974)</f>
        <v>140.1418439716312</v>
      </c>
      <c r="F44" s="39">
        <f>E44/140</f>
        <v>1.0010131712259371</v>
      </c>
      <c r="G44" s="54">
        <f>D44/E44*F44</f>
        <v>7.1428571428571426E-3</v>
      </c>
      <c r="H44" s="7">
        <v>21600</v>
      </c>
      <c r="I44" s="22">
        <f t="shared" ref="I44:I53" si="19">H44*G44</f>
        <v>154.28571428571428</v>
      </c>
    </row>
    <row r="45" spans="1:11" s="1" customFormat="1">
      <c r="A45" s="21"/>
      <c r="B45" s="6" t="s">
        <v>40</v>
      </c>
      <c r="C45" s="6" t="s">
        <v>17</v>
      </c>
      <c r="D45" s="6">
        <v>1</v>
      </c>
      <c r="E45" s="8">
        <f t="shared" ref="E45:E53" si="20">247*8*(140/1974)</f>
        <v>140.1418439716312</v>
      </c>
      <c r="F45" s="39">
        <f t="shared" ref="F45:F53" si="21">E45/140</f>
        <v>1.0010131712259371</v>
      </c>
      <c r="G45" s="54">
        <f>D45/E45*F45</f>
        <v>7.1428571428571426E-3</v>
      </c>
      <c r="H45" s="7"/>
      <c r="I45" s="22">
        <f t="shared" si="19"/>
        <v>0</v>
      </c>
    </row>
    <row r="46" spans="1:11" s="1" customFormat="1">
      <c r="A46" s="21"/>
      <c r="B46" s="6" t="s">
        <v>38</v>
      </c>
      <c r="C46" s="6" t="s">
        <v>17</v>
      </c>
      <c r="D46" s="6">
        <v>1</v>
      </c>
      <c r="E46" s="8">
        <f t="shared" si="20"/>
        <v>140.1418439716312</v>
      </c>
      <c r="F46" s="39">
        <f t="shared" si="21"/>
        <v>1.0010131712259371</v>
      </c>
      <c r="G46" s="54">
        <f t="shared" ref="G46:G53" si="22">D46/E46*F46</f>
        <v>7.1428571428571426E-3</v>
      </c>
      <c r="H46" s="7">
        <f>7970+24000</f>
        <v>31970</v>
      </c>
      <c r="I46" s="22">
        <f t="shared" si="19"/>
        <v>228.35714285714286</v>
      </c>
    </row>
    <row r="47" spans="1:11" s="1" customFormat="1">
      <c r="A47" s="21"/>
      <c r="B47" s="6" t="s">
        <v>39</v>
      </c>
      <c r="C47" s="6" t="s">
        <v>17</v>
      </c>
      <c r="D47" s="6">
        <v>1</v>
      </c>
      <c r="E47" s="8">
        <f t="shared" si="20"/>
        <v>140.1418439716312</v>
      </c>
      <c r="F47" s="39">
        <f t="shared" si="21"/>
        <v>1.0010131712259371</v>
      </c>
      <c r="G47" s="54">
        <f t="shared" si="22"/>
        <v>7.1428571428571426E-3</v>
      </c>
      <c r="H47" s="8">
        <v>7409</v>
      </c>
      <c r="I47" s="22">
        <f t="shared" si="19"/>
        <v>52.921428571428571</v>
      </c>
    </row>
    <row r="48" spans="1:11" s="1" customFormat="1">
      <c r="A48" s="21"/>
      <c r="B48" s="6" t="s">
        <v>92</v>
      </c>
      <c r="C48" s="6" t="s">
        <v>17</v>
      </c>
      <c r="D48" s="6">
        <v>1</v>
      </c>
      <c r="E48" s="8">
        <f t="shared" si="20"/>
        <v>140.1418439716312</v>
      </c>
      <c r="F48" s="39">
        <f t="shared" si="21"/>
        <v>1.0010131712259371</v>
      </c>
      <c r="G48" s="54">
        <f t="shared" si="22"/>
        <v>7.1428571428571426E-3</v>
      </c>
      <c r="H48" s="8">
        <v>6500</v>
      </c>
      <c r="I48" s="22">
        <f t="shared" si="19"/>
        <v>46.428571428571431</v>
      </c>
    </row>
    <row r="49" spans="1:11" s="1" customFormat="1">
      <c r="A49" s="21"/>
      <c r="B49" s="6" t="s">
        <v>41</v>
      </c>
      <c r="C49" s="6" t="s">
        <v>17</v>
      </c>
      <c r="D49" s="6">
        <v>1</v>
      </c>
      <c r="E49" s="8">
        <f t="shared" si="20"/>
        <v>140.1418439716312</v>
      </c>
      <c r="F49" s="39">
        <f t="shared" si="21"/>
        <v>1.0010131712259371</v>
      </c>
      <c r="G49" s="54">
        <f t="shared" si="22"/>
        <v>7.1428571428571426E-3</v>
      </c>
      <c r="H49" s="8">
        <v>7871</v>
      </c>
      <c r="I49" s="22">
        <f t="shared" si="19"/>
        <v>56.221428571428568</v>
      </c>
    </row>
    <row r="50" spans="1:11" s="1" customFormat="1">
      <c r="A50" s="21"/>
      <c r="B50" s="6" t="s">
        <v>121</v>
      </c>
      <c r="C50" s="6" t="s">
        <v>17</v>
      </c>
      <c r="D50" s="6">
        <v>1</v>
      </c>
      <c r="E50" s="8">
        <f t="shared" si="20"/>
        <v>140.1418439716312</v>
      </c>
      <c r="F50" s="39">
        <f t="shared" si="21"/>
        <v>1.0010131712259371</v>
      </c>
      <c r="G50" s="54">
        <f t="shared" si="22"/>
        <v>7.1428571428571426E-3</v>
      </c>
      <c r="H50" s="8"/>
      <c r="I50" s="22">
        <f t="shared" si="19"/>
        <v>0</v>
      </c>
    </row>
    <row r="51" spans="1:11" s="1" customFormat="1">
      <c r="A51" s="21"/>
      <c r="B51" s="49" t="s">
        <v>91</v>
      </c>
      <c r="C51" s="6" t="s">
        <v>17</v>
      </c>
      <c r="D51" s="6">
        <v>1</v>
      </c>
      <c r="E51" s="8">
        <f t="shared" si="20"/>
        <v>140.1418439716312</v>
      </c>
      <c r="F51" s="39">
        <f t="shared" si="21"/>
        <v>1.0010131712259371</v>
      </c>
      <c r="G51" s="54">
        <f t="shared" si="22"/>
        <v>7.1428571428571426E-3</v>
      </c>
      <c r="H51" s="8">
        <v>36000</v>
      </c>
      <c r="I51" s="22">
        <f t="shared" si="19"/>
        <v>257.14285714285711</v>
      </c>
    </row>
    <row r="52" spans="1:11" s="1" customFormat="1">
      <c r="A52" s="41"/>
      <c r="B52" s="72" t="s">
        <v>96</v>
      </c>
      <c r="C52" s="6" t="s">
        <v>17</v>
      </c>
      <c r="D52" s="6">
        <v>1</v>
      </c>
      <c r="E52" s="8">
        <f t="shared" si="20"/>
        <v>140.1418439716312</v>
      </c>
      <c r="F52" s="39">
        <f t="shared" si="21"/>
        <v>1.0010131712259371</v>
      </c>
      <c r="G52" s="54">
        <f t="shared" si="22"/>
        <v>7.1428571428571426E-3</v>
      </c>
      <c r="H52" s="8">
        <v>2000</v>
      </c>
      <c r="I52" s="22">
        <f t="shared" si="19"/>
        <v>14.285714285714285</v>
      </c>
    </row>
    <row r="53" spans="1:11" s="1" customFormat="1" ht="13.5" customHeight="1">
      <c r="A53" s="41"/>
      <c r="B53" s="72" t="s">
        <v>97</v>
      </c>
      <c r="C53" s="6" t="s">
        <v>17</v>
      </c>
      <c r="D53" s="6">
        <v>1</v>
      </c>
      <c r="E53" s="8">
        <f t="shared" si="20"/>
        <v>140.1418439716312</v>
      </c>
      <c r="F53" s="39">
        <f t="shared" si="21"/>
        <v>1.0010131712259371</v>
      </c>
      <c r="G53" s="54">
        <f t="shared" si="22"/>
        <v>7.1428571428571426E-3</v>
      </c>
      <c r="H53" s="8">
        <v>277</v>
      </c>
      <c r="I53" s="22">
        <f t="shared" si="19"/>
        <v>1.9785714285714284</v>
      </c>
    </row>
    <row r="54" spans="1:11" s="1" customFormat="1" ht="15.75" thickBot="1">
      <c r="A54" s="23"/>
      <c r="B54" s="24"/>
      <c r="C54" s="24"/>
      <c r="D54" s="24"/>
      <c r="E54" s="24"/>
      <c r="F54" s="24"/>
      <c r="G54" s="28"/>
      <c r="H54" s="56"/>
      <c r="I54" s="27">
        <f>SUM(I43:I53)</f>
        <v>998.54285714285709</v>
      </c>
      <c r="J54" s="77">
        <f>113519+24000+2277</f>
        <v>139796</v>
      </c>
      <c r="K54" s="77">
        <f>I54*A44</f>
        <v>139796</v>
      </c>
    </row>
    <row r="55" spans="1:11">
      <c r="A55" s="16" t="s">
        <v>66</v>
      </c>
      <c r="B55" s="17" t="s">
        <v>36</v>
      </c>
      <c r="C55" s="17" t="s">
        <v>17</v>
      </c>
      <c r="D55" s="17">
        <v>1</v>
      </c>
      <c r="E55" s="19">
        <f>247*8*(123/1974)</f>
        <v>123.12462006079028</v>
      </c>
      <c r="F55" s="38">
        <f>E55/123</f>
        <v>1.0010131712259371</v>
      </c>
      <c r="G55" s="55">
        <f>D55/E55*F55</f>
        <v>8.1300813008130073E-3</v>
      </c>
      <c r="H55" s="18">
        <v>28132</v>
      </c>
      <c r="I55" s="20">
        <f>H55*G55</f>
        <v>228.71544715447152</v>
      </c>
    </row>
    <row r="56" spans="1:11" s="1" customFormat="1">
      <c r="A56" s="70">
        <v>123</v>
      </c>
      <c r="B56" s="6" t="s">
        <v>37</v>
      </c>
      <c r="C56" s="6" t="s">
        <v>17</v>
      </c>
      <c r="D56" s="6">
        <v>1</v>
      </c>
      <c r="E56" s="8">
        <f>247*8*(123/1974)</f>
        <v>123.12462006079028</v>
      </c>
      <c r="F56" s="39">
        <f>E56/123</f>
        <v>1.0010131712259371</v>
      </c>
      <c r="G56" s="54">
        <f>D56/E56*F56</f>
        <v>8.1300813008130073E-3</v>
      </c>
      <c r="H56" s="7">
        <v>9600</v>
      </c>
      <c r="I56" s="22">
        <f t="shared" ref="I56:I65" si="23">H56*G56</f>
        <v>78.048780487804876</v>
      </c>
    </row>
    <row r="57" spans="1:11" s="1" customFormat="1">
      <c r="A57" s="21"/>
      <c r="B57" s="6" t="s">
        <v>40</v>
      </c>
      <c r="C57" s="6" t="s">
        <v>17</v>
      </c>
      <c r="D57" s="6">
        <v>1</v>
      </c>
      <c r="E57" s="8">
        <f t="shared" ref="E57:E65" si="24">247*8*(123/1974)</f>
        <v>123.12462006079028</v>
      </c>
      <c r="F57" s="39">
        <f t="shared" ref="F57:F65" si="25">E57/123</f>
        <v>1.0010131712259371</v>
      </c>
      <c r="G57" s="54">
        <f>D57/E57*F57</f>
        <v>8.1300813008130073E-3</v>
      </c>
      <c r="H57" s="7"/>
      <c r="I57" s="22">
        <f t="shared" si="23"/>
        <v>0</v>
      </c>
    </row>
    <row r="58" spans="1:11" s="1" customFormat="1">
      <c r="A58" s="21"/>
      <c r="B58" s="6" t="s">
        <v>38</v>
      </c>
      <c r="C58" s="6" t="s">
        <v>17</v>
      </c>
      <c r="D58" s="6">
        <v>1</v>
      </c>
      <c r="E58" s="8">
        <f t="shared" si="24"/>
        <v>123.12462006079028</v>
      </c>
      <c r="F58" s="39">
        <f t="shared" si="25"/>
        <v>1.0010131712259371</v>
      </c>
      <c r="G58" s="54">
        <f t="shared" ref="G58:G65" si="26">D58/E58*F58</f>
        <v>8.1300813008130073E-3</v>
      </c>
      <c r="H58" s="7">
        <f>7970+24000</f>
        <v>31970</v>
      </c>
      <c r="I58" s="22">
        <f t="shared" si="23"/>
        <v>259.91869918699183</v>
      </c>
    </row>
    <row r="59" spans="1:11" s="1" customFormat="1">
      <c r="A59" s="21"/>
      <c r="B59" s="6" t="s">
        <v>39</v>
      </c>
      <c r="C59" s="6" t="s">
        <v>17</v>
      </c>
      <c r="D59" s="6">
        <v>1</v>
      </c>
      <c r="E59" s="8">
        <f t="shared" si="24"/>
        <v>123.12462006079028</v>
      </c>
      <c r="F59" s="39">
        <f t="shared" si="25"/>
        <v>1.0010131712259371</v>
      </c>
      <c r="G59" s="54">
        <f t="shared" si="26"/>
        <v>8.1300813008130073E-3</v>
      </c>
      <c r="H59" s="8">
        <v>6124</v>
      </c>
      <c r="I59" s="22">
        <f t="shared" si="23"/>
        <v>49.788617886178855</v>
      </c>
    </row>
    <row r="60" spans="1:11" s="1" customFormat="1">
      <c r="A60" s="21"/>
      <c r="B60" s="6" t="s">
        <v>92</v>
      </c>
      <c r="C60" s="6" t="s">
        <v>17</v>
      </c>
      <c r="D60" s="6">
        <v>1</v>
      </c>
      <c r="E60" s="8">
        <f t="shared" si="24"/>
        <v>123.12462006079028</v>
      </c>
      <c r="F60" s="39">
        <f t="shared" si="25"/>
        <v>1.0010131712259371</v>
      </c>
      <c r="G60" s="54">
        <f t="shared" si="26"/>
        <v>8.1300813008130073E-3</v>
      </c>
      <c r="H60" s="8">
        <v>4580</v>
      </c>
      <c r="I60" s="22">
        <f t="shared" si="23"/>
        <v>37.235772357723576</v>
      </c>
    </row>
    <row r="61" spans="1:11" s="1" customFormat="1">
      <c r="A61" s="21"/>
      <c r="B61" s="6" t="s">
        <v>41</v>
      </c>
      <c r="C61" s="6" t="s">
        <v>17</v>
      </c>
      <c r="D61" s="6">
        <v>1</v>
      </c>
      <c r="E61" s="8">
        <f t="shared" si="24"/>
        <v>123.12462006079028</v>
      </c>
      <c r="F61" s="39">
        <f t="shared" si="25"/>
        <v>1.0010131712259371</v>
      </c>
      <c r="G61" s="54">
        <f t="shared" si="26"/>
        <v>8.1300813008130073E-3</v>
      </c>
      <c r="H61" s="8">
        <v>6000</v>
      </c>
      <c r="I61" s="22">
        <f t="shared" si="23"/>
        <v>48.780487804878042</v>
      </c>
    </row>
    <row r="62" spans="1:11" s="1" customFormat="1">
      <c r="A62" s="21"/>
      <c r="B62" s="6" t="s">
        <v>121</v>
      </c>
      <c r="C62" s="6" t="s">
        <v>17</v>
      </c>
      <c r="D62" s="6">
        <v>1</v>
      </c>
      <c r="E62" s="8">
        <f t="shared" si="24"/>
        <v>123.12462006079028</v>
      </c>
      <c r="F62" s="39">
        <f t="shared" si="25"/>
        <v>1.0010131712259371</v>
      </c>
      <c r="G62" s="54">
        <f t="shared" si="26"/>
        <v>8.1300813008130073E-3</v>
      </c>
      <c r="H62" s="8"/>
      <c r="I62" s="22">
        <f t="shared" si="23"/>
        <v>0</v>
      </c>
    </row>
    <row r="63" spans="1:11" s="1" customFormat="1">
      <c r="A63" s="21"/>
      <c r="B63" s="49" t="s">
        <v>91</v>
      </c>
      <c r="C63" s="6" t="s">
        <v>17</v>
      </c>
      <c r="D63" s="6">
        <v>1</v>
      </c>
      <c r="E63" s="8">
        <f t="shared" si="24"/>
        <v>123.12462006079028</v>
      </c>
      <c r="F63" s="39">
        <f t="shared" si="25"/>
        <v>1.0010131712259371</v>
      </c>
      <c r="G63" s="54">
        <f t="shared" si="26"/>
        <v>8.1300813008130073E-3</v>
      </c>
      <c r="H63" s="8">
        <v>36000</v>
      </c>
      <c r="I63" s="22">
        <f t="shared" si="23"/>
        <v>292.68292682926824</v>
      </c>
    </row>
    <row r="64" spans="1:11" s="1" customFormat="1">
      <c r="A64" s="41"/>
      <c r="B64" s="72" t="s">
        <v>96</v>
      </c>
      <c r="C64" s="6" t="s">
        <v>17</v>
      </c>
      <c r="D64" s="6">
        <v>1</v>
      </c>
      <c r="E64" s="8">
        <f t="shared" si="24"/>
        <v>123.12462006079028</v>
      </c>
      <c r="F64" s="39">
        <f t="shared" si="25"/>
        <v>1.0010131712259371</v>
      </c>
      <c r="G64" s="54">
        <f t="shared" si="26"/>
        <v>8.1300813008130073E-3</v>
      </c>
      <c r="H64" s="8">
        <v>2000</v>
      </c>
      <c r="I64" s="22">
        <f t="shared" si="23"/>
        <v>16.260162601626014</v>
      </c>
    </row>
    <row r="65" spans="1:11" s="1" customFormat="1" ht="13.5" customHeight="1">
      <c r="A65" s="41"/>
      <c r="B65" s="72" t="s">
        <v>97</v>
      </c>
      <c r="C65" s="6" t="s">
        <v>17</v>
      </c>
      <c r="D65" s="6">
        <v>1</v>
      </c>
      <c r="E65" s="8">
        <f t="shared" si="24"/>
        <v>123.12462006079028</v>
      </c>
      <c r="F65" s="39">
        <f t="shared" si="25"/>
        <v>1.0010131712259371</v>
      </c>
      <c r="G65" s="54">
        <f t="shared" si="26"/>
        <v>8.1300813008130073E-3</v>
      </c>
      <c r="H65" s="8">
        <v>523</v>
      </c>
      <c r="I65" s="22">
        <f t="shared" si="23"/>
        <v>4.2520325203252032</v>
      </c>
    </row>
    <row r="66" spans="1:11" s="1" customFormat="1" ht="15.75" thickBot="1">
      <c r="A66" s="23"/>
      <c r="B66" s="24"/>
      <c r="C66" s="24"/>
      <c r="D66" s="24"/>
      <c r="E66" s="24"/>
      <c r="F66" s="24"/>
      <c r="G66" s="28"/>
      <c r="H66" s="56"/>
      <c r="I66" s="27">
        <f>SUM(I55:I65)</f>
        <v>1015.6829268292681</v>
      </c>
      <c r="J66" s="77">
        <f>98406+24000+2523</f>
        <v>124929</v>
      </c>
      <c r="K66" s="77">
        <f>I66*A56</f>
        <v>124928.99999999999</v>
      </c>
    </row>
    <row r="67" spans="1:11">
      <c r="A67" s="16" t="s">
        <v>67</v>
      </c>
      <c r="B67" s="17" t="s">
        <v>36</v>
      </c>
      <c r="C67" s="17" t="s">
        <v>17</v>
      </c>
      <c r="D67" s="17">
        <v>1</v>
      </c>
      <c r="E67" s="65">
        <f>247*8*(220/1974)</f>
        <v>220.22289766970619</v>
      </c>
      <c r="F67" s="48">
        <f>E67/220</f>
        <v>1.0010131712259371</v>
      </c>
      <c r="G67" s="55">
        <f>D67/E67*F67</f>
        <v>4.5454545454545452E-3</v>
      </c>
      <c r="H67" s="18">
        <v>35764</v>
      </c>
      <c r="I67" s="20">
        <f>H67*G67</f>
        <v>162.56363636363636</v>
      </c>
    </row>
    <row r="68" spans="1:11" s="1" customFormat="1">
      <c r="A68" s="70">
        <v>220</v>
      </c>
      <c r="B68" s="6" t="s">
        <v>37</v>
      </c>
      <c r="C68" s="6" t="s">
        <v>17</v>
      </c>
      <c r="D68" s="6">
        <v>1</v>
      </c>
      <c r="E68" s="8">
        <f>247*8*(220/1974)</f>
        <v>220.22289766970619</v>
      </c>
      <c r="F68" s="39">
        <f t="shared" ref="F68" si="27">E68/220</f>
        <v>1.0010131712259371</v>
      </c>
      <c r="G68" s="54">
        <f>D68/E68*F68</f>
        <v>4.5454545454545452E-3</v>
      </c>
      <c r="H68" s="7">
        <v>7716</v>
      </c>
      <c r="I68" s="22">
        <f t="shared" ref="I68:I77" si="28">H68*G68</f>
        <v>35.072727272727271</v>
      </c>
    </row>
    <row r="69" spans="1:11" s="1" customFormat="1">
      <c r="A69" s="21"/>
      <c r="B69" s="6" t="s">
        <v>40</v>
      </c>
      <c r="C69" s="6" t="s">
        <v>17</v>
      </c>
      <c r="D69" s="6">
        <v>1</v>
      </c>
      <c r="E69" s="8">
        <f t="shared" ref="E69:E77" si="29">247*8*(220/1974)</f>
        <v>220.22289766970619</v>
      </c>
      <c r="F69" s="39">
        <f t="shared" ref="F69:F77" si="30">E69/220</f>
        <v>1.0010131712259371</v>
      </c>
      <c r="G69" s="54">
        <f>D69/E69*F69</f>
        <v>4.5454545454545452E-3</v>
      </c>
      <c r="H69" s="7">
        <v>12000</v>
      </c>
      <c r="I69" s="22">
        <f t="shared" si="28"/>
        <v>54.54545454545454</v>
      </c>
    </row>
    <row r="70" spans="1:11" s="1" customFormat="1">
      <c r="A70" s="21"/>
      <c r="B70" s="6" t="s">
        <v>38</v>
      </c>
      <c r="C70" s="6" t="s">
        <v>17</v>
      </c>
      <c r="D70" s="6">
        <v>1</v>
      </c>
      <c r="E70" s="8">
        <f t="shared" si="29"/>
        <v>220.22289766970619</v>
      </c>
      <c r="F70" s="39">
        <f t="shared" si="30"/>
        <v>1.0010131712259371</v>
      </c>
      <c r="G70" s="54">
        <f t="shared" ref="G70:G77" si="31">D70/E70*F70</f>
        <v>4.5454545454545452E-3</v>
      </c>
      <c r="H70" s="7">
        <f>4968+24000</f>
        <v>28968</v>
      </c>
      <c r="I70" s="22">
        <f t="shared" si="28"/>
        <v>131.67272727272726</v>
      </c>
    </row>
    <row r="71" spans="1:11" s="1" customFormat="1">
      <c r="A71" s="21"/>
      <c r="B71" s="6" t="s">
        <v>39</v>
      </c>
      <c r="C71" s="6" t="s">
        <v>17</v>
      </c>
      <c r="D71" s="6">
        <v>1</v>
      </c>
      <c r="E71" s="8">
        <f t="shared" si="29"/>
        <v>220.22289766970619</v>
      </c>
      <c r="F71" s="39">
        <f t="shared" si="30"/>
        <v>1.0010131712259371</v>
      </c>
      <c r="G71" s="54">
        <f t="shared" si="31"/>
        <v>4.5454545454545452E-3</v>
      </c>
      <c r="H71" s="8">
        <v>7675</v>
      </c>
      <c r="I71" s="22">
        <f t="shared" si="28"/>
        <v>34.886363636363633</v>
      </c>
    </row>
    <row r="72" spans="1:11" s="1" customFormat="1">
      <c r="A72" s="21"/>
      <c r="B72" s="6" t="s">
        <v>92</v>
      </c>
      <c r="C72" s="6" t="s">
        <v>17</v>
      </c>
      <c r="D72" s="6">
        <v>1</v>
      </c>
      <c r="E72" s="8">
        <f t="shared" si="29"/>
        <v>220.22289766970619</v>
      </c>
      <c r="F72" s="39">
        <f t="shared" si="30"/>
        <v>1.0010131712259371</v>
      </c>
      <c r="G72" s="54">
        <f t="shared" si="31"/>
        <v>4.5454545454545452E-3</v>
      </c>
      <c r="H72" s="8">
        <v>5263</v>
      </c>
      <c r="I72" s="22">
        <f t="shared" si="28"/>
        <v>23.922727272727272</v>
      </c>
    </row>
    <row r="73" spans="1:11" s="1" customFormat="1">
      <c r="A73" s="21"/>
      <c r="B73" s="6" t="s">
        <v>41</v>
      </c>
      <c r="C73" s="6" t="s">
        <v>17</v>
      </c>
      <c r="D73" s="6">
        <v>1</v>
      </c>
      <c r="E73" s="8">
        <f t="shared" si="29"/>
        <v>220.22289766970619</v>
      </c>
      <c r="F73" s="39">
        <f t="shared" si="30"/>
        <v>1.0010131712259371</v>
      </c>
      <c r="G73" s="54">
        <f t="shared" si="31"/>
        <v>4.5454545454545452E-3</v>
      </c>
      <c r="H73" s="8">
        <v>15640</v>
      </c>
      <c r="I73" s="22">
        <f t="shared" si="28"/>
        <v>71.090909090909093</v>
      </c>
    </row>
    <row r="74" spans="1:11" s="1" customFormat="1">
      <c r="A74" s="21"/>
      <c r="B74" s="6" t="s">
        <v>121</v>
      </c>
      <c r="C74" s="6" t="s">
        <v>17</v>
      </c>
      <c r="D74" s="6">
        <v>1</v>
      </c>
      <c r="E74" s="8">
        <f t="shared" si="29"/>
        <v>220.22289766970619</v>
      </c>
      <c r="F74" s="39">
        <f t="shared" si="30"/>
        <v>1.0010131712259371</v>
      </c>
      <c r="G74" s="54">
        <f t="shared" si="31"/>
        <v>4.5454545454545452E-3</v>
      </c>
      <c r="H74" s="8"/>
      <c r="I74" s="22">
        <f t="shared" si="28"/>
        <v>0</v>
      </c>
    </row>
    <row r="75" spans="1:11" s="1" customFormat="1">
      <c r="A75" s="21"/>
      <c r="B75" s="49" t="s">
        <v>91</v>
      </c>
      <c r="C75" s="6" t="s">
        <v>17</v>
      </c>
      <c r="D75" s="6">
        <v>1</v>
      </c>
      <c r="E75" s="8">
        <f t="shared" si="29"/>
        <v>220.22289766970619</v>
      </c>
      <c r="F75" s="39">
        <f t="shared" si="30"/>
        <v>1.0010131712259371</v>
      </c>
      <c r="G75" s="54">
        <f t="shared" si="31"/>
        <v>4.5454545454545452E-3</v>
      </c>
      <c r="H75" s="8">
        <v>25200</v>
      </c>
      <c r="I75" s="22">
        <f t="shared" si="28"/>
        <v>114.54545454545455</v>
      </c>
    </row>
    <row r="76" spans="1:11" s="1" customFormat="1">
      <c r="A76" s="41"/>
      <c r="B76" s="72" t="s">
        <v>96</v>
      </c>
      <c r="C76" s="6" t="s">
        <v>17</v>
      </c>
      <c r="D76" s="6">
        <v>1</v>
      </c>
      <c r="E76" s="8">
        <f t="shared" si="29"/>
        <v>220.22289766970619</v>
      </c>
      <c r="F76" s="39">
        <f t="shared" si="30"/>
        <v>1.0010131712259371</v>
      </c>
      <c r="G76" s="54">
        <f t="shared" si="31"/>
        <v>4.5454545454545452E-3</v>
      </c>
      <c r="H76" s="8">
        <v>2000</v>
      </c>
      <c r="I76" s="22">
        <f t="shared" si="28"/>
        <v>9.0909090909090899</v>
      </c>
    </row>
    <row r="77" spans="1:11" s="1" customFormat="1" ht="13.5" customHeight="1">
      <c r="A77" s="41"/>
      <c r="B77" s="72" t="s">
        <v>97</v>
      </c>
      <c r="C77" s="6" t="s">
        <v>17</v>
      </c>
      <c r="D77" s="6">
        <v>1</v>
      </c>
      <c r="E77" s="8">
        <f t="shared" si="29"/>
        <v>220.22289766970619</v>
      </c>
      <c r="F77" s="39">
        <f t="shared" si="30"/>
        <v>1.0010131712259371</v>
      </c>
      <c r="G77" s="54">
        <f t="shared" si="31"/>
        <v>4.5454545454545452E-3</v>
      </c>
      <c r="H77" s="8">
        <v>638</v>
      </c>
      <c r="I77" s="22">
        <f t="shared" si="28"/>
        <v>2.9</v>
      </c>
    </row>
    <row r="78" spans="1:11" s="1" customFormat="1" ht="15.75" thickBot="1">
      <c r="A78" s="23"/>
      <c r="B78" s="24"/>
      <c r="C78" s="24"/>
      <c r="D78" s="24"/>
      <c r="E78" s="24"/>
      <c r="F78" s="24"/>
      <c r="G78" s="28"/>
      <c r="H78" s="56"/>
      <c r="I78" s="27">
        <f>SUM(I67:I77)</f>
        <v>640.29090909090905</v>
      </c>
      <c r="J78" s="77">
        <f>114226+24000+2638</f>
        <v>140864</v>
      </c>
      <c r="K78" s="77">
        <f>I78*A68</f>
        <v>140864</v>
      </c>
    </row>
    <row r="79" spans="1:11">
      <c r="A79" s="16" t="s">
        <v>68</v>
      </c>
      <c r="B79" s="17" t="s">
        <v>36</v>
      </c>
      <c r="C79" s="17" t="s">
        <v>17</v>
      </c>
      <c r="D79" s="17">
        <v>1</v>
      </c>
      <c r="E79" s="65">
        <f>247*8*(250/1974)</f>
        <v>250.25329280648432</v>
      </c>
      <c r="F79" s="48">
        <f>E79/250</f>
        <v>1.0010131712259374</v>
      </c>
      <c r="G79" s="55">
        <f>D79/E79*F79</f>
        <v>4.0000000000000001E-3</v>
      </c>
      <c r="H79" s="18">
        <v>47977</v>
      </c>
      <c r="I79" s="20">
        <f>H79*G79</f>
        <v>191.90800000000002</v>
      </c>
    </row>
    <row r="80" spans="1:11" s="1" customFormat="1">
      <c r="A80" s="70">
        <v>250</v>
      </c>
      <c r="B80" s="6" t="s">
        <v>37</v>
      </c>
      <c r="C80" s="6" t="s">
        <v>17</v>
      </c>
      <c r="D80" s="6">
        <v>1</v>
      </c>
      <c r="E80" s="8">
        <f t="shared" ref="E80:E89" si="32">247*8*(250/1974)</f>
        <v>250.25329280648432</v>
      </c>
      <c r="F80" s="39">
        <f t="shared" ref="F80" si="33">E80/250</f>
        <v>1.0010131712259374</v>
      </c>
      <c r="G80" s="54">
        <f>D80/E80*F80</f>
        <v>4.0000000000000001E-3</v>
      </c>
      <c r="H80" s="7">
        <v>10524</v>
      </c>
      <c r="I80" s="22">
        <f t="shared" ref="I80:I89" si="34">H80*G80</f>
        <v>42.096000000000004</v>
      </c>
    </row>
    <row r="81" spans="1:11" s="1" customFormat="1">
      <c r="A81" s="21"/>
      <c r="B81" s="6" t="s">
        <v>40</v>
      </c>
      <c r="C81" s="6" t="s">
        <v>17</v>
      </c>
      <c r="D81" s="6">
        <v>1</v>
      </c>
      <c r="E81" s="8">
        <f t="shared" si="32"/>
        <v>250.25329280648432</v>
      </c>
      <c r="F81" s="39">
        <f t="shared" ref="F81:F89" si="35">E81/250</f>
        <v>1.0010131712259374</v>
      </c>
      <c r="G81" s="54">
        <f>D81/E81*F81</f>
        <v>4.0000000000000001E-3</v>
      </c>
      <c r="H81" s="7"/>
      <c r="I81" s="22">
        <f t="shared" si="34"/>
        <v>0</v>
      </c>
    </row>
    <row r="82" spans="1:11" s="1" customFormat="1">
      <c r="A82" s="21"/>
      <c r="B82" s="6" t="s">
        <v>38</v>
      </c>
      <c r="C82" s="6" t="s">
        <v>17</v>
      </c>
      <c r="D82" s="6">
        <v>1</v>
      </c>
      <c r="E82" s="8">
        <f t="shared" si="32"/>
        <v>250.25329280648432</v>
      </c>
      <c r="F82" s="39">
        <f t="shared" si="35"/>
        <v>1.0010131712259374</v>
      </c>
      <c r="G82" s="54">
        <f t="shared" ref="G82:G89" si="36">D82/E82*F82</f>
        <v>4.0000000000000001E-3</v>
      </c>
      <c r="H82" s="7">
        <f>5604+24000</f>
        <v>29604</v>
      </c>
      <c r="I82" s="22">
        <f t="shared" si="34"/>
        <v>118.416</v>
      </c>
    </row>
    <row r="83" spans="1:11" s="1" customFormat="1">
      <c r="A83" s="21"/>
      <c r="B83" s="6" t="s">
        <v>39</v>
      </c>
      <c r="C83" s="6" t="s">
        <v>17</v>
      </c>
      <c r="D83" s="6">
        <v>1</v>
      </c>
      <c r="E83" s="8">
        <f t="shared" si="32"/>
        <v>250.25329280648432</v>
      </c>
      <c r="F83" s="39">
        <f t="shared" si="35"/>
        <v>1.0010131712259374</v>
      </c>
      <c r="G83" s="54">
        <f t="shared" si="36"/>
        <v>4.0000000000000001E-3</v>
      </c>
      <c r="H83" s="8">
        <v>9599</v>
      </c>
      <c r="I83" s="22">
        <f t="shared" si="34"/>
        <v>38.396000000000001</v>
      </c>
    </row>
    <row r="84" spans="1:11" s="1" customFormat="1">
      <c r="A84" s="21"/>
      <c r="B84" s="6" t="s">
        <v>92</v>
      </c>
      <c r="C84" s="6" t="s">
        <v>17</v>
      </c>
      <c r="D84" s="6">
        <v>1</v>
      </c>
      <c r="E84" s="8">
        <f t="shared" si="32"/>
        <v>250.25329280648432</v>
      </c>
      <c r="F84" s="39">
        <f t="shared" si="35"/>
        <v>1.0010131712259374</v>
      </c>
      <c r="G84" s="54">
        <f t="shared" si="36"/>
        <v>4.0000000000000001E-3</v>
      </c>
      <c r="H84" s="8">
        <v>5000</v>
      </c>
      <c r="I84" s="22">
        <f t="shared" si="34"/>
        <v>20</v>
      </c>
    </row>
    <row r="85" spans="1:11" s="1" customFormat="1">
      <c r="A85" s="21"/>
      <c r="B85" s="6" t="s">
        <v>41</v>
      </c>
      <c r="C85" s="6" t="s">
        <v>17</v>
      </c>
      <c r="D85" s="6">
        <v>1</v>
      </c>
      <c r="E85" s="8">
        <f t="shared" si="32"/>
        <v>250.25329280648432</v>
      </c>
      <c r="F85" s="39">
        <f t="shared" si="35"/>
        <v>1.0010131712259374</v>
      </c>
      <c r="G85" s="54">
        <f t="shared" si="36"/>
        <v>4.0000000000000001E-3</v>
      </c>
      <c r="H85" s="8">
        <v>8000</v>
      </c>
      <c r="I85" s="22">
        <f t="shared" si="34"/>
        <v>32</v>
      </c>
    </row>
    <row r="86" spans="1:11" s="1" customFormat="1">
      <c r="A86" s="21"/>
      <c r="B86" s="6" t="s">
        <v>121</v>
      </c>
      <c r="C86" s="6" t="s">
        <v>17</v>
      </c>
      <c r="D86" s="6">
        <v>1</v>
      </c>
      <c r="E86" s="8">
        <f t="shared" si="32"/>
        <v>250.25329280648432</v>
      </c>
      <c r="F86" s="39">
        <f t="shared" si="35"/>
        <v>1.0010131712259374</v>
      </c>
      <c r="G86" s="54">
        <f t="shared" si="36"/>
        <v>4.0000000000000001E-3</v>
      </c>
      <c r="H86" s="8"/>
      <c r="I86" s="22">
        <f t="shared" si="34"/>
        <v>0</v>
      </c>
    </row>
    <row r="87" spans="1:11" s="1" customFormat="1">
      <c r="A87" s="21"/>
      <c r="B87" s="49" t="s">
        <v>91</v>
      </c>
      <c r="C87" s="6" t="s">
        <v>17</v>
      </c>
      <c r="D87" s="6">
        <v>1</v>
      </c>
      <c r="E87" s="8">
        <f t="shared" si="32"/>
        <v>250.25329280648432</v>
      </c>
      <c r="F87" s="39">
        <f t="shared" si="35"/>
        <v>1.0010131712259374</v>
      </c>
      <c r="G87" s="54">
        <f t="shared" si="36"/>
        <v>4.0000000000000001E-3</v>
      </c>
      <c r="H87" s="8">
        <v>25200</v>
      </c>
      <c r="I87" s="22">
        <f t="shared" si="34"/>
        <v>100.8</v>
      </c>
    </row>
    <row r="88" spans="1:11" s="1" customFormat="1">
      <c r="A88" s="41"/>
      <c r="B88" s="72" t="s">
        <v>96</v>
      </c>
      <c r="C88" s="6" t="s">
        <v>17</v>
      </c>
      <c r="D88" s="6">
        <v>1</v>
      </c>
      <c r="E88" s="8">
        <f t="shared" si="32"/>
        <v>250.25329280648432</v>
      </c>
      <c r="F88" s="39">
        <f t="shared" si="35"/>
        <v>1.0010131712259374</v>
      </c>
      <c r="G88" s="54">
        <f t="shared" si="36"/>
        <v>4.0000000000000001E-3</v>
      </c>
      <c r="H88" s="8">
        <v>2000</v>
      </c>
      <c r="I88" s="22">
        <f t="shared" si="34"/>
        <v>8</v>
      </c>
    </row>
    <row r="89" spans="1:11" s="1" customFormat="1" ht="13.5" customHeight="1">
      <c r="A89" s="41"/>
      <c r="B89" s="72" t="s">
        <v>97</v>
      </c>
      <c r="C89" s="6" t="s">
        <v>17</v>
      </c>
      <c r="D89" s="6">
        <v>1</v>
      </c>
      <c r="E89" s="8">
        <f t="shared" si="32"/>
        <v>250.25329280648432</v>
      </c>
      <c r="F89" s="39">
        <f t="shared" si="35"/>
        <v>1.0010131712259374</v>
      </c>
      <c r="G89" s="54">
        <f t="shared" si="36"/>
        <v>4.0000000000000001E-3</v>
      </c>
      <c r="H89" s="8">
        <v>507</v>
      </c>
      <c r="I89" s="22">
        <f t="shared" si="34"/>
        <v>2.028</v>
      </c>
    </row>
    <row r="90" spans="1:11" s="1" customFormat="1" ht="15.75" thickBot="1">
      <c r="A90" s="23"/>
      <c r="B90" s="24"/>
      <c r="C90" s="24"/>
      <c r="D90" s="24"/>
      <c r="E90" s="24"/>
      <c r="F90" s="24"/>
      <c r="G90" s="28"/>
      <c r="H90" s="56"/>
      <c r="I90" s="27">
        <f>SUM(I79:I89)</f>
        <v>553.64400000000001</v>
      </c>
      <c r="J90" s="77">
        <f>111904+24000+2507</f>
        <v>138411</v>
      </c>
      <c r="K90" s="77">
        <f>I90*A80</f>
        <v>138411</v>
      </c>
    </row>
    <row r="91" spans="1:11">
      <c r="A91" s="16" t="s">
        <v>69</v>
      </c>
      <c r="B91" s="17" t="s">
        <v>36</v>
      </c>
      <c r="C91" s="17" t="s">
        <v>17</v>
      </c>
      <c r="D91" s="17">
        <v>1</v>
      </c>
      <c r="E91" s="65">
        <f>247*8*(131/1974)</f>
        <v>131.13272543059779</v>
      </c>
      <c r="F91" s="48">
        <f>E91/131</f>
        <v>1.0010131712259374</v>
      </c>
      <c r="G91" s="55">
        <f>D91/E91*F91</f>
        <v>7.6335877862595426E-3</v>
      </c>
      <c r="H91" s="18">
        <v>38818</v>
      </c>
      <c r="I91" s="20">
        <f>H91*G91</f>
        <v>296.32061068702291</v>
      </c>
    </row>
    <row r="92" spans="1:11" s="1" customFormat="1">
      <c r="A92" s="70">
        <v>131</v>
      </c>
      <c r="B92" s="6" t="s">
        <v>37</v>
      </c>
      <c r="C92" s="6" t="s">
        <v>17</v>
      </c>
      <c r="D92" s="6">
        <v>1</v>
      </c>
      <c r="E92" s="8">
        <f>247*8*(131/1974)</f>
        <v>131.13272543059779</v>
      </c>
      <c r="F92" s="39">
        <f>E92/131</f>
        <v>1.0010131712259374</v>
      </c>
      <c r="G92" s="54">
        <f>D92/E92*F92</f>
        <v>7.6335877862595426E-3</v>
      </c>
      <c r="H92" s="7">
        <v>9360</v>
      </c>
      <c r="I92" s="22">
        <f t="shared" ref="I92:I101" si="37">H92*G92</f>
        <v>71.450381679389324</v>
      </c>
    </row>
    <row r="93" spans="1:11" s="1" customFormat="1">
      <c r="A93" s="21"/>
      <c r="B93" s="6" t="s">
        <v>40</v>
      </c>
      <c r="C93" s="6" t="s">
        <v>17</v>
      </c>
      <c r="D93" s="6">
        <v>1</v>
      </c>
      <c r="E93" s="8">
        <f t="shared" ref="E93:E101" si="38">247*8*(131/1974)</f>
        <v>131.13272543059779</v>
      </c>
      <c r="F93" s="39">
        <f t="shared" ref="F93:F101" si="39">E93/131</f>
        <v>1.0010131712259374</v>
      </c>
      <c r="G93" s="54">
        <f>D93/E93*F93</f>
        <v>7.6335877862595426E-3</v>
      </c>
      <c r="H93" s="7"/>
      <c r="I93" s="22">
        <f t="shared" si="37"/>
        <v>0</v>
      </c>
    </row>
    <row r="94" spans="1:11" s="1" customFormat="1">
      <c r="A94" s="21"/>
      <c r="B94" s="6" t="s">
        <v>38</v>
      </c>
      <c r="C94" s="6" t="s">
        <v>17</v>
      </c>
      <c r="D94" s="6">
        <v>1</v>
      </c>
      <c r="E94" s="8">
        <f t="shared" si="38"/>
        <v>131.13272543059779</v>
      </c>
      <c r="F94" s="39">
        <f t="shared" si="39"/>
        <v>1.0010131712259374</v>
      </c>
      <c r="G94" s="54">
        <f t="shared" ref="G94:G101" si="40">D94/E94*F94</f>
        <v>7.6335877862595426E-3</v>
      </c>
      <c r="H94" s="7">
        <f>7970+24000</f>
        <v>31970</v>
      </c>
      <c r="I94" s="22">
        <f t="shared" si="37"/>
        <v>244.04580152671758</v>
      </c>
    </row>
    <row r="95" spans="1:11" s="1" customFormat="1">
      <c r="A95" s="21"/>
      <c r="B95" s="6" t="s">
        <v>39</v>
      </c>
      <c r="C95" s="6" t="s">
        <v>17</v>
      </c>
      <c r="D95" s="6">
        <v>1</v>
      </c>
      <c r="E95" s="8">
        <f t="shared" si="38"/>
        <v>131.13272543059779</v>
      </c>
      <c r="F95" s="39">
        <f t="shared" si="39"/>
        <v>1.0010131712259374</v>
      </c>
      <c r="G95" s="54">
        <f t="shared" si="40"/>
        <v>7.6335877862595426E-3</v>
      </c>
      <c r="H95" s="8">
        <v>7074</v>
      </c>
      <c r="I95" s="22">
        <f t="shared" si="37"/>
        <v>54.000000000000007</v>
      </c>
    </row>
    <row r="96" spans="1:11" s="1" customFormat="1">
      <c r="A96" s="21"/>
      <c r="B96" s="6" t="s">
        <v>92</v>
      </c>
      <c r="C96" s="6" t="s">
        <v>17</v>
      </c>
      <c r="D96" s="6">
        <v>1</v>
      </c>
      <c r="E96" s="8">
        <f t="shared" si="38"/>
        <v>131.13272543059779</v>
      </c>
      <c r="F96" s="39">
        <f t="shared" si="39"/>
        <v>1.0010131712259374</v>
      </c>
      <c r="G96" s="54">
        <f t="shared" si="40"/>
        <v>7.6335877862595426E-3</v>
      </c>
      <c r="H96" s="8">
        <v>5597</v>
      </c>
      <c r="I96" s="22">
        <f t="shared" si="37"/>
        <v>42.725190839694662</v>
      </c>
    </row>
    <row r="97" spans="1:11" s="1" customFormat="1">
      <c r="A97" s="21"/>
      <c r="B97" s="6" t="s">
        <v>41</v>
      </c>
      <c r="C97" s="6" t="s">
        <v>17</v>
      </c>
      <c r="D97" s="6">
        <v>1</v>
      </c>
      <c r="E97" s="8">
        <f t="shared" si="38"/>
        <v>131.13272543059779</v>
      </c>
      <c r="F97" s="39">
        <f t="shared" si="39"/>
        <v>1.0010131712259374</v>
      </c>
      <c r="G97" s="54">
        <f t="shared" si="40"/>
        <v>7.6335877862595426E-3</v>
      </c>
      <c r="H97" s="8">
        <v>5290</v>
      </c>
      <c r="I97" s="22">
        <f t="shared" si="37"/>
        <v>40.381679389312978</v>
      </c>
    </row>
    <row r="98" spans="1:11" s="1" customFormat="1">
      <c r="A98" s="21"/>
      <c r="B98" s="6" t="s">
        <v>121</v>
      </c>
      <c r="C98" s="6" t="s">
        <v>17</v>
      </c>
      <c r="D98" s="6">
        <v>1</v>
      </c>
      <c r="E98" s="8">
        <f t="shared" si="38"/>
        <v>131.13272543059779</v>
      </c>
      <c r="F98" s="39">
        <f t="shared" si="39"/>
        <v>1.0010131712259374</v>
      </c>
      <c r="G98" s="54">
        <f t="shared" si="40"/>
        <v>7.6335877862595426E-3</v>
      </c>
      <c r="H98" s="8"/>
      <c r="I98" s="22">
        <f t="shared" si="37"/>
        <v>0</v>
      </c>
    </row>
    <row r="99" spans="1:11" s="1" customFormat="1">
      <c r="A99" s="21"/>
      <c r="B99" s="49" t="s">
        <v>91</v>
      </c>
      <c r="C99" s="6" t="s">
        <v>17</v>
      </c>
      <c r="D99" s="6">
        <v>1</v>
      </c>
      <c r="E99" s="8">
        <f t="shared" si="38"/>
        <v>131.13272543059779</v>
      </c>
      <c r="F99" s="39">
        <f t="shared" si="39"/>
        <v>1.0010131712259374</v>
      </c>
      <c r="G99" s="54">
        <f t="shared" si="40"/>
        <v>7.6335877862595426E-3</v>
      </c>
      <c r="H99" s="8">
        <v>27600</v>
      </c>
      <c r="I99" s="22">
        <f t="shared" si="37"/>
        <v>210.68702290076337</v>
      </c>
    </row>
    <row r="100" spans="1:11" s="1" customFormat="1">
      <c r="A100" s="41"/>
      <c r="B100" s="72" t="s">
        <v>96</v>
      </c>
      <c r="C100" s="6" t="s">
        <v>17</v>
      </c>
      <c r="D100" s="6">
        <v>1</v>
      </c>
      <c r="E100" s="8">
        <f t="shared" si="38"/>
        <v>131.13272543059779</v>
      </c>
      <c r="F100" s="39">
        <f t="shared" si="39"/>
        <v>1.0010131712259374</v>
      </c>
      <c r="G100" s="54">
        <f t="shared" si="40"/>
        <v>7.6335877862595426E-3</v>
      </c>
      <c r="H100" s="8">
        <v>2000</v>
      </c>
      <c r="I100" s="22">
        <f t="shared" si="37"/>
        <v>15.267175572519085</v>
      </c>
    </row>
    <row r="101" spans="1:11" s="1" customFormat="1" ht="13.5" customHeight="1">
      <c r="A101" s="41"/>
      <c r="B101" s="72" t="s">
        <v>97</v>
      </c>
      <c r="C101" s="6" t="s">
        <v>17</v>
      </c>
      <c r="D101" s="6">
        <v>1</v>
      </c>
      <c r="E101" s="8">
        <f t="shared" si="38"/>
        <v>131.13272543059779</v>
      </c>
      <c r="F101" s="39">
        <f t="shared" si="39"/>
        <v>1.0010131712259374</v>
      </c>
      <c r="G101" s="54">
        <f t="shared" si="40"/>
        <v>7.6335877862595426E-3</v>
      </c>
      <c r="H101" s="8">
        <v>769</v>
      </c>
      <c r="I101" s="22">
        <f t="shared" si="37"/>
        <v>5.8702290076335881</v>
      </c>
    </row>
    <row r="102" spans="1:11" s="1" customFormat="1" ht="15.75" thickBot="1">
      <c r="A102" s="23"/>
      <c r="B102" s="24"/>
      <c r="C102" s="24"/>
      <c r="D102" s="24"/>
      <c r="E102" s="24"/>
      <c r="F102" s="24"/>
      <c r="G102" s="28"/>
      <c r="H102" s="56"/>
      <c r="I102" s="27">
        <f>SUM(I91:I101)</f>
        <v>980.74809160305347</v>
      </c>
      <c r="J102" s="77">
        <f>101709+24000+2769</f>
        <v>128478</v>
      </c>
      <c r="K102" s="77">
        <f>I102*A92</f>
        <v>128478</v>
      </c>
    </row>
    <row r="103" spans="1:11">
      <c r="A103" s="16" t="s">
        <v>70</v>
      </c>
      <c r="B103" s="17" t="s">
        <v>36</v>
      </c>
      <c r="C103" s="17" t="s">
        <v>17</v>
      </c>
      <c r="D103" s="17">
        <v>1</v>
      </c>
      <c r="E103" s="8">
        <f>247*8*(126/1974)</f>
        <v>126.12765957446807</v>
      </c>
      <c r="F103" s="48">
        <f>E103/126</f>
        <v>1.0010131712259371</v>
      </c>
      <c r="G103" s="55">
        <f>D103/E103*F103</f>
        <v>7.9365079365079361E-3</v>
      </c>
      <c r="H103" s="18">
        <v>17882</v>
      </c>
      <c r="I103" s="20">
        <f>H103*G103</f>
        <v>141.92063492063491</v>
      </c>
    </row>
    <row r="104" spans="1:11" s="1" customFormat="1">
      <c r="A104" s="70">
        <v>126</v>
      </c>
      <c r="B104" s="6" t="s">
        <v>37</v>
      </c>
      <c r="C104" s="6" t="s">
        <v>17</v>
      </c>
      <c r="D104" s="6">
        <v>1</v>
      </c>
      <c r="E104" s="8">
        <f>247*8*(126/1974)</f>
        <v>126.12765957446807</v>
      </c>
      <c r="F104" s="39">
        <f>E104/126</f>
        <v>1.0010131712259371</v>
      </c>
      <c r="G104" s="54">
        <f>D104/E104*F104</f>
        <v>7.9365079365079361E-3</v>
      </c>
      <c r="H104" s="7">
        <v>24840</v>
      </c>
      <c r="I104" s="22">
        <f t="shared" ref="I104:I113" si="41">H104*G104</f>
        <v>197.14285714285714</v>
      </c>
    </row>
    <row r="105" spans="1:11" s="1" customFormat="1">
      <c r="A105" s="21"/>
      <c r="B105" s="6" t="s">
        <v>40</v>
      </c>
      <c r="C105" s="6" t="s">
        <v>17</v>
      </c>
      <c r="D105" s="6">
        <v>1</v>
      </c>
      <c r="E105" s="8">
        <f t="shared" ref="E105:E113" si="42">247*8*(126/1974)</f>
        <v>126.12765957446807</v>
      </c>
      <c r="F105" s="39">
        <f t="shared" ref="F105:F113" si="43">E105/126</f>
        <v>1.0010131712259371</v>
      </c>
      <c r="G105" s="54">
        <f>D105/E105*F105</f>
        <v>7.9365079365079361E-3</v>
      </c>
      <c r="H105" s="7">
        <v>12000</v>
      </c>
      <c r="I105" s="22">
        <f t="shared" si="41"/>
        <v>95.238095238095227</v>
      </c>
    </row>
    <row r="106" spans="1:11" s="1" customFormat="1">
      <c r="A106" s="21"/>
      <c r="B106" s="6" t="s">
        <v>38</v>
      </c>
      <c r="C106" s="6" t="s">
        <v>17</v>
      </c>
      <c r="D106" s="6">
        <v>1</v>
      </c>
      <c r="E106" s="8">
        <f t="shared" si="42"/>
        <v>126.12765957446807</v>
      </c>
      <c r="F106" s="39">
        <f t="shared" si="43"/>
        <v>1.0010131712259371</v>
      </c>
      <c r="G106" s="54">
        <f t="shared" ref="G106:G113" si="44">D106/E106*F106</f>
        <v>7.9365079365079361E-3</v>
      </c>
      <c r="H106" s="7">
        <f>4968+24000</f>
        <v>28968</v>
      </c>
      <c r="I106" s="22">
        <f t="shared" si="41"/>
        <v>229.9047619047619</v>
      </c>
    </row>
    <row r="107" spans="1:11" s="1" customFormat="1">
      <c r="A107" s="21"/>
      <c r="B107" s="6" t="s">
        <v>39</v>
      </c>
      <c r="C107" s="6" t="s">
        <v>17</v>
      </c>
      <c r="D107" s="6">
        <v>1</v>
      </c>
      <c r="E107" s="8">
        <f t="shared" si="42"/>
        <v>126.12765957446807</v>
      </c>
      <c r="F107" s="39">
        <f t="shared" si="43"/>
        <v>1.0010131712259371</v>
      </c>
      <c r="G107" s="54">
        <f t="shared" si="44"/>
        <v>7.9365079365079361E-3</v>
      </c>
      <c r="H107" s="8">
        <v>7170</v>
      </c>
      <c r="I107" s="22">
        <f t="shared" si="41"/>
        <v>56.904761904761905</v>
      </c>
    </row>
    <row r="108" spans="1:11" s="1" customFormat="1">
      <c r="A108" s="21"/>
      <c r="B108" s="6" t="s">
        <v>92</v>
      </c>
      <c r="C108" s="6" t="s">
        <v>17</v>
      </c>
      <c r="D108" s="6">
        <v>1</v>
      </c>
      <c r="E108" s="8">
        <f t="shared" si="42"/>
        <v>126.12765957446807</v>
      </c>
      <c r="F108" s="39">
        <f t="shared" si="43"/>
        <v>1.0010131712259371</v>
      </c>
      <c r="G108" s="54">
        <f t="shared" si="44"/>
        <v>7.9365079365079361E-3</v>
      </c>
      <c r="H108" s="8">
        <v>8000</v>
      </c>
      <c r="I108" s="22">
        <f t="shared" si="41"/>
        <v>63.492063492063487</v>
      </c>
    </row>
    <row r="109" spans="1:11" s="1" customFormat="1">
      <c r="A109" s="21"/>
      <c r="B109" s="6" t="s">
        <v>41</v>
      </c>
      <c r="C109" s="6" t="s">
        <v>17</v>
      </c>
      <c r="D109" s="6">
        <v>1</v>
      </c>
      <c r="E109" s="8">
        <f t="shared" si="42"/>
        <v>126.12765957446807</v>
      </c>
      <c r="F109" s="39">
        <f t="shared" si="43"/>
        <v>1.0010131712259371</v>
      </c>
      <c r="G109" s="54">
        <f t="shared" si="44"/>
        <v>7.9365079365079361E-3</v>
      </c>
      <c r="H109" s="8">
        <v>12000</v>
      </c>
      <c r="I109" s="22">
        <f t="shared" si="41"/>
        <v>95.238095238095227</v>
      </c>
    </row>
    <row r="110" spans="1:11" s="1" customFormat="1">
      <c r="A110" s="21"/>
      <c r="B110" s="6" t="s">
        <v>93</v>
      </c>
      <c r="C110" s="6" t="s">
        <v>17</v>
      </c>
      <c r="D110" s="6">
        <v>1</v>
      </c>
      <c r="E110" s="8">
        <f t="shared" si="42"/>
        <v>126.12765957446807</v>
      </c>
      <c r="F110" s="39">
        <f t="shared" si="43"/>
        <v>1.0010131712259371</v>
      </c>
      <c r="G110" s="54">
        <f t="shared" si="44"/>
        <v>7.9365079365079361E-3</v>
      </c>
      <c r="H110" s="8">
        <v>9000</v>
      </c>
      <c r="I110" s="22">
        <f t="shared" si="41"/>
        <v>71.428571428571431</v>
      </c>
    </row>
    <row r="111" spans="1:11" s="1" customFormat="1">
      <c r="A111" s="21"/>
      <c r="B111" s="49" t="s">
        <v>91</v>
      </c>
      <c r="C111" s="6" t="s">
        <v>17</v>
      </c>
      <c r="D111" s="6">
        <v>1</v>
      </c>
      <c r="E111" s="8">
        <f t="shared" si="42"/>
        <v>126.12765957446807</v>
      </c>
      <c r="F111" s="39">
        <f t="shared" si="43"/>
        <v>1.0010131712259371</v>
      </c>
      <c r="G111" s="54">
        <f t="shared" si="44"/>
        <v>7.9365079365079361E-3</v>
      </c>
      <c r="H111" s="8">
        <v>25200</v>
      </c>
      <c r="I111" s="22">
        <f t="shared" si="41"/>
        <v>200</v>
      </c>
    </row>
    <row r="112" spans="1:11" s="1" customFormat="1">
      <c r="A112" s="41"/>
      <c r="B112" s="72" t="s">
        <v>96</v>
      </c>
      <c r="C112" s="6" t="s">
        <v>17</v>
      </c>
      <c r="D112" s="6">
        <v>1</v>
      </c>
      <c r="E112" s="8">
        <f t="shared" si="42"/>
        <v>126.12765957446807</v>
      </c>
      <c r="F112" s="39">
        <f t="shared" si="43"/>
        <v>1.0010131712259371</v>
      </c>
      <c r="G112" s="54">
        <f t="shared" si="44"/>
        <v>7.9365079365079361E-3</v>
      </c>
      <c r="H112" s="8">
        <v>2000</v>
      </c>
      <c r="I112" s="22">
        <f t="shared" si="41"/>
        <v>15.873015873015872</v>
      </c>
    </row>
    <row r="113" spans="1:11" s="1" customFormat="1" ht="13.5" customHeight="1">
      <c r="A113" s="41"/>
      <c r="B113" s="72" t="s">
        <v>97</v>
      </c>
      <c r="C113" s="6" t="s">
        <v>17</v>
      </c>
      <c r="D113" s="6">
        <v>1</v>
      </c>
      <c r="E113" s="8">
        <f t="shared" si="42"/>
        <v>126.12765957446807</v>
      </c>
      <c r="F113" s="39">
        <f t="shared" si="43"/>
        <v>1.0010131712259371</v>
      </c>
      <c r="G113" s="54">
        <f t="shared" si="44"/>
        <v>7.9365079365079361E-3</v>
      </c>
      <c r="H113" s="8">
        <v>190</v>
      </c>
      <c r="I113" s="22">
        <f t="shared" si="41"/>
        <v>1.5079365079365079</v>
      </c>
    </row>
    <row r="114" spans="1:11" s="1" customFormat="1" ht="15.75" thickBot="1">
      <c r="A114" s="23"/>
      <c r="B114" s="24"/>
      <c r="C114" s="24"/>
      <c r="D114" s="24"/>
      <c r="E114" s="24"/>
      <c r="F114" s="24"/>
      <c r="G114" s="28"/>
      <c r="H114" s="56"/>
      <c r="I114" s="27">
        <f>SUM(I103:I113)</f>
        <v>1168.6507936507937</v>
      </c>
      <c r="J114" s="77">
        <f>121060+24000+2190</f>
        <v>147250</v>
      </c>
      <c r="K114" s="77">
        <f>I114*A104</f>
        <v>147250</v>
      </c>
    </row>
    <row r="115" spans="1:11" ht="15.75" thickBot="1"/>
    <row r="116" spans="1:11">
      <c r="A116" s="16" t="s">
        <v>72</v>
      </c>
      <c r="B116" s="17" t="s">
        <v>36</v>
      </c>
      <c r="C116" s="17" t="s">
        <v>17</v>
      </c>
      <c r="D116" s="17">
        <v>1</v>
      </c>
      <c r="E116" s="8">
        <f>247*8*(206/1974)</f>
        <v>206.20871327254306</v>
      </c>
      <c r="F116" s="48">
        <f>E116/206</f>
        <v>1.0010131712259371</v>
      </c>
      <c r="G116" s="55">
        <f>D116/E116*F116</f>
        <v>4.8543689320388354E-3</v>
      </c>
      <c r="H116" s="18">
        <v>43615</v>
      </c>
      <c r="I116" s="20">
        <f>H116*G116</f>
        <v>211.72330097087379</v>
      </c>
    </row>
    <row r="117" spans="1:11" s="1" customFormat="1">
      <c r="A117" s="70">
        <v>206</v>
      </c>
      <c r="B117" s="6" t="s">
        <v>37</v>
      </c>
      <c r="C117" s="6" t="s">
        <v>17</v>
      </c>
      <c r="D117" s="6">
        <v>1</v>
      </c>
      <c r="E117" s="8">
        <f>247*8*(206/1974)</f>
        <v>206.20871327254306</v>
      </c>
      <c r="F117" s="39">
        <f>E117/206</f>
        <v>1.0010131712259371</v>
      </c>
      <c r="G117" s="54">
        <f>D117/E117*F117</f>
        <v>4.8543689320388354E-3</v>
      </c>
      <c r="H117" s="7">
        <v>7008</v>
      </c>
      <c r="I117" s="22">
        <f t="shared" ref="I117:I126" si="45">H117*G117</f>
        <v>34.019417475728162</v>
      </c>
    </row>
    <row r="118" spans="1:11" s="1" customFormat="1">
      <c r="A118" s="21"/>
      <c r="B118" s="6" t="s">
        <v>40</v>
      </c>
      <c r="C118" s="6" t="s">
        <v>17</v>
      </c>
      <c r="D118" s="6">
        <v>1</v>
      </c>
      <c r="E118" s="8">
        <f t="shared" ref="E118:E126" si="46">247*8*(206/1974)</f>
        <v>206.20871327254306</v>
      </c>
      <c r="F118" s="39">
        <f t="shared" ref="F118:F126" si="47">E118/206</f>
        <v>1.0010131712259371</v>
      </c>
      <c r="G118" s="54">
        <f>D118/E118*F118</f>
        <v>4.8543689320388354E-3</v>
      </c>
      <c r="H118" s="7"/>
      <c r="I118" s="22">
        <f t="shared" si="45"/>
        <v>0</v>
      </c>
    </row>
    <row r="119" spans="1:11" s="1" customFormat="1">
      <c r="A119" s="21"/>
      <c r="B119" s="6" t="s">
        <v>38</v>
      </c>
      <c r="C119" s="6" t="s">
        <v>17</v>
      </c>
      <c r="D119" s="6">
        <v>1</v>
      </c>
      <c r="E119" s="8">
        <f t="shared" si="46"/>
        <v>206.20871327254306</v>
      </c>
      <c r="F119" s="39">
        <f t="shared" si="47"/>
        <v>1.0010131712259371</v>
      </c>
      <c r="G119" s="54">
        <f t="shared" ref="G119:G126" si="48">D119/E119*F119</f>
        <v>4.8543689320388354E-3</v>
      </c>
      <c r="H119" s="7">
        <f>4968+24000</f>
        <v>28968</v>
      </c>
      <c r="I119" s="22">
        <f t="shared" si="45"/>
        <v>140.62135922330097</v>
      </c>
    </row>
    <row r="120" spans="1:11" s="1" customFormat="1">
      <c r="A120" s="21"/>
      <c r="B120" s="6" t="s">
        <v>39</v>
      </c>
      <c r="C120" s="6" t="s">
        <v>17</v>
      </c>
      <c r="D120" s="6">
        <v>1</v>
      </c>
      <c r="E120" s="8">
        <f t="shared" si="46"/>
        <v>206.20871327254306</v>
      </c>
      <c r="F120" s="39">
        <f t="shared" si="47"/>
        <v>1.0010131712259371</v>
      </c>
      <c r="G120" s="54">
        <f t="shared" si="48"/>
        <v>4.8543689320388354E-3</v>
      </c>
      <c r="H120" s="8">
        <v>10735</v>
      </c>
      <c r="I120" s="22">
        <f t="shared" si="45"/>
        <v>52.111650485436897</v>
      </c>
    </row>
    <row r="121" spans="1:11" s="1" customFormat="1">
      <c r="A121" s="21"/>
      <c r="B121" s="6" t="s">
        <v>92</v>
      </c>
      <c r="C121" s="6" t="s">
        <v>17</v>
      </c>
      <c r="D121" s="6">
        <v>1</v>
      </c>
      <c r="E121" s="8">
        <f t="shared" si="46"/>
        <v>206.20871327254306</v>
      </c>
      <c r="F121" s="39">
        <f t="shared" si="47"/>
        <v>1.0010131712259371</v>
      </c>
      <c r="G121" s="54">
        <f t="shared" si="48"/>
        <v>4.8543689320388354E-3</v>
      </c>
      <c r="H121" s="8">
        <v>8308</v>
      </c>
      <c r="I121" s="22">
        <f t="shared" si="45"/>
        <v>40.330097087378647</v>
      </c>
    </row>
    <row r="122" spans="1:11" s="1" customFormat="1">
      <c r="A122" s="21"/>
      <c r="B122" s="6" t="s">
        <v>41</v>
      </c>
      <c r="C122" s="6" t="s">
        <v>17</v>
      </c>
      <c r="D122" s="6">
        <v>1</v>
      </c>
      <c r="E122" s="8">
        <f t="shared" si="46"/>
        <v>206.20871327254306</v>
      </c>
      <c r="F122" s="39">
        <f t="shared" si="47"/>
        <v>1.0010131712259371</v>
      </c>
      <c r="G122" s="54">
        <f t="shared" si="48"/>
        <v>4.8543689320388354E-3</v>
      </c>
      <c r="H122" s="8">
        <v>12000</v>
      </c>
      <c r="I122" s="22">
        <f t="shared" si="45"/>
        <v>58.252427184466022</v>
      </c>
    </row>
    <row r="123" spans="1:11" s="1" customFormat="1">
      <c r="A123" s="21"/>
      <c r="B123" s="6" t="s">
        <v>93</v>
      </c>
      <c r="C123" s="6" t="s">
        <v>17</v>
      </c>
      <c r="D123" s="6">
        <v>1</v>
      </c>
      <c r="E123" s="8">
        <f t="shared" si="46"/>
        <v>206.20871327254306</v>
      </c>
      <c r="F123" s="39">
        <f t="shared" si="47"/>
        <v>1.0010131712259371</v>
      </c>
      <c r="G123" s="54">
        <f t="shared" si="48"/>
        <v>4.8543689320388354E-3</v>
      </c>
      <c r="H123" s="8">
        <v>15982</v>
      </c>
      <c r="I123" s="22">
        <f t="shared" si="45"/>
        <v>77.582524271844662</v>
      </c>
    </row>
    <row r="124" spans="1:11" s="1" customFormat="1">
      <c r="A124" s="21"/>
      <c r="B124" s="49" t="s">
        <v>91</v>
      </c>
      <c r="C124" s="6" t="s">
        <v>17</v>
      </c>
      <c r="D124" s="6">
        <v>1</v>
      </c>
      <c r="E124" s="8">
        <f t="shared" si="46"/>
        <v>206.20871327254306</v>
      </c>
      <c r="F124" s="39">
        <f t="shared" si="47"/>
        <v>1.0010131712259371</v>
      </c>
      <c r="G124" s="54">
        <f t="shared" si="48"/>
        <v>4.8543689320388354E-3</v>
      </c>
      <c r="H124" s="8">
        <v>25200</v>
      </c>
      <c r="I124" s="22">
        <f t="shared" si="45"/>
        <v>122.33009708737865</v>
      </c>
    </row>
    <row r="125" spans="1:11" s="1" customFormat="1">
      <c r="A125" s="41"/>
      <c r="B125" s="72" t="s">
        <v>96</v>
      </c>
      <c r="C125" s="6" t="s">
        <v>17</v>
      </c>
      <c r="D125" s="6">
        <v>1</v>
      </c>
      <c r="E125" s="8">
        <f t="shared" si="46"/>
        <v>206.20871327254306</v>
      </c>
      <c r="F125" s="39">
        <f t="shared" si="47"/>
        <v>1.0010131712259371</v>
      </c>
      <c r="G125" s="54">
        <f t="shared" si="48"/>
        <v>4.8543689320388354E-3</v>
      </c>
      <c r="H125" s="8">
        <v>2000</v>
      </c>
      <c r="I125" s="22">
        <f t="shared" si="45"/>
        <v>9.7087378640776709</v>
      </c>
    </row>
    <row r="126" spans="1:11" s="1" customFormat="1" ht="13.5" customHeight="1">
      <c r="A126" s="41"/>
      <c r="B126" s="72" t="s">
        <v>97</v>
      </c>
      <c r="C126" s="6" t="s">
        <v>17</v>
      </c>
      <c r="D126" s="6">
        <v>1</v>
      </c>
      <c r="E126" s="8">
        <f t="shared" si="46"/>
        <v>206.20871327254306</v>
      </c>
      <c r="F126" s="39">
        <f t="shared" si="47"/>
        <v>1.0010131712259371</v>
      </c>
      <c r="G126" s="54">
        <f t="shared" si="48"/>
        <v>4.8543689320388354E-3</v>
      </c>
      <c r="H126" s="8">
        <v>461</v>
      </c>
      <c r="I126" s="22">
        <f t="shared" si="45"/>
        <v>2.237864077669903</v>
      </c>
    </row>
    <row r="127" spans="1:11" s="1" customFormat="1" ht="15.75" thickBot="1">
      <c r="A127" s="23"/>
      <c r="B127" s="24"/>
      <c r="C127" s="24"/>
      <c r="D127" s="24"/>
      <c r="E127" s="24"/>
      <c r="F127" s="24"/>
      <c r="G127" s="28"/>
      <c r="H127" s="56"/>
      <c r="I127" s="27">
        <f>SUM(I116:I126)</f>
        <v>748.9174757281553</v>
      </c>
      <c r="J127" s="77">
        <f>127816+24000+2461</f>
        <v>154277</v>
      </c>
      <c r="K127" s="77">
        <f>I127*A117</f>
        <v>154277</v>
      </c>
    </row>
    <row r="128" spans="1:11">
      <c r="A128" s="16" t="s">
        <v>71</v>
      </c>
      <c r="B128" s="17" t="s">
        <v>36</v>
      </c>
      <c r="C128" s="17" t="s">
        <v>17</v>
      </c>
      <c r="D128" s="17">
        <v>1</v>
      </c>
      <c r="E128" s="67">
        <f>247*8*(275/1974)</f>
        <v>275.2786220871327</v>
      </c>
      <c r="F128" s="48">
        <f>E128/275</f>
        <v>1.0010131712259371</v>
      </c>
      <c r="G128" s="55">
        <f>D128/E128*F128</f>
        <v>3.6363636363636364E-3</v>
      </c>
      <c r="H128" s="18">
        <v>47628</v>
      </c>
      <c r="I128" s="20">
        <f>H128*G128</f>
        <v>173.19272727272727</v>
      </c>
    </row>
    <row r="129" spans="1:11" s="1" customFormat="1">
      <c r="A129" s="70">
        <v>275</v>
      </c>
      <c r="B129" s="6" t="s">
        <v>37</v>
      </c>
      <c r="C129" s="6" t="s">
        <v>17</v>
      </c>
      <c r="D129" s="6">
        <v>1</v>
      </c>
      <c r="E129" s="8">
        <f t="shared" ref="E129:E139" si="49">247*8*(275/1974)</f>
        <v>275.2786220871327</v>
      </c>
      <c r="F129" s="39">
        <f t="shared" ref="F129" si="50">E129/275</f>
        <v>1.0010131712259371</v>
      </c>
      <c r="G129" s="54">
        <f>D129/E129*F129</f>
        <v>3.6363636363636364E-3</v>
      </c>
      <c r="H129" s="7">
        <v>6600</v>
      </c>
      <c r="I129" s="22">
        <f t="shared" ref="I129:I139" si="51">H129*G129</f>
        <v>24</v>
      </c>
    </row>
    <row r="130" spans="1:11" s="1" customFormat="1">
      <c r="A130" s="21"/>
      <c r="B130" s="6" t="s">
        <v>40</v>
      </c>
      <c r="C130" s="6" t="s">
        <v>17</v>
      </c>
      <c r="D130" s="6">
        <v>1</v>
      </c>
      <c r="E130" s="8">
        <f t="shared" si="49"/>
        <v>275.2786220871327</v>
      </c>
      <c r="F130" s="39">
        <f t="shared" ref="F130:F139" si="52">E130/275</f>
        <v>1.0010131712259371</v>
      </c>
      <c r="G130" s="54">
        <f>D130/E130*F130</f>
        <v>3.6363636363636364E-3</v>
      </c>
      <c r="H130" s="7">
        <v>12000</v>
      </c>
      <c r="I130" s="22">
        <f t="shared" si="51"/>
        <v>43.636363636363633</v>
      </c>
    </row>
    <row r="131" spans="1:11" s="1" customFormat="1">
      <c r="A131" s="21"/>
      <c r="B131" s="6" t="s">
        <v>38</v>
      </c>
      <c r="C131" s="6" t="s">
        <v>17</v>
      </c>
      <c r="D131" s="6">
        <v>1</v>
      </c>
      <c r="E131" s="8">
        <f t="shared" si="49"/>
        <v>275.2786220871327</v>
      </c>
      <c r="F131" s="39">
        <f t="shared" si="52"/>
        <v>1.0010131712259371</v>
      </c>
      <c r="G131" s="54">
        <f t="shared" ref="G131:G139" si="53">D131/E131*F131</f>
        <v>3.6363636363636364E-3</v>
      </c>
      <c r="H131" s="7">
        <f>7970+24000</f>
        <v>31970</v>
      </c>
      <c r="I131" s="22">
        <f t="shared" si="51"/>
        <v>116.25454545454545</v>
      </c>
    </row>
    <row r="132" spans="1:11" s="1" customFormat="1">
      <c r="A132" s="21"/>
      <c r="B132" s="6" t="s">
        <v>39</v>
      </c>
      <c r="C132" s="6" t="s">
        <v>17</v>
      </c>
      <c r="D132" s="6">
        <v>1</v>
      </c>
      <c r="E132" s="8">
        <f t="shared" si="49"/>
        <v>275.2786220871327</v>
      </c>
      <c r="F132" s="39">
        <f t="shared" si="52"/>
        <v>1.0010131712259371</v>
      </c>
      <c r="G132" s="54">
        <f t="shared" si="53"/>
        <v>3.6363636363636364E-3</v>
      </c>
      <c r="H132" s="8">
        <v>8137</v>
      </c>
      <c r="I132" s="22">
        <f t="shared" si="51"/>
        <v>29.58909090909091</v>
      </c>
    </row>
    <row r="133" spans="1:11" s="1" customFormat="1">
      <c r="A133" s="21"/>
      <c r="B133" s="6" t="s">
        <v>92</v>
      </c>
      <c r="C133" s="6" t="s">
        <v>17</v>
      </c>
      <c r="D133" s="6">
        <v>1</v>
      </c>
      <c r="E133" s="8">
        <f t="shared" si="49"/>
        <v>275.2786220871327</v>
      </c>
      <c r="F133" s="39">
        <f t="shared" si="52"/>
        <v>1.0010131712259371</v>
      </c>
      <c r="G133" s="54">
        <f t="shared" si="53"/>
        <v>3.6363636363636364E-3</v>
      </c>
      <c r="H133" s="8">
        <v>9000</v>
      </c>
      <c r="I133" s="22">
        <f t="shared" si="51"/>
        <v>32.727272727272727</v>
      </c>
    </row>
    <row r="134" spans="1:11" s="1" customFormat="1">
      <c r="A134" s="21"/>
      <c r="B134" s="6" t="s">
        <v>41</v>
      </c>
      <c r="C134" s="6" t="s">
        <v>17</v>
      </c>
      <c r="D134" s="6">
        <v>1</v>
      </c>
      <c r="E134" s="8">
        <f t="shared" si="49"/>
        <v>275.2786220871327</v>
      </c>
      <c r="F134" s="39">
        <f t="shared" si="52"/>
        <v>1.0010131712259371</v>
      </c>
      <c r="G134" s="54">
        <f t="shared" si="53"/>
        <v>3.6363636363636364E-3</v>
      </c>
      <c r="H134" s="8">
        <v>15000</v>
      </c>
      <c r="I134" s="22">
        <f t="shared" si="51"/>
        <v>54.545454545454547</v>
      </c>
    </row>
    <row r="135" spans="1:11" s="1" customFormat="1">
      <c r="A135" s="21"/>
      <c r="B135" s="6" t="s">
        <v>93</v>
      </c>
      <c r="C135" s="6" t="s">
        <v>17</v>
      </c>
      <c r="D135" s="6">
        <v>1</v>
      </c>
      <c r="E135" s="8">
        <f t="shared" si="49"/>
        <v>275.2786220871327</v>
      </c>
      <c r="F135" s="39">
        <f t="shared" si="52"/>
        <v>1.0010131712259371</v>
      </c>
      <c r="G135" s="54">
        <f t="shared" si="53"/>
        <v>3.6363636363636364E-3</v>
      </c>
      <c r="H135" s="8">
        <v>8480</v>
      </c>
      <c r="I135" s="22">
        <f t="shared" si="51"/>
        <v>30.836363636363636</v>
      </c>
    </row>
    <row r="136" spans="1:11" s="1" customFormat="1">
      <c r="A136" s="21"/>
      <c r="B136" s="6" t="s">
        <v>115</v>
      </c>
      <c r="C136" s="6" t="s">
        <v>17</v>
      </c>
      <c r="D136" s="6">
        <v>1</v>
      </c>
      <c r="E136" s="8">
        <f t="shared" si="49"/>
        <v>275.2786220871327</v>
      </c>
      <c r="F136" s="39">
        <f t="shared" ref="F136" si="54">E136/275</f>
        <v>1.0010131712259371</v>
      </c>
      <c r="G136" s="54">
        <f t="shared" ref="G136" si="55">D136/E136*F136</f>
        <v>3.6363636363636364E-3</v>
      </c>
      <c r="H136" s="8">
        <v>36000</v>
      </c>
      <c r="I136" s="22">
        <f t="shared" ref="I136" si="56">H136*G136</f>
        <v>130.90909090909091</v>
      </c>
    </row>
    <row r="137" spans="1:11" s="1" customFormat="1">
      <c r="A137" s="21"/>
      <c r="B137" s="49" t="s">
        <v>91</v>
      </c>
      <c r="C137" s="6" t="s">
        <v>17</v>
      </c>
      <c r="D137" s="6">
        <v>1</v>
      </c>
      <c r="E137" s="8">
        <f t="shared" si="49"/>
        <v>275.2786220871327</v>
      </c>
      <c r="F137" s="39">
        <f t="shared" si="52"/>
        <v>1.0010131712259371</v>
      </c>
      <c r="G137" s="54">
        <f t="shared" si="53"/>
        <v>3.6363636363636364E-3</v>
      </c>
      <c r="H137" s="8">
        <v>25200</v>
      </c>
      <c r="I137" s="22">
        <f t="shared" si="51"/>
        <v>91.63636363636364</v>
      </c>
    </row>
    <row r="138" spans="1:11" s="1" customFormat="1">
      <c r="A138" s="41"/>
      <c r="B138" s="72" t="s">
        <v>96</v>
      </c>
      <c r="C138" s="6" t="s">
        <v>17</v>
      </c>
      <c r="D138" s="6">
        <v>1</v>
      </c>
      <c r="E138" s="8">
        <f t="shared" si="49"/>
        <v>275.2786220871327</v>
      </c>
      <c r="F138" s="39">
        <f t="shared" si="52"/>
        <v>1.0010131712259371</v>
      </c>
      <c r="G138" s="54">
        <f t="shared" si="53"/>
        <v>3.6363636363636364E-3</v>
      </c>
      <c r="H138" s="8">
        <v>2000</v>
      </c>
      <c r="I138" s="22">
        <f t="shared" si="51"/>
        <v>7.2727272727272725</v>
      </c>
    </row>
    <row r="139" spans="1:11" s="1" customFormat="1" ht="13.5" customHeight="1">
      <c r="A139" s="41"/>
      <c r="B139" s="72" t="s">
        <v>97</v>
      </c>
      <c r="C139" s="6" t="s">
        <v>17</v>
      </c>
      <c r="D139" s="6">
        <v>1</v>
      </c>
      <c r="E139" s="8">
        <f t="shared" si="49"/>
        <v>275.2786220871327</v>
      </c>
      <c r="F139" s="39">
        <f t="shared" si="52"/>
        <v>1.0010131712259371</v>
      </c>
      <c r="G139" s="54">
        <f t="shared" si="53"/>
        <v>3.6363636363636364E-3</v>
      </c>
      <c r="H139" s="8">
        <v>511</v>
      </c>
      <c r="I139" s="22">
        <f t="shared" si="51"/>
        <v>1.8581818181818182</v>
      </c>
    </row>
    <row r="140" spans="1:11" s="1" customFormat="1" ht="15.75" thickBot="1">
      <c r="A140" s="23"/>
      <c r="B140" s="24"/>
      <c r="C140" s="24"/>
      <c r="D140" s="24"/>
      <c r="E140" s="24"/>
      <c r="F140" s="24"/>
      <c r="G140" s="28"/>
      <c r="H140" s="56"/>
      <c r="I140" s="27">
        <f>SUM(I128:I139)</f>
        <v>736.45818181818174</v>
      </c>
      <c r="J140" s="77">
        <f>176015+24000+2511</f>
        <v>202526</v>
      </c>
      <c r="K140" s="77">
        <f>I140*A129</f>
        <v>202525.99999999997</v>
      </c>
    </row>
    <row r="141" spans="1:11" ht="15.75" thickBot="1">
      <c r="E141" s="68"/>
    </row>
    <row r="142" spans="1:11">
      <c r="A142" s="16" t="s">
        <v>73</v>
      </c>
      <c r="B142" s="17" t="s">
        <v>36</v>
      </c>
      <c r="C142" s="17" t="s">
        <v>17</v>
      </c>
      <c r="D142" s="17">
        <v>1</v>
      </c>
      <c r="E142" s="15">
        <f>247*8*(347/1974)</f>
        <v>347.3515704154002</v>
      </c>
      <c r="F142" s="48">
        <f>E142/347</f>
        <v>1.0010131712259371</v>
      </c>
      <c r="G142" s="55">
        <f>D142/E142*F142</f>
        <v>2.881844380403458E-3</v>
      </c>
      <c r="H142" s="18">
        <v>58444</v>
      </c>
      <c r="I142" s="20">
        <f>H142*G142</f>
        <v>168.4265129682997</v>
      </c>
    </row>
    <row r="143" spans="1:11" s="1" customFormat="1">
      <c r="A143" s="70">
        <v>347</v>
      </c>
      <c r="B143" s="6" t="s">
        <v>37</v>
      </c>
      <c r="C143" s="6" t="s">
        <v>17</v>
      </c>
      <c r="D143" s="6">
        <v>1</v>
      </c>
      <c r="E143" s="8">
        <f>247*8*(347/1974)</f>
        <v>347.3515704154002</v>
      </c>
      <c r="F143" s="39">
        <f>E143/347</f>
        <v>1.0010131712259371</v>
      </c>
      <c r="G143" s="54">
        <f>D143/E143*F143</f>
        <v>2.881844380403458E-3</v>
      </c>
      <c r="H143" s="7">
        <v>20040</v>
      </c>
      <c r="I143" s="22">
        <f t="shared" ref="I143:I153" si="57">H143*G143</f>
        <v>57.752161383285298</v>
      </c>
    </row>
    <row r="144" spans="1:11" s="1" customFormat="1">
      <c r="A144" s="21"/>
      <c r="B144" s="6" t="s">
        <v>122</v>
      </c>
      <c r="C144" s="6" t="s">
        <v>17</v>
      </c>
      <c r="D144" s="6">
        <v>1</v>
      </c>
      <c r="E144" s="8">
        <f t="shared" ref="E144:E153" si="58">247*8*(347/1974)</f>
        <v>347.3515704154002</v>
      </c>
      <c r="F144" s="39">
        <f t="shared" ref="F144:F153" si="59">E144/347</f>
        <v>1.0010131712259371</v>
      </c>
      <c r="G144" s="54">
        <f>D144/E144*F144</f>
        <v>2.881844380403458E-3</v>
      </c>
      <c r="H144" s="7">
        <v>12000</v>
      </c>
      <c r="I144" s="22">
        <f t="shared" si="57"/>
        <v>34.582132564841494</v>
      </c>
    </row>
    <row r="145" spans="1:11" s="1" customFormat="1">
      <c r="A145" s="21"/>
      <c r="B145" s="6" t="s">
        <v>38</v>
      </c>
      <c r="C145" s="6" t="s">
        <v>17</v>
      </c>
      <c r="D145" s="6">
        <v>1</v>
      </c>
      <c r="E145" s="8">
        <f t="shared" si="58"/>
        <v>347.3515704154002</v>
      </c>
      <c r="F145" s="39">
        <f t="shared" si="59"/>
        <v>1.0010131712259371</v>
      </c>
      <c r="G145" s="54">
        <f t="shared" ref="G145:G153" si="60">D145/E145*F145</f>
        <v>2.881844380403458E-3</v>
      </c>
      <c r="H145" s="7">
        <f>10680+48000</f>
        <v>58680</v>
      </c>
      <c r="I145" s="22">
        <f t="shared" si="57"/>
        <v>169.10662824207492</v>
      </c>
    </row>
    <row r="146" spans="1:11" s="1" customFormat="1">
      <c r="A146" s="21"/>
      <c r="B146" s="6" t="s">
        <v>39</v>
      </c>
      <c r="C146" s="6" t="s">
        <v>17</v>
      </c>
      <c r="D146" s="6">
        <v>1</v>
      </c>
      <c r="E146" s="8">
        <f t="shared" si="58"/>
        <v>347.3515704154002</v>
      </c>
      <c r="F146" s="39">
        <f t="shared" si="59"/>
        <v>1.0010131712259371</v>
      </c>
      <c r="G146" s="54">
        <f t="shared" si="60"/>
        <v>2.881844380403458E-3</v>
      </c>
      <c r="H146" s="8">
        <v>18049</v>
      </c>
      <c r="I146" s="22">
        <f t="shared" si="57"/>
        <v>52.014409221902014</v>
      </c>
    </row>
    <row r="147" spans="1:11" s="1" customFormat="1">
      <c r="A147" s="21"/>
      <c r="B147" s="6" t="s">
        <v>92</v>
      </c>
      <c r="C147" s="6" t="s">
        <v>17</v>
      </c>
      <c r="D147" s="6">
        <v>1</v>
      </c>
      <c r="E147" s="8">
        <f t="shared" si="58"/>
        <v>347.3515704154002</v>
      </c>
      <c r="F147" s="39">
        <f t="shared" si="59"/>
        <v>1.0010131712259371</v>
      </c>
      <c r="G147" s="54">
        <f t="shared" si="60"/>
        <v>2.881844380403458E-3</v>
      </c>
      <c r="H147" s="8">
        <v>13004</v>
      </c>
      <c r="I147" s="22">
        <f t="shared" si="57"/>
        <v>37.475504322766568</v>
      </c>
    </row>
    <row r="148" spans="1:11" s="1" customFormat="1">
      <c r="A148" s="21"/>
      <c r="B148" s="6" t="s">
        <v>41</v>
      </c>
      <c r="C148" s="6" t="s">
        <v>17</v>
      </c>
      <c r="D148" s="6">
        <v>1</v>
      </c>
      <c r="E148" s="8">
        <f t="shared" si="58"/>
        <v>347.3515704154002</v>
      </c>
      <c r="F148" s="39">
        <f t="shared" si="59"/>
        <v>1.0010131712259371</v>
      </c>
      <c r="G148" s="54">
        <f t="shared" si="60"/>
        <v>2.881844380403458E-3</v>
      </c>
      <c r="H148" s="8">
        <v>23000</v>
      </c>
      <c r="I148" s="22">
        <f t="shared" si="57"/>
        <v>66.282420749279538</v>
      </c>
    </row>
    <row r="149" spans="1:11" s="1" customFormat="1">
      <c r="A149" s="21"/>
      <c r="B149" s="6" t="s">
        <v>93</v>
      </c>
      <c r="C149" s="6" t="s">
        <v>17</v>
      </c>
      <c r="D149" s="6">
        <v>1</v>
      </c>
      <c r="E149" s="8">
        <f t="shared" si="58"/>
        <v>347.3515704154002</v>
      </c>
      <c r="F149" s="39">
        <f t="shared" si="59"/>
        <v>1.0010131712259371</v>
      </c>
      <c r="G149" s="54">
        <f t="shared" si="60"/>
        <v>2.881844380403458E-3</v>
      </c>
      <c r="H149" s="8">
        <v>18000</v>
      </c>
      <c r="I149" s="22">
        <f t="shared" si="57"/>
        <v>51.873198847262245</v>
      </c>
    </row>
    <row r="150" spans="1:11" s="1" customFormat="1">
      <c r="A150" s="21"/>
      <c r="B150" s="6" t="s">
        <v>123</v>
      </c>
      <c r="C150" s="6" t="s">
        <v>17</v>
      </c>
      <c r="D150" s="6">
        <v>1</v>
      </c>
      <c r="E150" s="8">
        <f t="shared" si="58"/>
        <v>347.3515704154002</v>
      </c>
      <c r="F150" s="39">
        <f t="shared" si="59"/>
        <v>1.0010131712259371</v>
      </c>
      <c r="G150" s="54">
        <f t="shared" si="60"/>
        <v>2.881844380403458E-3</v>
      </c>
      <c r="H150" s="8">
        <v>33600</v>
      </c>
      <c r="I150" s="22">
        <f t="shared" si="57"/>
        <v>96.829971181556189</v>
      </c>
    </row>
    <row r="151" spans="1:11" s="1" customFormat="1">
      <c r="A151" s="21"/>
      <c r="B151" s="49" t="s">
        <v>91</v>
      </c>
      <c r="C151" s="6" t="s">
        <v>17</v>
      </c>
      <c r="D151" s="6">
        <v>1</v>
      </c>
      <c r="E151" s="8">
        <f t="shared" si="58"/>
        <v>347.3515704154002</v>
      </c>
      <c r="F151" s="39">
        <f t="shared" si="59"/>
        <v>1.0010131712259371</v>
      </c>
      <c r="G151" s="54">
        <f t="shared" si="60"/>
        <v>2.881844380403458E-3</v>
      </c>
      <c r="H151" s="8">
        <v>50400</v>
      </c>
      <c r="I151" s="22">
        <f t="shared" si="57"/>
        <v>145.24495677233429</v>
      </c>
    </row>
    <row r="152" spans="1:11" s="1" customFormat="1">
      <c r="A152" s="41"/>
      <c r="B152" s="72" t="s">
        <v>96</v>
      </c>
      <c r="C152" s="6" t="s">
        <v>17</v>
      </c>
      <c r="D152" s="6">
        <v>1</v>
      </c>
      <c r="E152" s="8">
        <f t="shared" si="58"/>
        <v>347.3515704154002</v>
      </c>
      <c r="F152" s="39">
        <f t="shared" si="59"/>
        <v>1.0010131712259371</v>
      </c>
      <c r="G152" s="54">
        <f t="shared" si="60"/>
        <v>2.881844380403458E-3</v>
      </c>
      <c r="H152" s="8">
        <v>2000</v>
      </c>
      <c r="I152" s="22">
        <f t="shared" si="57"/>
        <v>5.7636887608069163</v>
      </c>
    </row>
    <row r="153" spans="1:11" s="1" customFormat="1" ht="13.5" customHeight="1">
      <c r="A153" s="41"/>
      <c r="B153" s="72" t="s">
        <v>97</v>
      </c>
      <c r="C153" s="6" t="s">
        <v>17</v>
      </c>
      <c r="D153" s="6">
        <v>1</v>
      </c>
      <c r="E153" s="8">
        <f t="shared" si="58"/>
        <v>347.3515704154002</v>
      </c>
      <c r="F153" s="39">
        <f t="shared" si="59"/>
        <v>1.0010131712259371</v>
      </c>
      <c r="G153" s="54">
        <f t="shared" si="60"/>
        <v>2.881844380403458E-3</v>
      </c>
      <c r="H153" s="8">
        <v>871</v>
      </c>
      <c r="I153" s="22">
        <f t="shared" si="57"/>
        <v>2.5100864553314119</v>
      </c>
    </row>
    <row r="154" spans="1:11" s="1" customFormat="1" ht="15.75" thickBot="1">
      <c r="A154" s="23"/>
      <c r="B154" s="24"/>
      <c r="C154" s="24"/>
      <c r="D154" s="24"/>
      <c r="E154" s="24"/>
      <c r="F154" s="24"/>
      <c r="G154" s="28"/>
      <c r="H154" s="56"/>
      <c r="I154" s="27">
        <f>SUM(I142:I153)</f>
        <v>887.8616714697406</v>
      </c>
      <c r="J154" s="77">
        <f>257217+48000+2871</f>
        <v>308088</v>
      </c>
      <c r="K154" s="77">
        <f>I154*A143</f>
        <v>308088</v>
      </c>
    </row>
    <row r="155" spans="1:11">
      <c r="A155" s="16" t="s">
        <v>74</v>
      </c>
      <c r="B155" s="17" t="s">
        <v>36</v>
      </c>
      <c r="C155" s="17" t="s">
        <v>17</v>
      </c>
      <c r="D155" s="17">
        <v>1</v>
      </c>
      <c r="E155" s="15">
        <f>247*8*(434/1974)</f>
        <v>434.43971631205676</v>
      </c>
      <c r="F155" s="48">
        <f>E155/434</f>
        <v>1.0010131712259371</v>
      </c>
      <c r="G155" s="55">
        <f>D155/E155*F155</f>
        <v>2.304147465437788E-3</v>
      </c>
      <c r="H155" s="18">
        <v>61062</v>
      </c>
      <c r="I155" s="20">
        <f>H155*G155</f>
        <v>140.69585253456222</v>
      </c>
    </row>
    <row r="156" spans="1:11" s="1" customFormat="1">
      <c r="A156" s="70">
        <v>434</v>
      </c>
      <c r="B156" s="6" t="s">
        <v>37</v>
      </c>
      <c r="C156" s="6" t="s">
        <v>17</v>
      </c>
      <c r="D156" s="6">
        <v>1</v>
      </c>
      <c r="E156" s="8">
        <f>247*8*(434/1974)</f>
        <v>434.43971631205676</v>
      </c>
      <c r="F156" s="39">
        <f>E156/434</f>
        <v>1.0010131712259371</v>
      </c>
      <c r="G156" s="54">
        <f>D156/E156*F156</f>
        <v>2.304147465437788E-3</v>
      </c>
      <c r="H156" s="7">
        <v>50400</v>
      </c>
      <c r="I156" s="22">
        <f t="shared" ref="I156:I168" si="61">H156*G156</f>
        <v>116.12903225806451</v>
      </c>
    </row>
    <row r="157" spans="1:11" s="1" customFormat="1">
      <c r="A157" s="21"/>
      <c r="B157" s="6" t="s">
        <v>122</v>
      </c>
      <c r="C157" s="6" t="s">
        <v>17</v>
      </c>
      <c r="D157" s="6">
        <v>1</v>
      </c>
      <c r="E157" s="8">
        <f t="shared" ref="E157:E168" si="62">247*8*(434/1974)</f>
        <v>434.43971631205676</v>
      </c>
      <c r="F157" s="39">
        <f t="shared" ref="F157:F168" si="63">E157/434</f>
        <v>1.0010131712259371</v>
      </c>
      <c r="G157" s="54">
        <f>D157/E157*F157</f>
        <v>2.304147465437788E-3</v>
      </c>
      <c r="H157" s="7">
        <v>24000</v>
      </c>
      <c r="I157" s="22">
        <f t="shared" si="61"/>
        <v>55.299539170506911</v>
      </c>
    </row>
    <row r="158" spans="1:11" s="1" customFormat="1">
      <c r="A158" s="21"/>
      <c r="B158" s="6" t="s">
        <v>124</v>
      </c>
      <c r="C158" s="6" t="s">
        <v>17</v>
      </c>
      <c r="D158" s="6">
        <v>1</v>
      </c>
      <c r="E158" s="8">
        <f t="shared" si="62"/>
        <v>434.43971631205676</v>
      </c>
      <c r="F158" s="39">
        <f t="shared" si="63"/>
        <v>1.0010131712259371</v>
      </c>
      <c r="G158" s="54">
        <f t="shared" ref="G158:G159" si="64">D158/E158*F158</f>
        <v>2.304147465437788E-3</v>
      </c>
      <c r="H158" s="7">
        <v>103920</v>
      </c>
      <c r="I158" s="22">
        <f t="shared" ref="I158:I159" si="65">H158*G158</f>
        <v>239.44700460829492</v>
      </c>
    </row>
    <row r="159" spans="1:11" s="1" customFormat="1">
      <c r="A159" s="21"/>
      <c r="B159" s="6" t="s">
        <v>115</v>
      </c>
      <c r="C159" s="6" t="s">
        <v>17</v>
      </c>
      <c r="D159" s="6">
        <v>1</v>
      </c>
      <c r="E159" s="8">
        <f t="shared" si="62"/>
        <v>434.43971631205676</v>
      </c>
      <c r="F159" s="39">
        <f t="shared" si="63"/>
        <v>1.0010131712259371</v>
      </c>
      <c r="G159" s="54">
        <f t="shared" si="64"/>
        <v>2.304147465437788E-3</v>
      </c>
      <c r="H159" s="7">
        <v>72000</v>
      </c>
      <c r="I159" s="22">
        <f t="shared" si="65"/>
        <v>165.89861751152074</v>
      </c>
    </row>
    <row r="160" spans="1:11" s="1" customFormat="1">
      <c r="A160" s="21"/>
      <c r="B160" s="6" t="s">
        <v>38</v>
      </c>
      <c r="C160" s="6" t="s">
        <v>17</v>
      </c>
      <c r="D160" s="6">
        <v>1</v>
      </c>
      <c r="E160" s="8">
        <f t="shared" si="62"/>
        <v>434.43971631205676</v>
      </c>
      <c r="F160" s="39">
        <f t="shared" si="63"/>
        <v>1.0010131712259371</v>
      </c>
      <c r="G160" s="54">
        <f t="shared" ref="G160:G168" si="66">D160/E160*F160</f>
        <v>2.304147465437788E-3</v>
      </c>
      <c r="H160" s="7">
        <f>15939+48000</f>
        <v>63939</v>
      </c>
      <c r="I160" s="22">
        <f t="shared" si="61"/>
        <v>147.32488479262673</v>
      </c>
    </row>
    <row r="161" spans="1:11" s="1" customFormat="1">
      <c r="A161" s="21"/>
      <c r="B161" s="6" t="s">
        <v>39</v>
      </c>
      <c r="C161" s="6" t="s">
        <v>17</v>
      </c>
      <c r="D161" s="6">
        <v>1</v>
      </c>
      <c r="E161" s="8">
        <f t="shared" si="62"/>
        <v>434.43971631205676</v>
      </c>
      <c r="F161" s="39">
        <f t="shared" si="63"/>
        <v>1.0010131712259371</v>
      </c>
      <c r="G161" s="54">
        <f t="shared" si="66"/>
        <v>2.304147465437788E-3</v>
      </c>
      <c r="H161" s="8">
        <v>18801</v>
      </c>
      <c r="I161" s="22">
        <f t="shared" si="61"/>
        <v>43.320276497695851</v>
      </c>
    </row>
    <row r="162" spans="1:11" s="1" customFormat="1">
      <c r="A162" s="21"/>
      <c r="B162" s="6" t="s">
        <v>92</v>
      </c>
      <c r="C162" s="6" t="s">
        <v>17</v>
      </c>
      <c r="D162" s="6">
        <v>1</v>
      </c>
      <c r="E162" s="8">
        <f t="shared" si="62"/>
        <v>434.43971631205676</v>
      </c>
      <c r="F162" s="39">
        <f t="shared" si="63"/>
        <v>1.0010131712259371</v>
      </c>
      <c r="G162" s="54">
        <f t="shared" si="66"/>
        <v>2.304147465437788E-3</v>
      </c>
      <c r="H162" s="8">
        <v>14981</v>
      </c>
      <c r="I162" s="22">
        <f t="shared" si="61"/>
        <v>34.518433179723502</v>
      </c>
    </row>
    <row r="163" spans="1:11" s="1" customFormat="1">
      <c r="A163" s="21"/>
      <c r="B163" s="6" t="s">
        <v>41</v>
      </c>
      <c r="C163" s="6" t="s">
        <v>17</v>
      </c>
      <c r="D163" s="6">
        <v>1</v>
      </c>
      <c r="E163" s="8">
        <f t="shared" si="62"/>
        <v>434.43971631205676</v>
      </c>
      <c r="F163" s="39">
        <f t="shared" si="63"/>
        <v>1.0010131712259371</v>
      </c>
      <c r="G163" s="54">
        <f t="shared" si="66"/>
        <v>2.304147465437788E-3</v>
      </c>
      <c r="H163" s="8">
        <v>21600</v>
      </c>
      <c r="I163" s="22">
        <f t="shared" si="61"/>
        <v>49.769585253456221</v>
      </c>
    </row>
    <row r="164" spans="1:11" s="1" customFormat="1">
      <c r="A164" s="21"/>
      <c r="B164" s="6" t="s">
        <v>93</v>
      </c>
      <c r="C164" s="6" t="s">
        <v>17</v>
      </c>
      <c r="D164" s="6">
        <v>1</v>
      </c>
      <c r="E164" s="8">
        <f t="shared" si="62"/>
        <v>434.43971631205676</v>
      </c>
      <c r="F164" s="39">
        <f t="shared" si="63"/>
        <v>1.0010131712259371</v>
      </c>
      <c r="G164" s="54">
        <f t="shared" si="66"/>
        <v>2.304147465437788E-3</v>
      </c>
      <c r="H164" s="8">
        <v>41000</v>
      </c>
      <c r="I164" s="22">
        <f t="shared" si="61"/>
        <v>94.47004608294931</v>
      </c>
    </row>
    <row r="165" spans="1:11" s="1" customFormat="1">
      <c r="A165" s="21"/>
      <c r="B165" s="6" t="s">
        <v>123</v>
      </c>
      <c r="C165" s="6" t="s">
        <v>17</v>
      </c>
      <c r="D165" s="6">
        <v>1</v>
      </c>
      <c r="E165" s="8">
        <f t="shared" si="62"/>
        <v>434.43971631205676</v>
      </c>
      <c r="F165" s="39">
        <f t="shared" si="63"/>
        <v>1.0010131712259371</v>
      </c>
      <c r="G165" s="54">
        <f t="shared" si="66"/>
        <v>2.304147465437788E-3</v>
      </c>
      <c r="H165" s="8">
        <v>16800</v>
      </c>
      <c r="I165" s="22">
        <f t="shared" si="61"/>
        <v>38.70967741935484</v>
      </c>
    </row>
    <row r="166" spans="1:11" s="1" customFormat="1">
      <c r="A166" s="21"/>
      <c r="B166" s="49" t="s">
        <v>91</v>
      </c>
      <c r="C166" s="6" t="s">
        <v>17</v>
      </c>
      <c r="D166" s="6">
        <v>1</v>
      </c>
      <c r="E166" s="8">
        <f t="shared" si="62"/>
        <v>434.43971631205676</v>
      </c>
      <c r="F166" s="39">
        <f t="shared" si="63"/>
        <v>1.0010131712259371</v>
      </c>
      <c r="G166" s="54">
        <f t="shared" si="66"/>
        <v>2.304147465437788E-3</v>
      </c>
      <c r="H166" s="8">
        <v>50400</v>
      </c>
      <c r="I166" s="22">
        <f t="shared" si="61"/>
        <v>116.12903225806451</v>
      </c>
    </row>
    <row r="167" spans="1:11" s="1" customFormat="1">
      <c r="A167" s="41"/>
      <c r="B167" s="72" t="s">
        <v>96</v>
      </c>
      <c r="C167" s="6" t="s">
        <v>17</v>
      </c>
      <c r="D167" s="6">
        <v>1</v>
      </c>
      <c r="E167" s="8">
        <f t="shared" si="62"/>
        <v>434.43971631205676</v>
      </c>
      <c r="F167" s="39">
        <f t="shared" si="63"/>
        <v>1.0010131712259371</v>
      </c>
      <c r="G167" s="54">
        <f t="shared" si="66"/>
        <v>2.304147465437788E-3</v>
      </c>
      <c r="H167" s="8">
        <v>2000</v>
      </c>
      <c r="I167" s="22">
        <f t="shared" si="61"/>
        <v>4.6082949308755756</v>
      </c>
    </row>
    <row r="168" spans="1:11" s="1" customFormat="1" ht="13.5" customHeight="1">
      <c r="A168" s="41"/>
      <c r="B168" s="72" t="s">
        <v>97</v>
      </c>
      <c r="C168" s="6" t="s">
        <v>17</v>
      </c>
      <c r="D168" s="6">
        <v>1</v>
      </c>
      <c r="E168" s="8">
        <f t="shared" si="62"/>
        <v>434.43971631205676</v>
      </c>
      <c r="F168" s="39">
        <f t="shared" si="63"/>
        <v>1.0010131712259371</v>
      </c>
      <c r="G168" s="54">
        <f t="shared" si="66"/>
        <v>2.304147465437788E-3</v>
      </c>
      <c r="H168" s="8">
        <v>1036</v>
      </c>
      <c r="I168" s="22">
        <f t="shared" si="61"/>
        <v>2.3870967741935485</v>
      </c>
    </row>
    <row r="169" spans="1:11" s="1" customFormat="1" ht="15.75" thickBot="1">
      <c r="A169" s="23"/>
      <c r="B169" s="24"/>
      <c r="C169" s="24"/>
      <c r="D169" s="24"/>
      <c r="E169" s="24"/>
      <c r="F169" s="24"/>
      <c r="G169" s="28"/>
      <c r="H169" s="56"/>
      <c r="I169" s="27">
        <f>SUM(I155:I168)</f>
        <v>1248.7073732718895</v>
      </c>
      <c r="J169" s="77">
        <f>490903+48000+3036</f>
        <v>541939</v>
      </c>
      <c r="K169" s="77">
        <f>I169*A156</f>
        <v>541939.00000000012</v>
      </c>
    </row>
  </sheetData>
  <mergeCells count="1">
    <mergeCell ref="A3:H3"/>
  </mergeCells>
  <pageMargins left="0.31496062992125984" right="0" top="0.35433070866141736" bottom="0" header="0.31496062992125984" footer="0.31496062992125984"/>
  <pageSetup paperSize="9" scale="9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6"/>
  <sheetViews>
    <sheetView topLeftCell="A40" workbookViewId="0">
      <selection activeCell="E50" sqref="E50"/>
    </sheetView>
  </sheetViews>
  <sheetFormatPr defaultRowHeight="15"/>
  <cols>
    <col min="1" max="1" width="16.7109375" customWidth="1"/>
    <col min="2" max="2" width="19.85546875" style="1" customWidth="1"/>
    <col min="3" max="3" width="18.42578125" style="1" customWidth="1"/>
    <col min="4" max="4" width="8.28515625" style="1" customWidth="1"/>
    <col min="5" max="5" width="12.28515625" style="1" customWidth="1"/>
    <col min="6" max="6" width="15.28515625" style="1" customWidth="1"/>
    <col min="7" max="7" width="10.7109375" customWidth="1"/>
    <col min="8" max="8" width="9.7109375" style="1" customWidth="1"/>
    <col min="9" max="9" width="9.140625" style="1"/>
    <col min="10" max="10" width="10" style="1" customWidth="1"/>
    <col min="11" max="18" width="9.140625" style="1"/>
  </cols>
  <sheetData>
    <row r="1" spans="1:11" ht="18.75">
      <c r="A1" s="85" t="s">
        <v>102</v>
      </c>
    </row>
    <row r="3" spans="1:11" ht="18.75">
      <c r="A3" s="96" t="s">
        <v>42</v>
      </c>
      <c r="B3" s="96"/>
      <c r="C3" s="96"/>
      <c r="D3" s="96"/>
      <c r="E3" s="96"/>
      <c r="F3" s="96"/>
      <c r="G3" s="96"/>
      <c r="H3" s="96"/>
    </row>
    <row r="4" spans="1:11" ht="15.75" thickBot="1">
      <c r="H4" s="73" t="s">
        <v>98</v>
      </c>
    </row>
    <row r="5" spans="1:11" ht="96" customHeight="1">
      <c r="A5" s="30" t="s">
        <v>2</v>
      </c>
      <c r="B5" s="31" t="s">
        <v>15</v>
      </c>
      <c r="C5" s="31" t="s">
        <v>14</v>
      </c>
      <c r="D5" s="31" t="s">
        <v>16</v>
      </c>
      <c r="E5" s="31" t="s">
        <v>27</v>
      </c>
      <c r="F5" s="31" t="s">
        <v>28</v>
      </c>
      <c r="G5" s="31" t="s">
        <v>29</v>
      </c>
      <c r="H5" s="31" t="s">
        <v>30</v>
      </c>
      <c r="I5" s="31" t="s">
        <v>11</v>
      </c>
      <c r="J5" s="2" t="s">
        <v>34</v>
      </c>
      <c r="K5" s="2" t="s">
        <v>33</v>
      </c>
    </row>
    <row r="6" spans="1:11" ht="15.75" thickBot="1">
      <c r="A6" s="5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31</v>
      </c>
      <c r="H6" s="11">
        <v>8</v>
      </c>
      <c r="I6" s="53" t="s">
        <v>32</v>
      </c>
    </row>
    <row r="7" spans="1:11" ht="18" customHeight="1">
      <c r="A7" s="16" t="s">
        <v>61</v>
      </c>
      <c r="B7" s="17" t="s">
        <v>43</v>
      </c>
      <c r="C7" s="58" t="s">
        <v>44</v>
      </c>
      <c r="D7" s="17">
        <v>1</v>
      </c>
      <c r="E7" s="19">
        <f>247*8*(122/1974)</f>
        <v>122.12360688956433</v>
      </c>
      <c r="F7" s="38">
        <f>E7/122</f>
        <v>1.0010131712259371</v>
      </c>
      <c r="G7" s="55">
        <f>D7/E7*F7</f>
        <v>8.1967213114754103E-3</v>
      </c>
      <c r="H7" s="18">
        <v>6898.1</v>
      </c>
      <c r="I7" s="20">
        <f>H7*G7</f>
        <v>56.541803278688533</v>
      </c>
      <c r="J7" s="1">
        <v>6898.1</v>
      </c>
      <c r="K7" s="1">
        <f>I7*122</f>
        <v>6898.1000000000013</v>
      </c>
    </row>
    <row r="8" spans="1:11">
      <c r="A8" s="21"/>
      <c r="B8" s="6" t="s">
        <v>94</v>
      </c>
      <c r="C8" s="49" t="s">
        <v>17</v>
      </c>
      <c r="D8" s="6"/>
      <c r="E8" s="6"/>
      <c r="F8" s="39"/>
      <c r="G8" s="54"/>
      <c r="H8" s="7"/>
      <c r="I8" s="22"/>
    </row>
    <row r="9" spans="1:11" s="1" customFormat="1" ht="15.75" thickBot="1">
      <c r="A9" s="41"/>
      <c r="B9" s="42"/>
      <c r="C9" s="42"/>
      <c r="D9" s="42"/>
      <c r="E9" s="42"/>
      <c r="F9" s="42"/>
      <c r="G9" s="88"/>
      <c r="H9" s="89"/>
      <c r="I9" s="90">
        <f>SUM(I7:I8)</f>
        <v>56.541803278688533</v>
      </c>
    </row>
    <row r="10" spans="1:11" ht="15" customHeight="1">
      <c r="A10" s="16" t="s">
        <v>63</v>
      </c>
      <c r="B10" s="17" t="s">
        <v>43</v>
      </c>
      <c r="C10" s="58" t="s">
        <v>44</v>
      </c>
      <c r="D10" s="17">
        <v>3</v>
      </c>
      <c r="E10" s="19">
        <f>247*8*(240/1974)</f>
        <v>240.24316109422492</v>
      </c>
      <c r="F10" s="38">
        <f>E10/240</f>
        <v>1.0010131712259371</v>
      </c>
      <c r="G10" s="55">
        <f>D10/E10*F10</f>
        <v>1.2500000000000001E-2</v>
      </c>
      <c r="H10" s="18">
        <v>6898</v>
      </c>
      <c r="I10" s="20">
        <f>H10*G10</f>
        <v>86.225000000000009</v>
      </c>
    </row>
    <row r="11" spans="1:11">
      <c r="A11" s="21"/>
      <c r="B11" s="6" t="s">
        <v>94</v>
      </c>
      <c r="C11" s="49" t="s">
        <v>17</v>
      </c>
      <c r="D11" s="6">
        <v>1</v>
      </c>
      <c r="E11" s="8">
        <f>247*8*(240/1974)</f>
        <v>240.24316109422492</v>
      </c>
      <c r="F11" s="39">
        <f>E11/240</f>
        <v>1.0010131712259371</v>
      </c>
      <c r="G11" s="54">
        <f>D11/E11*F11</f>
        <v>4.1666666666666666E-3</v>
      </c>
      <c r="H11" s="7">
        <v>24006</v>
      </c>
      <c r="I11" s="22">
        <f>H11*G11</f>
        <v>100.02500000000001</v>
      </c>
    </row>
    <row r="12" spans="1:11" s="1" customFormat="1" ht="15.75" thickBot="1">
      <c r="A12" s="23"/>
      <c r="B12" s="24"/>
      <c r="C12" s="24"/>
      <c r="D12" s="24"/>
      <c r="E12" s="24"/>
      <c r="F12" s="24"/>
      <c r="G12" s="28"/>
      <c r="H12" s="56"/>
      <c r="I12" s="27">
        <f>SUM(I10:I11)</f>
        <v>186.25</v>
      </c>
      <c r="J12" s="1">
        <v>44700</v>
      </c>
      <c r="K12" s="1">
        <f>I12*240</f>
        <v>44700</v>
      </c>
    </row>
    <row r="13" spans="1:11" ht="15" customHeight="1">
      <c r="A13" s="16" t="s">
        <v>64</v>
      </c>
      <c r="B13" s="17" t="s">
        <v>43</v>
      </c>
      <c r="C13" s="58" t="s">
        <v>44</v>
      </c>
      <c r="D13" s="17">
        <v>2</v>
      </c>
      <c r="E13" s="19">
        <f>247*8*(123/1974)</f>
        <v>123.12462006079028</v>
      </c>
      <c r="F13" s="38">
        <f>E13/123</f>
        <v>1.0010131712259371</v>
      </c>
      <c r="G13" s="55">
        <f>D13/E13*F13</f>
        <v>1.6260162601626015E-2</v>
      </c>
      <c r="H13" s="18">
        <v>6898</v>
      </c>
      <c r="I13" s="20">
        <f>H13*G13</f>
        <v>112.16260162601625</v>
      </c>
      <c r="K13" s="1">
        <f>I13*123</f>
        <v>13796</v>
      </c>
    </row>
    <row r="14" spans="1:11">
      <c r="A14" s="21"/>
      <c r="B14" s="6" t="s">
        <v>94</v>
      </c>
      <c r="C14" s="49" t="s">
        <v>17</v>
      </c>
      <c r="D14" s="6">
        <v>1</v>
      </c>
      <c r="E14" s="8">
        <f>247*8*(123/1974)</f>
        <v>123.12462006079028</v>
      </c>
      <c r="F14" s="39">
        <f>E14/123</f>
        <v>1.0010131712259371</v>
      </c>
      <c r="G14" s="54">
        <f>D14/E14*F14</f>
        <v>8.1300813008130073E-3</v>
      </c>
      <c r="H14" s="7">
        <v>15886</v>
      </c>
      <c r="I14" s="22">
        <f>H14*G14</f>
        <v>129.15447154471542</v>
      </c>
    </row>
    <row r="15" spans="1:11" s="1" customFormat="1" ht="15.75" thickBot="1">
      <c r="A15" s="23"/>
      <c r="B15" s="24"/>
      <c r="C15" s="24"/>
      <c r="D15" s="24"/>
      <c r="E15" s="24"/>
      <c r="F15" s="24"/>
      <c r="G15" s="28"/>
      <c r="H15" s="56"/>
      <c r="I15" s="27">
        <f>SUM(I13:I14)</f>
        <v>241.31707317073167</v>
      </c>
      <c r="J15" s="1">
        <f>26500+3182</f>
        <v>29682</v>
      </c>
      <c r="K15" s="1">
        <f>I15*123</f>
        <v>29681.999999999996</v>
      </c>
    </row>
    <row r="16" spans="1:11" ht="12.75" customHeight="1">
      <c r="A16" s="16" t="s">
        <v>65</v>
      </c>
      <c r="B16" s="17" t="s">
        <v>43</v>
      </c>
      <c r="C16" s="58" t="s">
        <v>44</v>
      </c>
      <c r="D16" s="17">
        <v>1</v>
      </c>
      <c r="E16" s="65">
        <f>247*8*(140/1974)</f>
        <v>140.1418439716312</v>
      </c>
      <c r="F16" s="48">
        <f>E16/140</f>
        <v>1.0010131712259371</v>
      </c>
      <c r="G16" s="55">
        <f>D16/E16*F16</f>
        <v>7.1428571428571426E-3</v>
      </c>
      <c r="H16" s="18">
        <v>6898</v>
      </c>
      <c r="I16" s="20">
        <f>H16*G16</f>
        <v>49.271428571428572</v>
      </c>
      <c r="K16" s="1">
        <f>I16*140</f>
        <v>6898</v>
      </c>
    </row>
    <row r="17" spans="1:11">
      <c r="A17" s="21"/>
      <c r="B17" s="6" t="s">
        <v>94</v>
      </c>
      <c r="C17" s="49" t="s">
        <v>17</v>
      </c>
      <c r="D17" s="6">
        <v>1</v>
      </c>
      <c r="E17" s="8">
        <f>247*8*(140/1974)</f>
        <v>140.1418439716312</v>
      </c>
      <c r="F17" s="39">
        <f>E17/140</f>
        <v>1.0010131712259371</v>
      </c>
      <c r="G17" s="54">
        <f>D17/E17*F17</f>
        <v>7.1428571428571426E-3</v>
      </c>
      <c r="H17" s="7">
        <v>1102</v>
      </c>
      <c r="I17" s="22">
        <f>H17*G17</f>
        <v>7.871428571428571</v>
      </c>
    </row>
    <row r="18" spans="1:11" s="1" customFormat="1" ht="15.75" thickBot="1">
      <c r="A18" s="23"/>
      <c r="B18" s="24"/>
      <c r="C18" s="24"/>
      <c r="D18" s="24"/>
      <c r="E18" s="24"/>
      <c r="F18" s="24"/>
      <c r="G18" s="28"/>
      <c r="H18" s="56"/>
      <c r="I18" s="27">
        <f>SUM(I16:I17)</f>
        <v>57.142857142857146</v>
      </c>
      <c r="J18" s="1">
        <v>8000</v>
      </c>
      <c r="K18" s="1">
        <f>I18*140</f>
        <v>8000</v>
      </c>
    </row>
    <row r="19" spans="1:11" ht="15" customHeight="1">
      <c r="A19" s="16" t="s">
        <v>66</v>
      </c>
      <c r="B19" s="17" t="s">
        <v>43</v>
      </c>
      <c r="C19" s="58" t="s">
        <v>44</v>
      </c>
      <c r="D19" s="17">
        <v>1</v>
      </c>
      <c r="E19" s="19">
        <f>247*8*(123/1974)</f>
        <v>123.12462006079028</v>
      </c>
      <c r="F19" s="38">
        <f>E19/123</f>
        <v>1.0010131712259371</v>
      </c>
      <c r="G19" s="55">
        <f>D19/E19*F19</f>
        <v>8.1300813008130073E-3</v>
      </c>
      <c r="H19" s="18">
        <v>2102.1999999999998</v>
      </c>
      <c r="I19" s="20">
        <f>H19*G19</f>
        <v>17.091056910569101</v>
      </c>
      <c r="K19" s="1">
        <f>I19*123</f>
        <v>2102.1999999999994</v>
      </c>
    </row>
    <row r="20" spans="1:11">
      <c r="A20" s="21"/>
      <c r="B20" s="6" t="s">
        <v>94</v>
      </c>
      <c r="C20" s="49" t="s">
        <v>17</v>
      </c>
      <c r="D20" s="6">
        <v>1</v>
      </c>
      <c r="E20" s="8">
        <f>247*8*(123/1974)</f>
        <v>123.12462006079028</v>
      </c>
      <c r="F20" s="39">
        <f>E20/123</f>
        <v>1.0010131712259371</v>
      </c>
      <c r="G20" s="54">
        <f>D20/E20*F20</f>
        <v>8.1300813008130073E-3</v>
      </c>
      <c r="H20" s="7"/>
      <c r="I20" s="22">
        <f>H20*G20</f>
        <v>0</v>
      </c>
    </row>
    <row r="21" spans="1:11" s="1" customFormat="1" ht="15.75" thickBot="1">
      <c r="A21" s="23"/>
      <c r="B21" s="24"/>
      <c r="C21" s="24"/>
      <c r="D21" s="24"/>
      <c r="E21" s="24"/>
      <c r="F21" s="24"/>
      <c r="G21" s="28"/>
      <c r="H21" s="56"/>
      <c r="I21" s="27">
        <f>SUM(I19:I20)</f>
        <v>17.091056910569101</v>
      </c>
      <c r="J21" s="1">
        <v>2102.1999999999998</v>
      </c>
      <c r="K21" s="1">
        <f>I21*123</f>
        <v>2102.1999999999994</v>
      </c>
    </row>
    <row r="22" spans="1:11" ht="14.25" customHeight="1">
      <c r="A22" s="16" t="s">
        <v>67</v>
      </c>
      <c r="B22" s="17" t="s">
        <v>43</v>
      </c>
      <c r="C22" s="58" t="s">
        <v>44</v>
      </c>
      <c r="D22" s="17">
        <v>3</v>
      </c>
      <c r="E22" s="65">
        <f>247*8*(220/1974)</f>
        <v>220.22289766970619</v>
      </c>
      <c r="F22" s="48">
        <f>E22/220</f>
        <v>1.0010131712259371</v>
      </c>
      <c r="G22" s="55">
        <f>D22/E22*F22</f>
        <v>1.3636363636363636E-2</v>
      </c>
      <c r="H22" s="18">
        <v>2102.1999999999998</v>
      </c>
      <c r="I22" s="20">
        <f>H22*G22</f>
        <v>28.666363636363631</v>
      </c>
      <c r="K22" s="1">
        <f>I22*220</f>
        <v>6306.5999999999985</v>
      </c>
    </row>
    <row r="23" spans="1:11">
      <c r="A23" s="21"/>
      <c r="B23" s="6" t="s">
        <v>94</v>
      </c>
      <c r="C23" s="49" t="s">
        <v>17</v>
      </c>
      <c r="D23" s="6">
        <v>1</v>
      </c>
      <c r="E23" s="8">
        <f>247*8*(220/1974)</f>
        <v>220.22289766970619</v>
      </c>
      <c r="F23" s="39">
        <f t="shared" ref="F23" si="0">E23/220</f>
        <v>1.0010131712259371</v>
      </c>
      <c r="G23" s="54">
        <f>D23/E23*F23</f>
        <v>4.5454545454545452E-3</v>
      </c>
      <c r="H23" s="7">
        <v>10693.4</v>
      </c>
      <c r="I23" s="22">
        <f>H23*G23</f>
        <v>48.606363636363632</v>
      </c>
      <c r="K23" s="1">
        <f>I23*220</f>
        <v>10693.4</v>
      </c>
    </row>
    <row r="24" spans="1:11" s="1" customFormat="1" ht="15.75" thickBot="1">
      <c r="A24" s="23"/>
      <c r="B24" s="24"/>
      <c r="C24" s="24"/>
      <c r="D24" s="24"/>
      <c r="E24" s="24"/>
      <c r="F24" s="24"/>
      <c r="G24" s="28"/>
      <c r="H24" s="56"/>
      <c r="I24" s="27">
        <f>SUM(I22:I23)</f>
        <v>77.272727272727266</v>
      </c>
      <c r="J24" s="1">
        <v>17000</v>
      </c>
      <c r="K24" s="1">
        <f>I24*220</f>
        <v>17000</v>
      </c>
    </row>
    <row r="25" spans="1:11" ht="13.5" customHeight="1">
      <c r="A25" s="16" t="s">
        <v>68</v>
      </c>
      <c r="B25" s="17" t="s">
        <v>43</v>
      </c>
      <c r="C25" s="58" t="s">
        <v>44</v>
      </c>
      <c r="D25" s="17">
        <v>3</v>
      </c>
      <c r="E25" s="65">
        <f>247*8*(250/1974)</f>
        <v>250.25329280648432</v>
      </c>
      <c r="F25" s="48">
        <f>E25/250</f>
        <v>1.0010131712259374</v>
      </c>
      <c r="G25" s="55">
        <f>D25/E25*F25</f>
        <v>1.2E-2</v>
      </c>
      <c r="H25" s="18">
        <v>2500</v>
      </c>
      <c r="I25" s="20">
        <f>H25*G25</f>
        <v>30</v>
      </c>
      <c r="K25" s="1">
        <f>I25*250</f>
        <v>7500</v>
      </c>
    </row>
    <row r="26" spans="1:11">
      <c r="A26" s="21"/>
      <c r="B26" s="6" t="s">
        <v>94</v>
      </c>
      <c r="C26" s="49" t="s">
        <v>17</v>
      </c>
      <c r="D26" s="6">
        <v>1</v>
      </c>
      <c r="E26" s="8">
        <f t="shared" ref="E26" si="1">247*8*(250/1974)</f>
        <v>250.25329280648432</v>
      </c>
      <c r="F26" s="39">
        <f t="shared" ref="F26" si="2">E26/250</f>
        <v>1.0010131712259374</v>
      </c>
      <c r="G26" s="54">
        <f>D26/E26*F26</f>
        <v>4.0000000000000001E-3</v>
      </c>
      <c r="H26" s="7">
        <v>16500</v>
      </c>
      <c r="I26" s="22">
        <f>H26*G26</f>
        <v>66</v>
      </c>
      <c r="K26" s="1">
        <f t="shared" ref="K26:K27" si="3">I26*250</f>
        <v>16500</v>
      </c>
    </row>
    <row r="27" spans="1:11" s="1" customFormat="1" ht="15.75" thickBot="1">
      <c r="A27" s="23"/>
      <c r="B27" s="24"/>
      <c r="C27" s="24"/>
      <c r="D27" s="24"/>
      <c r="E27" s="24"/>
      <c r="F27" s="24"/>
      <c r="G27" s="28"/>
      <c r="H27" s="56"/>
      <c r="I27" s="27">
        <f>SUM(I25:I26)</f>
        <v>96</v>
      </c>
      <c r="J27" s="1">
        <v>24000</v>
      </c>
      <c r="K27" s="1">
        <f t="shared" si="3"/>
        <v>24000</v>
      </c>
    </row>
    <row r="28" spans="1:11" ht="13.5" customHeight="1">
      <c r="A28" s="16" t="s">
        <v>69</v>
      </c>
      <c r="B28" s="17" t="s">
        <v>43</v>
      </c>
      <c r="C28" s="58" t="s">
        <v>44</v>
      </c>
      <c r="D28" s="17">
        <v>1</v>
      </c>
      <c r="E28" s="65">
        <f>247*8*(131/1974)</f>
        <v>131.13272543059779</v>
      </c>
      <c r="F28" s="48">
        <f>E28/131</f>
        <v>1.0010131712259374</v>
      </c>
      <c r="G28" s="55">
        <f>D28/E28*F28</f>
        <v>7.6335877862595426E-3</v>
      </c>
      <c r="H28" s="18">
        <v>2500</v>
      </c>
      <c r="I28" s="20">
        <f>H28*G28</f>
        <v>19.083969465648856</v>
      </c>
      <c r="K28" s="1">
        <f>I28*131</f>
        <v>2500</v>
      </c>
    </row>
    <row r="29" spans="1:11">
      <c r="A29" s="21"/>
      <c r="B29" s="6" t="s">
        <v>94</v>
      </c>
      <c r="C29" s="49" t="s">
        <v>17</v>
      </c>
      <c r="D29" s="6">
        <v>1</v>
      </c>
      <c r="E29" s="8">
        <f>247*8*(131/1974)</f>
        <v>131.13272543059779</v>
      </c>
      <c r="F29" s="39">
        <f>E29/131</f>
        <v>1.0010131712259374</v>
      </c>
      <c r="G29" s="54">
        <f>D29/E29*F29</f>
        <v>7.6335877862595426E-3</v>
      </c>
      <c r="H29" s="7">
        <v>4700</v>
      </c>
      <c r="I29" s="22">
        <f>H29*G29</f>
        <v>35.877862595419849</v>
      </c>
      <c r="K29" s="1">
        <f>I29*131</f>
        <v>4700</v>
      </c>
    </row>
    <row r="30" spans="1:11" s="1" customFormat="1" ht="15.75" thickBot="1">
      <c r="A30" s="23"/>
      <c r="B30" s="24"/>
      <c r="C30" s="24"/>
      <c r="D30" s="24"/>
      <c r="E30" s="24"/>
      <c r="F30" s="24"/>
      <c r="G30" s="28"/>
      <c r="H30" s="56"/>
      <c r="I30" s="27">
        <f>SUM(I28:I29)</f>
        <v>54.961832061068705</v>
      </c>
      <c r="J30" s="1">
        <v>7200</v>
      </c>
      <c r="K30" s="1">
        <f>I30*131</f>
        <v>7200</v>
      </c>
    </row>
    <row r="31" spans="1:11" ht="13.5" customHeight="1">
      <c r="A31" s="16" t="s">
        <v>70</v>
      </c>
      <c r="B31" s="17" t="s">
        <v>43</v>
      </c>
      <c r="C31" s="58" t="s">
        <v>44</v>
      </c>
      <c r="D31" s="17">
        <v>1</v>
      </c>
      <c r="E31" s="8">
        <f>247*8*(126/1974)</f>
        <v>126.12765957446807</v>
      </c>
      <c r="F31" s="48">
        <f>E31/126</f>
        <v>1.0010131712259371</v>
      </c>
      <c r="G31" s="55">
        <f>D31/E31*F31</f>
        <v>7.9365079365079361E-3</v>
      </c>
      <c r="H31" s="18">
        <v>4950</v>
      </c>
      <c r="I31" s="20">
        <f>H31*G31</f>
        <v>39.285714285714285</v>
      </c>
      <c r="K31" s="1">
        <f>I31*126</f>
        <v>4950</v>
      </c>
    </row>
    <row r="32" spans="1:11">
      <c r="A32" s="21"/>
      <c r="B32" s="6" t="s">
        <v>94</v>
      </c>
      <c r="C32" s="49" t="s">
        <v>17</v>
      </c>
      <c r="D32" s="6">
        <v>1</v>
      </c>
      <c r="E32" s="8">
        <f>247*8*(126/1974)</f>
        <v>126.12765957446807</v>
      </c>
      <c r="F32" s="39">
        <f>E32/126</f>
        <v>1.0010131712259371</v>
      </c>
      <c r="G32" s="54">
        <f>D32/E32*F32</f>
        <v>7.9365079365079361E-3</v>
      </c>
      <c r="H32" s="7"/>
      <c r="I32" s="22">
        <f>H32*G32</f>
        <v>0</v>
      </c>
      <c r="K32" s="1">
        <f t="shared" ref="K32:K33" si="4">I32*126</f>
        <v>0</v>
      </c>
    </row>
    <row r="33" spans="1:11" s="1" customFormat="1" ht="15.75" thickBot="1">
      <c r="A33" s="23"/>
      <c r="B33" s="24"/>
      <c r="C33" s="24"/>
      <c r="D33" s="24"/>
      <c r="E33" s="24"/>
      <c r="F33" s="24"/>
      <c r="G33" s="28"/>
      <c r="H33" s="56"/>
      <c r="I33" s="27">
        <f>SUM(I31:I32)</f>
        <v>39.285714285714285</v>
      </c>
      <c r="J33" s="1">
        <v>4950</v>
      </c>
      <c r="K33" s="1">
        <f t="shared" si="4"/>
        <v>4950</v>
      </c>
    </row>
    <row r="34" spans="1:11" s="1" customFormat="1" ht="15.75" thickBot="1">
      <c r="A34" s="59"/>
      <c r="B34" s="60"/>
      <c r="C34" s="60"/>
      <c r="D34" s="60"/>
      <c r="E34" s="68"/>
      <c r="F34" s="60"/>
      <c r="G34" s="62"/>
      <c r="H34" s="63"/>
      <c r="I34" s="63"/>
    </row>
    <row r="35" spans="1:11" ht="15" customHeight="1">
      <c r="A35" s="16" t="s">
        <v>72</v>
      </c>
      <c r="B35" s="17" t="s">
        <v>43</v>
      </c>
      <c r="C35" s="58" t="s">
        <v>44</v>
      </c>
      <c r="D35" s="17">
        <v>3</v>
      </c>
      <c r="E35" s="15">
        <f>247*8*(206/1974)</f>
        <v>206.20871327254306</v>
      </c>
      <c r="F35" s="48">
        <f>E35/206</f>
        <v>1.0010131712259371</v>
      </c>
      <c r="G35" s="55">
        <f>D35/E35*F35</f>
        <v>1.4563106796116504E-2</v>
      </c>
      <c r="H35" s="18">
        <v>4950</v>
      </c>
      <c r="I35" s="20">
        <f>H35*G35</f>
        <v>72.087378640776691</v>
      </c>
      <c r="K35" s="1">
        <f>I35*206</f>
        <v>14849.999999999998</v>
      </c>
    </row>
    <row r="36" spans="1:11">
      <c r="A36" s="21"/>
      <c r="B36" s="6" t="s">
        <v>94</v>
      </c>
      <c r="C36" s="49" t="s">
        <v>17</v>
      </c>
      <c r="D36" s="6">
        <v>1</v>
      </c>
      <c r="E36" s="8">
        <f>247*8*(206/1974)</f>
        <v>206.20871327254306</v>
      </c>
      <c r="F36" s="39">
        <f>E36/206</f>
        <v>1.0010131712259371</v>
      </c>
      <c r="G36" s="54">
        <f>D36/E36*F36</f>
        <v>4.8543689320388354E-3</v>
      </c>
      <c r="H36" s="7">
        <f>18800-14850</f>
        <v>3950</v>
      </c>
      <c r="I36" s="22">
        <f>H36*G36</f>
        <v>19.174757281553401</v>
      </c>
      <c r="K36" s="1">
        <f t="shared" ref="K36:K37" si="5">I36*206</f>
        <v>3950.0000000000005</v>
      </c>
    </row>
    <row r="37" spans="1:11" s="1" customFormat="1" ht="15.75" thickBot="1">
      <c r="A37" s="23"/>
      <c r="B37" s="24"/>
      <c r="C37" s="24"/>
      <c r="D37" s="24"/>
      <c r="E37" s="24"/>
      <c r="F37" s="24"/>
      <c r="G37" s="28"/>
      <c r="H37" s="56"/>
      <c r="I37" s="27">
        <f>SUM(I35:I36)</f>
        <v>91.262135922330089</v>
      </c>
      <c r="J37" s="1">
        <f>12800+6000</f>
        <v>18800</v>
      </c>
      <c r="K37" s="1">
        <f t="shared" si="5"/>
        <v>18800</v>
      </c>
    </row>
    <row r="38" spans="1:11" ht="12.75" customHeight="1">
      <c r="A38" s="16" t="s">
        <v>71</v>
      </c>
      <c r="B38" s="17" t="s">
        <v>43</v>
      </c>
      <c r="C38" s="58" t="s">
        <v>44</v>
      </c>
      <c r="D38" s="17">
        <v>3</v>
      </c>
      <c r="E38" s="67">
        <f>247*8*(275/1974)</f>
        <v>275.2786220871327</v>
      </c>
      <c r="F38" s="48">
        <f>E38/275</f>
        <v>1.0010131712259371</v>
      </c>
      <c r="G38" s="55">
        <f>D38/E38*F38</f>
        <v>1.090909090909091E-2</v>
      </c>
      <c r="H38" s="18">
        <v>4950</v>
      </c>
      <c r="I38" s="20">
        <f>H38*G38</f>
        <v>54.000000000000007</v>
      </c>
      <c r="K38" s="1">
        <f>I38*275</f>
        <v>14850.000000000002</v>
      </c>
    </row>
    <row r="39" spans="1:11">
      <c r="A39" s="21"/>
      <c r="B39" s="6" t="s">
        <v>94</v>
      </c>
      <c r="C39" s="49" t="s">
        <v>17</v>
      </c>
      <c r="D39" s="6">
        <v>1</v>
      </c>
      <c r="E39" s="8">
        <f t="shared" ref="E39" si="6">247*8*(275/1974)</f>
        <v>275.2786220871327</v>
      </c>
      <c r="F39" s="39">
        <f t="shared" ref="F39" si="7">E39/275</f>
        <v>1.0010131712259371</v>
      </c>
      <c r="G39" s="54">
        <f>D39/E39*F39</f>
        <v>3.6363636363636364E-3</v>
      </c>
      <c r="H39" s="7">
        <f>22800-14850</f>
        <v>7950</v>
      </c>
      <c r="I39" s="22">
        <f>H39*G39</f>
        <v>28.90909090909091</v>
      </c>
      <c r="K39" s="1">
        <f t="shared" ref="K39:K40" si="8">I39*275</f>
        <v>7950</v>
      </c>
    </row>
    <row r="40" spans="1:11" s="1" customFormat="1" ht="15.75" thickBot="1">
      <c r="A40" s="23"/>
      <c r="B40" s="24"/>
      <c r="C40" s="24"/>
      <c r="D40" s="24"/>
      <c r="E40" s="24"/>
      <c r="F40" s="24"/>
      <c r="G40" s="28"/>
      <c r="H40" s="56"/>
      <c r="I40" s="27">
        <f>SUM(I38:I39)</f>
        <v>82.909090909090921</v>
      </c>
      <c r="J40" s="1">
        <v>22800</v>
      </c>
      <c r="K40" s="1">
        <f t="shared" si="8"/>
        <v>22800.000000000004</v>
      </c>
    </row>
    <row r="41" spans="1:11" s="1" customFormat="1" ht="15.75" thickBot="1">
      <c r="A41" s="59"/>
      <c r="B41" s="60"/>
      <c r="C41" s="60"/>
      <c r="D41" s="60"/>
      <c r="E41" s="68"/>
      <c r="F41" s="60"/>
      <c r="G41" s="62"/>
      <c r="H41" s="63"/>
      <c r="I41" s="63"/>
    </row>
    <row r="42" spans="1:11" ht="13.5" customHeight="1">
      <c r="A42" s="16" t="s">
        <v>73</v>
      </c>
      <c r="B42" s="17" t="s">
        <v>43</v>
      </c>
      <c r="C42" s="58" t="s">
        <v>44</v>
      </c>
      <c r="D42" s="17">
        <v>3</v>
      </c>
      <c r="E42" s="15">
        <f>247*8*(347/1974)</f>
        <v>347.3515704154002</v>
      </c>
      <c r="F42" s="48">
        <f>E42/347</f>
        <v>1.0010131712259371</v>
      </c>
      <c r="G42" s="55">
        <f>D42/E42*F42</f>
        <v>8.6455331412103754E-3</v>
      </c>
      <c r="H42" s="18">
        <v>4950</v>
      </c>
      <c r="I42" s="20">
        <f>H42*G42</f>
        <v>42.79538904899136</v>
      </c>
      <c r="K42" s="1">
        <f>I42*347</f>
        <v>14850.000000000002</v>
      </c>
    </row>
    <row r="43" spans="1:11">
      <c r="A43" s="21"/>
      <c r="B43" s="6" t="s">
        <v>94</v>
      </c>
      <c r="C43" s="49" t="s">
        <v>17</v>
      </c>
      <c r="D43" s="6">
        <v>1</v>
      </c>
      <c r="E43" s="8">
        <f>247*8*(347/1974)</f>
        <v>347.3515704154002</v>
      </c>
      <c r="F43" s="39">
        <f>E43/347</f>
        <v>1.0010131712259371</v>
      </c>
      <c r="G43" s="54">
        <f>D43/E43*F43</f>
        <v>2.881844380403458E-3</v>
      </c>
      <c r="H43" s="7">
        <f>28847-14850</f>
        <v>13997</v>
      </c>
      <c r="I43" s="22">
        <f>H43*G43</f>
        <v>40.337175792507203</v>
      </c>
      <c r="K43" s="1">
        <f t="shared" ref="K43:K44" si="9">I43*347</f>
        <v>13997</v>
      </c>
    </row>
    <row r="44" spans="1:11" s="1" customFormat="1" ht="15.75" thickBot="1">
      <c r="A44" s="23"/>
      <c r="B44" s="24"/>
      <c r="C44" s="24"/>
      <c r="D44" s="24"/>
      <c r="E44" s="24"/>
      <c r="F44" s="24"/>
      <c r="G44" s="28"/>
      <c r="H44" s="56"/>
      <c r="I44" s="27">
        <f>SUM(I42:I43)</f>
        <v>83.132564841498564</v>
      </c>
      <c r="J44" s="1">
        <f>12800+6000</f>
        <v>18800</v>
      </c>
      <c r="K44" s="1">
        <f t="shared" si="9"/>
        <v>28847</v>
      </c>
    </row>
    <row r="45" spans="1:11" ht="15.75" customHeight="1">
      <c r="A45" s="16" t="s">
        <v>74</v>
      </c>
      <c r="B45" s="17" t="s">
        <v>43</v>
      </c>
      <c r="C45" s="58" t="s">
        <v>44</v>
      </c>
      <c r="D45" s="17">
        <v>5</v>
      </c>
      <c r="E45" s="15">
        <f>247*8*(434/1974)</f>
        <v>434.43971631205676</v>
      </c>
      <c r="F45" s="48">
        <f>E45/434</f>
        <v>1.0010131712259371</v>
      </c>
      <c r="G45" s="55">
        <f>D45/E45*F45</f>
        <v>1.1520737327188939E-2</v>
      </c>
      <c r="H45" s="18">
        <v>4950</v>
      </c>
      <c r="I45" s="20">
        <f>H45*G45</f>
        <v>57.027649769585246</v>
      </c>
      <c r="K45" s="1">
        <f>I45*434</f>
        <v>24749.999999999996</v>
      </c>
    </row>
    <row r="46" spans="1:11">
      <c r="A46" s="21"/>
      <c r="B46" s="6" t="s">
        <v>94</v>
      </c>
      <c r="C46" s="49" t="s">
        <v>17</v>
      </c>
      <c r="D46" s="6">
        <v>1</v>
      </c>
      <c r="E46" s="8">
        <f>247*8*(434/1974)</f>
        <v>434.43971631205676</v>
      </c>
      <c r="F46" s="39">
        <f>E46/434</f>
        <v>1.0010131712259371</v>
      </c>
      <c r="G46" s="54">
        <f>D46/E46*F46</f>
        <v>2.304147465437788E-3</v>
      </c>
      <c r="H46" s="7">
        <f>26100-24750</f>
        <v>1350</v>
      </c>
      <c r="I46" s="22">
        <f>H46*G46</f>
        <v>3.1105990783410138</v>
      </c>
      <c r="K46" s="1">
        <f t="shared" ref="K46:K47" si="10">I46*434</f>
        <v>1350</v>
      </c>
    </row>
    <row r="47" spans="1:11" s="1" customFormat="1" ht="15.75" thickBot="1">
      <c r="A47" s="23"/>
      <c r="B47" s="24"/>
      <c r="C47" s="24"/>
      <c r="D47" s="24"/>
      <c r="E47" s="24"/>
      <c r="F47" s="24"/>
      <c r="G47" s="28"/>
      <c r="H47" s="56"/>
      <c r="I47" s="27">
        <f>SUM(I45:I46)</f>
        <v>60.138248847926256</v>
      </c>
      <c r="J47" s="1">
        <v>26100</v>
      </c>
      <c r="K47" s="1">
        <f t="shared" si="10"/>
        <v>26099.999999999996</v>
      </c>
    </row>
    <row r="48" spans="1:11" s="1" customFormat="1">
      <c r="A48" s="59"/>
      <c r="B48" s="60"/>
      <c r="C48" s="60"/>
      <c r="D48" s="60"/>
      <c r="E48" s="60"/>
      <c r="F48" s="60"/>
      <c r="G48" s="62"/>
      <c r="H48" s="63"/>
      <c r="I48" s="63"/>
    </row>
    <row r="49" spans="1:12" ht="15.75" thickBot="1">
      <c r="I49" s="73"/>
    </row>
    <row r="50" spans="1:12" ht="60">
      <c r="A50" s="30" t="s">
        <v>2</v>
      </c>
      <c r="B50" s="31" t="s">
        <v>15</v>
      </c>
      <c r="C50" s="31" t="s">
        <v>14</v>
      </c>
      <c r="D50" s="31" t="s">
        <v>16</v>
      </c>
      <c r="E50" s="99" t="s">
        <v>27</v>
      </c>
      <c r="F50" s="31" t="s">
        <v>28</v>
      </c>
      <c r="G50" s="31" t="s">
        <v>29</v>
      </c>
      <c r="H50" s="31" t="s">
        <v>30</v>
      </c>
      <c r="I50" s="31" t="s">
        <v>47</v>
      </c>
      <c r="J50" s="31" t="s">
        <v>11</v>
      </c>
      <c r="K50" s="2" t="s">
        <v>34</v>
      </c>
      <c r="L50" s="2" t="s">
        <v>33</v>
      </c>
    </row>
    <row r="51" spans="1:12">
      <c r="A51" s="52">
        <v>1</v>
      </c>
      <c r="B51" s="12">
        <v>2</v>
      </c>
      <c r="C51" s="12">
        <v>3</v>
      </c>
      <c r="D51" s="12">
        <v>4</v>
      </c>
      <c r="E51" s="12">
        <v>5</v>
      </c>
      <c r="F51" s="12">
        <v>6</v>
      </c>
      <c r="G51" s="12" t="s">
        <v>31</v>
      </c>
      <c r="H51" s="11">
        <v>8</v>
      </c>
      <c r="I51" s="53">
        <v>9</v>
      </c>
      <c r="J51" s="53" t="s">
        <v>48</v>
      </c>
    </row>
    <row r="52" spans="1:12" ht="17.25" customHeight="1">
      <c r="A52" s="5" t="s">
        <v>61</v>
      </c>
      <c r="B52" s="6" t="s">
        <v>45</v>
      </c>
      <c r="C52" s="49" t="s">
        <v>46</v>
      </c>
      <c r="D52" s="6">
        <v>1</v>
      </c>
      <c r="E52" s="8">
        <f>247*8*(122/1974)</f>
        <v>122.12360688956433</v>
      </c>
      <c r="F52" s="39">
        <f>E52/122</f>
        <v>1.0010131712259371</v>
      </c>
      <c r="G52" s="54">
        <f t="shared" ref="G52:G58" si="11">D52/E52*F52</f>
        <v>8.1967213114754103E-3</v>
      </c>
      <c r="H52" s="7">
        <v>1520</v>
      </c>
      <c r="I52" s="8">
        <v>12</v>
      </c>
      <c r="J52" s="9">
        <f>I52*H52*G52</f>
        <v>149.50819672131149</v>
      </c>
      <c r="K52" s="1">
        <f>12000+6240</f>
        <v>18240</v>
      </c>
      <c r="L52" s="1">
        <f>J52*122</f>
        <v>18240.000000000004</v>
      </c>
    </row>
    <row r="53" spans="1:12" s="1" customFormat="1" ht="17.25" customHeight="1">
      <c r="A53" s="5" t="s">
        <v>63</v>
      </c>
      <c r="B53" s="6" t="s">
        <v>45</v>
      </c>
      <c r="C53" s="49" t="s">
        <v>46</v>
      </c>
      <c r="D53" s="6">
        <v>2</v>
      </c>
      <c r="E53" s="8">
        <f>247*8*(240/1974)</f>
        <v>240.24316109422492</v>
      </c>
      <c r="F53" s="39">
        <f>E53/240</f>
        <v>1.0010131712259371</v>
      </c>
      <c r="G53" s="54">
        <f t="shared" si="11"/>
        <v>8.3333333333333332E-3</v>
      </c>
      <c r="H53" s="7">
        <v>7.9722999999999997</v>
      </c>
      <c r="I53" s="8">
        <v>12</v>
      </c>
      <c r="J53" s="9">
        <f t="shared" ref="J53" si="12">I53*H53</f>
        <v>95.667599999999993</v>
      </c>
      <c r="K53" s="1">
        <f>7600+15360</f>
        <v>22960</v>
      </c>
      <c r="L53" s="91">
        <f>J53*240</f>
        <v>22960.223999999998</v>
      </c>
    </row>
    <row r="54" spans="1:12" s="1" customFormat="1" ht="17.25" customHeight="1">
      <c r="A54" s="5" t="s">
        <v>64</v>
      </c>
      <c r="B54" s="6" t="s">
        <v>45</v>
      </c>
      <c r="C54" s="49" t="s">
        <v>46</v>
      </c>
      <c r="D54" s="6">
        <v>1</v>
      </c>
      <c r="E54" s="8">
        <f>247*8*(123/1974)</f>
        <v>123.12462006079028</v>
      </c>
      <c r="F54" s="39">
        <f>E54/123</f>
        <v>1.0010131712259371</v>
      </c>
      <c r="G54" s="54">
        <f t="shared" si="11"/>
        <v>8.1300813008130073E-3</v>
      </c>
      <c r="H54" s="7">
        <v>14.430999999999999</v>
      </c>
      <c r="I54" s="8">
        <v>12</v>
      </c>
      <c r="J54" s="9">
        <f t="shared" ref="J54" si="13">I54*H54</f>
        <v>173.172</v>
      </c>
      <c r="K54" s="1">
        <f>6000+15300</f>
        <v>21300</v>
      </c>
      <c r="L54" s="91">
        <f>J54*123</f>
        <v>21300.155999999999</v>
      </c>
    </row>
    <row r="55" spans="1:12" s="1" customFormat="1" ht="17.25" customHeight="1">
      <c r="A55" s="5" t="s">
        <v>65</v>
      </c>
      <c r="B55" s="6" t="s">
        <v>45</v>
      </c>
      <c r="C55" s="49" t="s">
        <v>46</v>
      </c>
      <c r="D55" s="6">
        <v>1</v>
      </c>
      <c r="E55" s="8">
        <f>247*8*(140/1974)</f>
        <v>140.1418439716312</v>
      </c>
      <c r="F55" s="39">
        <f>E55/140</f>
        <v>1.0010131712259371</v>
      </c>
      <c r="G55" s="54">
        <f t="shared" si="11"/>
        <v>7.1428571428571426E-3</v>
      </c>
      <c r="H55" s="7">
        <v>13.144</v>
      </c>
      <c r="I55" s="8">
        <v>12</v>
      </c>
      <c r="J55" s="9">
        <f t="shared" ref="J55:J56" si="14">I55*H55</f>
        <v>157.72800000000001</v>
      </c>
      <c r="K55" s="1">
        <f>9000+13082</f>
        <v>22082</v>
      </c>
      <c r="L55" s="91">
        <f>J55*140</f>
        <v>22081.920000000002</v>
      </c>
    </row>
    <row r="56" spans="1:12" s="1" customFormat="1" ht="17.25" customHeight="1">
      <c r="A56" s="5" t="s">
        <v>66</v>
      </c>
      <c r="B56" s="6" t="s">
        <v>45</v>
      </c>
      <c r="C56" s="49" t="s">
        <v>46</v>
      </c>
      <c r="D56" s="6">
        <v>1</v>
      </c>
      <c r="E56" s="8">
        <f>247*8*(123/1974)</f>
        <v>123.12462006079028</v>
      </c>
      <c r="F56" s="39">
        <f>E56/123</f>
        <v>1.0010131712259371</v>
      </c>
      <c r="G56" s="54">
        <f t="shared" si="11"/>
        <v>8.1300813008130073E-3</v>
      </c>
      <c r="H56" s="7">
        <v>16.234999999999999</v>
      </c>
      <c r="I56" s="8">
        <v>12</v>
      </c>
      <c r="J56" s="9">
        <f t="shared" si="14"/>
        <v>194.82</v>
      </c>
      <c r="K56" s="1">
        <f>9864+14099.4</f>
        <v>23963.4</v>
      </c>
      <c r="L56" s="91">
        <f>J56*123</f>
        <v>23962.86</v>
      </c>
    </row>
    <row r="57" spans="1:12" s="1" customFormat="1" ht="17.25" customHeight="1">
      <c r="A57" s="5" t="s">
        <v>67</v>
      </c>
      <c r="B57" s="6" t="s">
        <v>45</v>
      </c>
      <c r="C57" s="49" t="s">
        <v>46</v>
      </c>
      <c r="D57" s="6">
        <v>2</v>
      </c>
      <c r="E57" s="8">
        <f>247*8*(220/1974)</f>
        <v>220.22289766970619</v>
      </c>
      <c r="F57" s="39">
        <f>E57/220</f>
        <v>1.0010131712259371</v>
      </c>
      <c r="G57" s="54">
        <f t="shared" si="11"/>
        <v>9.0909090909090905E-3</v>
      </c>
      <c r="H57" s="7">
        <v>9.5604999999999993</v>
      </c>
      <c r="I57" s="8">
        <v>12</v>
      </c>
      <c r="J57" s="9">
        <f t="shared" ref="J57" si="15">I57*H57</f>
        <v>114.726</v>
      </c>
      <c r="K57" s="1">
        <f>9000+16240</f>
        <v>25240</v>
      </c>
      <c r="L57" s="91">
        <f>J57*220</f>
        <v>25239.72</v>
      </c>
    </row>
    <row r="58" spans="1:12" s="1" customFormat="1" ht="17.25" customHeight="1">
      <c r="A58" s="5" t="s">
        <v>68</v>
      </c>
      <c r="B58" s="6" t="s">
        <v>45</v>
      </c>
      <c r="C58" s="49" t="s">
        <v>46</v>
      </c>
      <c r="D58" s="6">
        <v>2</v>
      </c>
      <c r="E58" s="8">
        <f>247*8*(250/1974)</f>
        <v>250.25329280648432</v>
      </c>
      <c r="F58" s="39">
        <f>E58/250</f>
        <v>1.0010131712259374</v>
      </c>
      <c r="G58" s="54">
        <f t="shared" si="11"/>
        <v>8.0000000000000002E-3</v>
      </c>
      <c r="H58" s="7">
        <v>6.5547000000000004</v>
      </c>
      <c r="I58" s="8">
        <v>12</v>
      </c>
      <c r="J58" s="9">
        <f t="shared" ref="J58" si="16">I58*H58</f>
        <v>78.656400000000005</v>
      </c>
      <c r="K58" s="1">
        <f>7200+12464.64</f>
        <v>19664.64</v>
      </c>
      <c r="L58" s="3">
        <f>J58*250</f>
        <v>19664.100000000002</v>
      </c>
    </row>
    <row r="59" spans="1:12" s="1" customFormat="1" ht="17.25" customHeight="1">
      <c r="A59" s="5" t="s">
        <v>69</v>
      </c>
      <c r="B59" s="6" t="s">
        <v>45</v>
      </c>
      <c r="C59" s="49" t="s">
        <v>46</v>
      </c>
      <c r="D59" s="6">
        <v>1</v>
      </c>
      <c r="E59" s="8">
        <f>247*8*(131/1974)</f>
        <v>131.13272543059779</v>
      </c>
      <c r="F59" s="39">
        <f>E59/131</f>
        <v>1.0010131712259374</v>
      </c>
      <c r="G59" s="54">
        <f t="shared" ref="G59" si="17">D59/E59*F59</f>
        <v>7.6335877862595426E-3</v>
      </c>
      <c r="H59" s="7">
        <v>10.708</v>
      </c>
      <c r="I59" s="8">
        <v>12</v>
      </c>
      <c r="J59" s="9">
        <f t="shared" ref="J59" si="18">I59*H59</f>
        <v>128.49600000000001</v>
      </c>
      <c r="K59" s="1">
        <f>9000+7833</f>
        <v>16833</v>
      </c>
      <c r="L59" s="3">
        <f>J59*131</f>
        <v>16832.976000000002</v>
      </c>
    </row>
    <row r="60" spans="1:12" s="1" customFormat="1" ht="17.25" customHeight="1">
      <c r="A60" s="5" t="s">
        <v>70</v>
      </c>
      <c r="B60" s="6" t="s">
        <v>45</v>
      </c>
      <c r="C60" s="49" t="s">
        <v>46</v>
      </c>
      <c r="D60" s="6">
        <v>1</v>
      </c>
      <c r="E60" s="8">
        <f>247*8*(126/1974)</f>
        <v>126.12765957446807</v>
      </c>
      <c r="F60" s="39">
        <f>E60/126</f>
        <v>1.0010131712259371</v>
      </c>
      <c r="G60" s="54">
        <f t="shared" ref="G60" si="19">D60/E60*F60</f>
        <v>7.9365079365079361E-3</v>
      </c>
      <c r="H60" s="7">
        <v>10.567</v>
      </c>
      <c r="I60" s="8">
        <v>12</v>
      </c>
      <c r="J60" s="9">
        <f t="shared" ref="J60" si="20">I60*H60</f>
        <v>126.804</v>
      </c>
      <c r="K60" s="1">
        <f>21137.86-12000+6840</f>
        <v>15977.86</v>
      </c>
      <c r="L60" s="3">
        <f>J60*126</f>
        <v>15977.304</v>
      </c>
    </row>
    <row r="62" spans="1:12" s="1" customFormat="1" ht="17.25" customHeight="1">
      <c r="A62" s="5" t="s">
        <v>72</v>
      </c>
      <c r="B62" s="6" t="s">
        <v>45</v>
      </c>
      <c r="C62" s="49" t="s">
        <v>46</v>
      </c>
      <c r="D62" s="6">
        <v>2</v>
      </c>
      <c r="E62" s="8">
        <f>247*8*(206/1974)</f>
        <v>206.20871327254306</v>
      </c>
      <c r="F62" s="39">
        <f>E62/206</f>
        <v>1.0010131712259371</v>
      </c>
      <c r="G62" s="54">
        <f t="shared" ref="G62" si="21">D62/E62*F62</f>
        <v>9.7087378640776708E-3</v>
      </c>
      <c r="H62" s="7">
        <v>8.6750000000000007</v>
      </c>
      <c r="I62" s="8">
        <v>12</v>
      </c>
      <c r="J62" s="9">
        <f t="shared" ref="J62" si="22">I62*H62</f>
        <v>104.10000000000001</v>
      </c>
      <c r="K62" s="1">
        <f>9000+12444</f>
        <v>21444</v>
      </c>
      <c r="L62" s="3">
        <f>J62*206</f>
        <v>21444.600000000002</v>
      </c>
    </row>
    <row r="63" spans="1:12" s="1" customFormat="1" ht="17.25" customHeight="1">
      <c r="A63" s="5" t="s">
        <v>71</v>
      </c>
      <c r="B63" s="6" t="s">
        <v>45</v>
      </c>
      <c r="C63" s="49" t="s">
        <v>46</v>
      </c>
      <c r="D63" s="6">
        <v>2</v>
      </c>
      <c r="E63" s="8">
        <f>247*8*(275/1974)</f>
        <v>275.2786220871327</v>
      </c>
      <c r="F63" s="39">
        <f>E63/275</f>
        <v>1.0010131712259371</v>
      </c>
      <c r="G63" s="54">
        <f t="shared" ref="G63" si="23">D63/E63*F63</f>
        <v>7.2727272727272727E-3</v>
      </c>
      <c r="H63" s="7">
        <v>10.570600000000001</v>
      </c>
      <c r="I63" s="8">
        <v>12</v>
      </c>
      <c r="J63" s="9">
        <f t="shared" ref="J63" si="24">I63*H63</f>
        <v>126.84720000000002</v>
      </c>
      <c r="K63" s="1">
        <f>15019.2+19864</f>
        <v>34883.199999999997</v>
      </c>
      <c r="L63" s="3">
        <f>J63*275</f>
        <v>34882.980000000003</v>
      </c>
    </row>
    <row r="65" spans="1:12" s="1" customFormat="1" ht="17.25" customHeight="1">
      <c r="A65" s="5" t="s">
        <v>73</v>
      </c>
      <c r="B65" s="6" t="s">
        <v>45</v>
      </c>
      <c r="C65" s="49" t="s">
        <v>46</v>
      </c>
      <c r="D65" s="6">
        <v>2</v>
      </c>
      <c r="E65" s="8">
        <f>247*8*(347/1974)</f>
        <v>347.3515704154002</v>
      </c>
      <c r="F65" s="39">
        <f>E65/347</f>
        <v>1.0010131712259371</v>
      </c>
      <c r="G65" s="54">
        <f t="shared" ref="G65:G66" si="25">D65/E65*F65</f>
        <v>5.763688760806916E-3</v>
      </c>
      <c r="H65" s="7">
        <v>9.5495999999999999</v>
      </c>
      <c r="I65" s="8">
        <v>12</v>
      </c>
      <c r="J65" s="9">
        <f t="shared" ref="J65:J66" si="26">I65*H65</f>
        <v>114.59520000000001</v>
      </c>
      <c r="K65" s="1">
        <f>31200-15436+24000</f>
        <v>39764</v>
      </c>
      <c r="L65" s="3">
        <f>J65*347</f>
        <v>39764.534400000004</v>
      </c>
    </row>
    <row r="66" spans="1:12" s="1" customFormat="1" ht="17.25" customHeight="1">
      <c r="A66" s="5" t="s">
        <v>74</v>
      </c>
      <c r="B66" s="6" t="s">
        <v>45</v>
      </c>
      <c r="C66" s="49" t="s">
        <v>46</v>
      </c>
      <c r="D66" s="6">
        <v>2</v>
      </c>
      <c r="E66" s="8">
        <f>247*8*(434/1974)</f>
        <v>434.43971631205676</v>
      </c>
      <c r="F66" s="39">
        <f>E66/434</f>
        <v>1.0010131712259371</v>
      </c>
      <c r="G66" s="54">
        <f t="shared" si="25"/>
        <v>4.608294930875576E-3</v>
      </c>
      <c r="H66" s="7">
        <v>10.4505</v>
      </c>
      <c r="I66" s="8">
        <v>12</v>
      </c>
      <c r="J66" s="9">
        <f t="shared" si="26"/>
        <v>125.40600000000001</v>
      </c>
      <c r="K66" s="1">
        <f>20920+33506</f>
        <v>54426</v>
      </c>
      <c r="L66" s="3">
        <f>J66*434</f>
        <v>54426.204000000005</v>
      </c>
    </row>
  </sheetData>
  <mergeCells count="1">
    <mergeCell ref="A3:H3"/>
  </mergeCells>
  <pageMargins left="0.70866141732283472" right="0.70866141732283472" top="0.35433070866141736" bottom="0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91"/>
  <sheetViews>
    <sheetView zoomScale="80" zoomScaleNormal="80" workbookViewId="0">
      <pane xSplit="3" ySplit="6" topLeftCell="D234" activePane="bottomRight" state="frozen"/>
      <selection pane="topRight" activeCell="D1" sqref="D1"/>
      <selection pane="bottomLeft" activeCell="A7" sqref="A7"/>
      <selection pane="bottomRight" activeCell="C201" sqref="C201:C220"/>
    </sheetView>
  </sheetViews>
  <sheetFormatPr defaultRowHeight="15"/>
  <cols>
    <col min="1" max="1" width="17" customWidth="1"/>
    <col min="2" max="2" width="38" style="1" customWidth="1"/>
    <col min="3" max="3" width="9.7109375" style="1" customWidth="1"/>
    <col min="4" max="4" width="11.42578125" style="1" customWidth="1"/>
    <col min="5" max="5" width="8.42578125" style="1" customWidth="1"/>
    <col min="6" max="6" width="10.42578125" style="1" customWidth="1"/>
    <col min="7" max="7" width="12.5703125" customWidth="1"/>
    <col min="8" max="8" width="11.7109375" customWidth="1"/>
    <col min="9" max="9" width="9.42578125" style="1" customWidth="1"/>
    <col min="10" max="10" width="10.85546875" style="1" customWidth="1"/>
    <col min="11" max="11" width="11.28515625" style="1" customWidth="1"/>
    <col min="12" max="12" width="10.28515625" style="1" customWidth="1"/>
    <col min="13" max="13" width="6.5703125" style="1" customWidth="1"/>
    <col min="14" max="20" width="9.140625" style="1"/>
  </cols>
  <sheetData>
    <row r="1" spans="1:13" ht="18.75">
      <c r="A1" s="85" t="s">
        <v>102</v>
      </c>
    </row>
    <row r="3" spans="1:13" ht="18.75">
      <c r="A3" s="96" t="s">
        <v>49</v>
      </c>
      <c r="B3" s="96"/>
      <c r="C3" s="96"/>
      <c r="D3" s="96"/>
      <c r="E3" s="96"/>
      <c r="F3" s="96"/>
      <c r="G3" s="96"/>
      <c r="H3" s="96"/>
      <c r="I3" s="96"/>
      <c r="J3" s="96"/>
    </row>
    <row r="5" spans="1:13" ht="117" customHeight="1">
      <c r="A5" s="4" t="s">
        <v>2</v>
      </c>
      <c r="B5" s="4" t="s">
        <v>4</v>
      </c>
      <c r="C5" s="4" t="s">
        <v>0</v>
      </c>
      <c r="D5" s="4" t="s">
        <v>13</v>
      </c>
      <c r="E5" s="4" t="s">
        <v>3</v>
      </c>
      <c r="F5" s="4" t="s">
        <v>1</v>
      </c>
      <c r="G5" s="4" t="s">
        <v>5</v>
      </c>
      <c r="H5" s="4" t="s">
        <v>7</v>
      </c>
      <c r="I5" s="4" t="s">
        <v>9</v>
      </c>
      <c r="J5" s="4" t="s">
        <v>11</v>
      </c>
      <c r="K5" s="2" t="s">
        <v>33</v>
      </c>
      <c r="L5" s="2" t="s">
        <v>34</v>
      </c>
      <c r="M5" s="2"/>
    </row>
    <row r="6" spans="1:13" ht="15.75" thickBot="1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6</v>
      </c>
      <c r="H6" s="11" t="s">
        <v>8</v>
      </c>
      <c r="I6" s="12" t="s">
        <v>10</v>
      </c>
      <c r="J6" s="12" t="s">
        <v>12</v>
      </c>
    </row>
    <row r="7" spans="1:13">
      <c r="A7" s="16" t="s">
        <v>61</v>
      </c>
      <c r="B7" s="17" t="s">
        <v>103</v>
      </c>
      <c r="C7" s="17">
        <v>1</v>
      </c>
      <c r="D7" s="17">
        <v>27442.1</v>
      </c>
      <c r="E7" s="17">
        <v>122</v>
      </c>
      <c r="F7" s="17">
        <v>1974</v>
      </c>
      <c r="G7" s="18">
        <f>C7*F7</f>
        <v>1974</v>
      </c>
      <c r="H7" s="18">
        <f>G7/E7</f>
        <v>16.180327868852459</v>
      </c>
      <c r="I7" s="19">
        <f>D7*12*1.302/1974</f>
        <v>217.20130212765955</v>
      </c>
      <c r="J7" s="20">
        <f>I7*H7</f>
        <v>3514.3882819672126</v>
      </c>
    </row>
    <row r="8" spans="1:13">
      <c r="A8" s="21"/>
      <c r="B8" s="6" t="s">
        <v>104</v>
      </c>
      <c r="C8" s="6"/>
      <c r="D8" s="6"/>
      <c r="E8" s="6">
        <v>122</v>
      </c>
      <c r="F8" s="6">
        <v>1974</v>
      </c>
      <c r="G8" s="7">
        <f t="shared" ref="G8:G9" si="0">C8*F8</f>
        <v>0</v>
      </c>
      <c r="H8" s="7">
        <f t="shared" ref="H8:H9" si="1">G8/E8</f>
        <v>0</v>
      </c>
      <c r="I8" s="8">
        <f t="shared" ref="I8:I9" si="2">D8*12*1.302/1974</f>
        <v>0</v>
      </c>
      <c r="J8" s="22">
        <f t="shared" ref="J8:J9" si="3">I8*H8</f>
        <v>0</v>
      </c>
    </row>
    <row r="9" spans="1:13">
      <c r="A9" s="21"/>
      <c r="B9" s="6" t="s">
        <v>106</v>
      </c>
      <c r="C9" s="6">
        <v>1</v>
      </c>
      <c r="D9" s="6">
        <v>19748.599999999999</v>
      </c>
      <c r="E9" s="6">
        <v>122</v>
      </c>
      <c r="F9" s="6">
        <v>1974</v>
      </c>
      <c r="G9" s="7">
        <f t="shared" si="0"/>
        <v>1974</v>
      </c>
      <c r="H9" s="7">
        <f t="shared" si="1"/>
        <v>16.180327868852459</v>
      </c>
      <c r="I9" s="8">
        <f t="shared" si="2"/>
        <v>156.30806808510638</v>
      </c>
      <c r="J9" s="22">
        <f t="shared" si="3"/>
        <v>2529.1157901639344</v>
      </c>
    </row>
    <row r="10" spans="1:13">
      <c r="A10" s="21"/>
      <c r="B10" s="6" t="s">
        <v>105</v>
      </c>
      <c r="C10" s="6">
        <v>5</v>
      </c>
      <c r="D10" s="6">
        <f>9622+3000</f>
        <v>12622</v>
      </c>
      <c r="E10" s="6">
        <v>122</v>
      </c>
      <c r="F10" s="6">
        <v>1974</v>
      </c>
      <c r="G10" s="7">
        <f t="shared" ref="G10:G21" si="4">C10*F10</f>
        <v>9870</v>
      </c>
      <c r="H10" s="7">
        <f>G10/E10</f>
        <v>80.901639344262293</v>
      </c>
      <c r="I10" s="8">
        <f t="shared" ref="I10:I21" si="5">D10*12*1.302/1974</f>
        <v>99.901787234042558</v>
      </c>
      <c r="J10" s="22">
        <f t="shared" ref="J10:J21" si="6">I10*H10</f>
        <v>8082.2183606557383</v>
      </c>
    </row>
    <row r="11" spans="1:13">
      <c r="A11" s="21"/>
      <c r="B11" s="6" t="s">
        <v>107</v>
      </c>
      <c r="C11" s="6">
        <v>0.5</v>
      </c>
      <c r="D11" s="6">
        <v>11320</v>
      </c>
      <c r="E11" s="6">
        <v>122</v>
      </c>
      <c r="F11" s="6">
        <v>1974</v>
      </c>
      <c r="G11" s="7">
        <f t="shared" si="4"/>
        <v>987</v>
      </c>
      <c r="H11" s="7">
        <f t="shared" ref="H11:H21" si="7">G11/E11</f>
        <v>8.0901639344262293</v>
      </c>
      <c r="I11" s="8">
        <f t="shared" si="5"/>
        <v>89.596595744680855</v>
      </c>
      <c r="J11" s="22">
        <f t="shared" si="6"/>
        <v>724.85114754098356</v>
      </c>
    </row>
    <row r="12" spans="1:13">
      <c r="A12" s="21"/>
      <c r="B12" s="6" t="s">
        <v>108</v>
      </c>
      <c r="C12" s="86">
        <v>2</v>
      </c>
      <c r="D12" s="6">
        <v>9544</v>
      </c>
      <c r="E12" s="6">
        <v>122</v>
      </c>
      <c r="F12" s="6">
        <v>1974</v>
      </c>
      <c r="G12" s="7">
        <f t="shared" si="4"/>
        <v>3948</v>
      </c>
      <c r="H12" s="7">
        <f t="shared" si="7"/>
        <v>32.360655737704917</v>
      </c>
      <c r="I12" s="8">
        <f t="shared" si="5"/>
        <v>75.539744680851072</v>
      </c>
      <c r="J12" s="22">
        <f>I12*H12</f>
        <v>2444.5156721311478</v>
      </c>
    </row>
    <row r="13" spans="1:13">
      <c r="A13" s="21"/>
      <c r="B13" s="6" t="s">
        <v>109</v>
      </c>
      <c r="C13" s="86">
        <v>1</v>
      </c>
      <c r="D13" s="6">
        <v>9544</v>
      </c>
      <c r="E13" s="6">
        <v>122</v>
      </c>
      <c r="F13" s="6">
        <v>1974</v>
      </c>
      <c r="G13" s="7">
        <f t="shared" si="4"/>
        <v>1974</v>
      </c>
      <c r="H13" s="7">
        <f t="shared" si="7"/>
        <v>16.180327868852459</v>
      </c>
      <c r="I13" s="8">
        <f t="shared" si="5"/>
        <v>75.539744680851072</v>
      </c>
      <c r="J13" s="22">
        <f t="shared" si="6"/>
        <v>1222.2578360655739</v>
      </c>
    </row>
    <row r="14" spans="1:13">
      <c r="A14" s="21"/>
      <c r="B14" s="6" t="s">
        <v>114</v>
      </c>
      <c r="C14" s="86">
        <v>1</v>
      </c>
      <c r="D14" s="6">
        <v>9544</v>
      </c>
      <c r="E14" s="6">
        <v>122</v>
      </c>
      <c r="F14" s="6">
        <v>1974</v>
      </c>
      <c r="G14" s="7">
        <f t="shared" si="4"/>
        <v>1974</v>
      </c>
      <c r="H14" s="7">
        <f t="shared" si="7"/>
        <v>16.180327868852459</v>
      </c>
      <c r="I14" s="8">
        <f t="shared" si="5"/>
        <v>75.539744680851072</v>
      </c>
      <c r="J14" s="22">
        <f t="shared" si="6"/>
        <v>1222.2578360655739</v>
      </c>
    </row>
    <row r="15" spans="1:13">
      <c r="A15" s="21"/>
      <c r="B15" s="6" t="s">
        <v>110</v>
      </c>
      <c r="C15" s="86">
        <v>0.5</v>
      </c>
      <c r="D15" s="6">
        <v>9544</v>
      </c>
      <c r="E15" s="6">
        <v>122</v>
      </c>
      <c r="F15" s="6">
        <v>1974</v>
      </c>
      <c r="G15" s="7">
        <f t="shared" ref="G15:G19" si="8">C15*F15</f>
        <v>987</v>
      </c>
      <c r="H15" s="7">
        <f t="shared" ref="H15:H19" si="9">G15/E15</f>
        <v>8.0901639344262293</v>
      </c>
      <c r="I15" s="8">
        <f t="shared" ref="I15:I19" si="10">D15*12*1.302/1974</f>
        <v>75.539744680851072</v>
      </c>
      <c r="J15" s="22">
        <f t="shared" ref="J15:J19" si="11">I15*H15</f>
        <v>611.12891803278694</v>
      </c>
    </row>
    <row r="16" spans="1:13">
      <c r="A16" s="21"/>
      <c r="B16" s="6" t="s">
        <v>111</v>
      </c>
      <c r="C16" s="86">
        <v>0.5</v>
      </c>
      <c r="D16" s="6">
        <v>9544</v>
      </c>
      <c r="E16" s="6">
        <v>122</v>
      </c>
      <c r="F16" s="6">
        <v>1974</v>
      </c>
      <c r="G16" s="7">
        <f t="shared" si="8"/>
        <v>987</v>
      </c>
      <c r="H16" s="7">
        <f t="shared" si="9"/>
        <v>8.0901639344262293</v>
      </c>
      <c r="I16" s="8">
        <f t="shared" si="10"/>
        <v>75.539744680851072</v>
      </c>
      <c r="J16" s="22">
        <f t="shared" si="11"/>
        <v>611.12891803278694</v>
      </c>
    </row>
    <row r="17" spans="1:13">
      <c r="A17" s="21"/>
      <c r="B17" s="6" t="s">
        <v>112</v>
      </c>
      <c r="C17" s="86">
        <v>0.5</v>
      </c>
      <c r="D17" s="6">
        <v>9544</v>
      </c>
      <c r="E17" s="6">
        <v>122</v>
      </c>
      <c r="F17" s="6">
        <v>1974</v>
      </c>
      <c r="G17" s="7">
        <f t="shared" si="8"/>
        <v>987</v>
      </c>
      <c r="H17" s="7">
        <f t="shared" si="9"/>
        <v>8.0901639344262293</v>
      </c>
      <c r="I17" s="8">
        <f t="shared" si="10"/>
        <v>75.539744680851072</v>
      </c>
      <c r="J17" s="22">
        <f t="shared" si="11"/>
        <v>611.12891803278694</v>
      </c>
    </row>
    <row r="18" spans="1:13">
      <c r="A18" s="21"/>
      <c r="B18" s="6" t="s">
        <v>113</v>
      </c>
      <c r="C18" s="86">
        <v>1</v>
      </c>
      <c r="D18" s="6">
        <v>9544</v>
      </c>
      <c r="E18" s="6">
        <v>122</v>
      </c>
      <c r="F18" s="6">
        <v>1974</v>
      </c>
      <c r="G18" s="7">
        <f t="shared" si="8"/>
        <v>1974</v>
      </c>
      <c r="H18" s="7">
        <f t="shared" si="9"/>
        <v>16.180327868852459</v>
      </c>
      <c r="I18" s="8">
        <f t="shared" si="10"/>
        <v>75.539744680851072</v>
      </c>
      <c r="J18" s="22">
        <f t="shared" si="11"/>
        <v>1222.2578360655739</v>
      </c>
    </row>
    <row r="19" spans="1:13">
      <c r="A19" s="21"/>
      <c r="B19" s="6" t="s">
        <v>50</v>
      </c>
      <c r="C19" s="86">
        <v>0.75</v>
      </c>
      <c r="D19" s="6">
        <v>9544</v>
      </c>
      <c r="E19" s="6">
        <v>122</v>
      </c>
      <c r="F19" s="6">
        <v>1974</v>
      </c>
      <c r="G19" s="7">
        <f t="shared" si="8"/>
        <v>1480.5</v>
      </c>
      <c r="H19" s="7">
        <f t="shared" si="9"/>
        <v>12.135245901639344</v>
      </c>
      <c r="I19" s="8">
        <f t="shared" si="10"/>
        <v>75.539744680851072</v>
      </c>
      <c r="J19" s="22">
        <f t="shared" si="11"/>
        <v>916.69337704918041</v>
      </c>
    </row>
    <row r="20" spans="1:13">
      <c r="A20" s="21"/>
      <c r="B20" s="6" t="s">
        <v>51</v>
      </c>
      <c r="C20" s="86">
        <v>3</v>
      </c>
      <c r="D20" s="8">
        <f>9544+72.168</f>
        <v>9616.1679999999997</v>
      </c>
      <c r="E20" s="6">
        <v>122</v>
      </c>
      <c r="F20" s="6">
        <v>1974</v>
      </c>
      <c r="G20" s="7">
        <f t="shared" si="4"/>
        <v>5922</v>
      </c>
      <c r="H20" s="7">
        <f t="shared" si="7"/>
        <v>48.540983606557376</v>
      </c>
      <c r="I20" s="8">
        <f t="shared" si="5"/>
        <v>76.110946723404268</v>
      </c>
      <c r="J20" s="22">
        <f t="shared" si="6"/>
        <v>3694.5002171803285</v>
      </c>
    </row>
    <row r="21" spans="1:13">
      <c r="A21" s="21"/>
      <c r="B21" s="6" t="s">
        <v>52</v>
      </c>
      <c r="C21" s="86">
        <v>2</v>
      </c>
      <c r="D21" s="6">
        <v>9544</v>
      </c>
      <c r="E21" s="6">
        <v>122</v>
      </c>
      <c r="F21" s="6">
        <v>1974</v>
      </c>
      <c r="G21" s="7">
        <f t="shared" si="4"/>
        <v>3948</v>
      </c>
      <c r="H21" s="7">
        <f t="shared" si="7"/>
        <v>32.360655737704917</v>
      </c>
      <c r="I21" s="8">
        <f t="shared" si="5"/>
        <v>75.539744680851072</v>
      </c>
      <c r="J21" s="22">
        <f t="shared" si="6"/>
        <v>2444.5156721311478</v>
      </c>
    </row>
    <row r="22" spans="1:13" ht="15.75" thickBot="1">
      <c r="A22" s="23"/>
      <c r="B22" s="24"/>
      <c r="C22" s="24">
        <f>SUM(C7:C21)</f>
        <v>19.75</v>
      </c>
      <c r="D22" s="24"/>
      <c r="E22" s="24"/>
      <c r="F22" s="24"/>
      <c r="G22" s="25"/>
      <c r="H22" s="25"/>
      <c r="I22" s="26"/>
      <c r="J22" s="27">
        <f>SUM(J7:J21)</f>
        <v>29850.958781114761</v>
      </c>
    </row>
    <row r="23" spans="1:13" ht="15.75" thickBot="1">
      <c r="A23" s="81"/>
      <c r="B23" s="82"/>
      <c r="C23" s="82"/>
      <c r="D23" s="82"/>
      <c r="E23" s="82"/>
      <c r="F23" s="82"/>
      <c r="G23" s="87"/>
      <c r="H23" s="97" t="s">
        <v>98</v>
      </c>
      <c r="I23" s="98"/>
      <c r="J23" s="84">
        <f>J7+J8+J9+J10+J11</f>
        <v>14850.573580327869</v>
      </c>
      <c r="K23" s="77">
        <f>J23*122</f>
        <v>1811769.9768000001</v>
      </c>
      <c r="L23" s="77">
        <f>1391528+420242</f>
        <v>1811770</v>
      </c>
      <c r="M23" s="77">
        <f>L23-K23</f>
        <v>2.3199999937787652E-2</v>
      </c>
    </row>
    <row r="24" spans="1:13" ht="15.75" thickBot="1">
      <c r="A24" s="81"/>
      <c r="B24" s="82"/>
      <c r="C24" s="82"/>
      <c r="D24" s="82"/>
      <c r="E24" s="82"/>
      <c r="F24" s="82"/>
      <c r="G24" s="87"/>
      <c r="H24" s="97" t="s">
        <v>95</v>
      </c>
      <c r="I24" s="98"/>
      <c r="J24" s="84">
        <f>J22-J23</f>
        <v>15000.385200786892</v>
      </c>
      <c r="K24" s="77">
        <f>J24*122</f>
        <v>1830046.9944960007</v>
      </c>
      <c r="L24" s="77">
        <f>1404967+424300+780</f>
        <v>1830047</v>
      </c>
      <c r="M24" s="77">
        <f>L24-K24</f>
        <v>5.5039993021637201E-3</v>
      </c>
    </row>
    <row r="25" spans="1:13">
      <c r="A25" s="5" t="s">
        <v>63</v>
      </c>
      <c r="B25" s="17" t="s">
        <v>103</v>
      </c>
      <c r="C25" s="17">
        <v>1</v>
      </c>
      <c r="D25" s="17">
        <v>30119</v>
      </c>
      <c r="E25" s="17">
        <v>240</v>
      </c>
      <c r="F25" s="17">
        <v>1974</v>
      </c>
      <c r="G25" s="18">
        <f>C25*F25</f>
        <v>1974</v>
      </c>
      <c r="H25" s="18">
        <f>G25/E25</f>
        <v>8.2249999999999996</v>
      </c>
      <c r="I25" s="19">
        <f>D25*12*1.302/1974</f>
        <v>238.38868085106384</v>
      </c>
      <c r="J25" s="20">
        <f>I25*H25</f>
        <v>1960.7469000000001</v>
      </c>
    </row>
    <row r="26" spans="1:13">
      <c r="A26" s="21"/>
      <c r="B26" s="6" t="s">
        <v>104</v>
      </c>
      <c r="C26" s="6">
        <v>2</v>
      </c>
      <c r="D26" s="8">
        <v>17713.445</v>
      </c>
      <c r="E26" s="6">
        <v>240</v>
      </c>
      <c r="F26" s="6">
        <v>1974</v>
      </c>
      <c r="G26" s="7">
        <f t="shared" ref="G26:G43" si="12">C26*F26</f>
        <v>3948</v>
      </c>
      <c r="H26" s="7">
        <f t="shared" ref="H26:H27" si="13">G26/E26</f>
        <v>16.45</v>
      </c>
      <c r="I26" s="8">
        <f t="shared" ref="I26:I43" si="14">D26*12*1.302/1974</f>
        <v>140.20003276595745</v>
      </c>
      <c r="J26" s="22">
        <f t="shared" ref="J26:J28" si="15">I26*H26</f>
        <v>2306.2905390000001</v>
      </c>
    </row>
    <row r="27" spans="1:13">
      <c r="A27" s="21"/>
      <c r="B27" s="6" t="s">
        <v>106</v>
      </c>
      <c r="C27" s="6"/>
      <c r="D27" s="6"/>
      <c r="E27" s="6">
        <v>240</v>
      </c>
      <c r="F27" s="6">
        <v>1974</v>
      </c>
      <c r="G27" s="7">
        <f t="shared" si="12"/>
        <v>0</v>
      </c>
      <c r="H27" s="7">
        <f t="shared" si="13"/>
        <v>0</v>
      </c>
      <c r="I27" s="8">
        <f t="shared" si="14"/>
        <v>0</v>
      </c>
      <c r="J27" s="22">
        <f t="shared" si="15"/>
        <v>0</v>
      </c>
    </row>
    <row r="28" spans="1:13">
      <c r="A28" s="21"/>
      <c r="B28" s="6" t="s">
        <v>105</v>
      </c>
      <c r="C28" s="6">
        <v>14</v>
      </c>
      <c r="D28" s="6">
        <f>9544+3000-1000-1000</f>
        <v>10544</v>
      </c>
      <c r="E28" s="6">
        <v>240</v>
      </c>
      <c r="F28" s="6">
        <v>1974</v>
      </c>
      <c r="G28" s="7">
        <f t="shared" si="12"/>
        <v>27636</v>
      </c>
      <c r="H28" s="7">
        <f>G28/E28</f>
        <v>115.15</v>
      </c>
      <c r="I28" s="8">
        <f t="shared" si="14"/>
        <v>83.45463829787235</v>
      </c>
      <c r="J28" s="22">
        <f t="shared" si="15"/>
        <v>9609.8016000000007</v>
      </c>
    </row>
    <row r="29" spans="1:13">
      <c r="A29" s="21"/>
      <c r="B29" s="6" t="s">
        <v>118</v>
      </c>
      <c r="C29" s="6">
        <v>1</v>
      </c>
      <c r="D29" s="6">
        <v>9544</v>
      </c>
      <c r="E29" s="6">
        <v>240</v>
      </c>
      <c r="F29" s="6">
        <v>1974</v>
      </c>
      <c r="G29" s="7">
        <f t="shared" si="12"/>
        <v>1974</v>
      </c>
      <c r="H29" s="7">
        <f t="shared" ref="H29:H41" si="16">G29/E29</f>
        <v>8.2249999999999996</v>
      </c>
      <c r="I29" s="8">
        <f t="shared" ref="I29:I41" si="17">D29*12*1.302/1974</f>
        <v>75.539744680851072</v>
      </c>
      <c r="J29" s="22">
        <f t="shared" ref="J29:J41" si="18">I29*H29</f>
        <v>621.31440000000009</v>
      </c>
    </row>
    <row r="30" spans="1:13">
      <c r="A30" s="21"/>
      <c r="B30" s="6" t="s">
        <v>117</v>
      </c>
      <c r="C30" s="6">
        <v>0.5</v>
      </c>
      <c r="D30" s="6">
        <v>9544</v>
      </c>
      <c r="E30" s="6">
        <v>240</v>
      </c>
      <c r="F30" s="6">
        <v>1974</v>
      </c>
      <c r="G30" s="7">
        <f t="shared" si="12"/>
        <v>987</v>
      </c>
      <c r="H30" s="7">
        <f t="shared" si="16"/>
        <v>4.1124999999999998</v>
      </c>
      <c r="I30" s="8">
        <f t="shared" si="17"/>
        <v>75.539744680851072</v>
      </c>
      <c r="J30" s="22">
        <f t="shared" si="18"/>
        <v>310.65720000000005</v>
      </c>
    </row>
    <row r="31" spans="1:13">
      <c r="A31" s="21"/>
      <c r="B31" s="6" t="s">
        <v>107</v>
      </c>
      <c r="C31" s="6">
        <v>1</v>
      </c>
      <c r="D31" s="6">
        <v>9544</v>
      </c>
      <c r="E31" s="6">
        <v>240</v>
      </c>
      <c r="F31" s="6">
        <v>1974</v>
      </c>
      <c r="G31" s="7">
        <f t="shared" si="12"/>
        <v>1974</v>
      </c>
      <c r="H31" s="7">
        <f t="shared" si="16"/>
        <v>8.2249999999999996</v>
      </c>
      <c r="I31" s="8">
        <f t="shared" si="17"/>
        <v>75.539744680851072</v>
      </c>
      <c r="J31" s="22">
        <f t="shared" si="18"/>
        <v>621.31440000000009</v>
      </c>
    </row>
    <row r="32" spans="1:13">
      <c r="A32" s="21"/>
      <c r="B32" s="6" t="s">
        <v>108</v>
      </c>
      <c r="C32" s="86">
        <v>2</v>
      </c>
      <c r="D32" s="6">
        <v>9544</v>
      </c>
      <c r="E32" s="6">
        <v>240</v>
      </c>
      <c r="F32" s="6">
        <v>1974</v>
      </c>
      <c r="G32" s="7">
        <f t="shared" si="12"/>
        <v>3948</v>
      </c>
      <c r="H32" s="7">
        <f t="shared" si="16"/>
        <v>16.45</v>
      </c>
      <c r="I32" s="8">
        <f t="shared" si="17"/>
        <v>75.539744680851072</v>
      </c>
      <c r="J32" s="22">
        <f t="shared" si="18"/>
        <v>1242.6288000000002</v>
      </c>
    </row>
    <row r="33" spans="1:13">
      <c r="A33" s="21"/>
      <c r="B33" s="6" t="s">
        <v>116</v>
      </c>
      <c r="C33" s="86">
        <v>1</v>
      </c>
      <c r="D33" s="6">
        <v>9544</v>
      </c>
      <c r="E33" s="6">
        <v>240</v>
      </c>
      <c r="F33" s="6">
        <v>1974</v>
      </c>
      <c r="G33" s="7">
        <f t="shared" si="12"/>
        <v>1974</v>
      </c>
      <c r="H33" s="7">
        <f t="shared" si="16"/>
        <v>8.2249999999999996</v>
      </c>
      <c r="I33" s="8">
        <f t="shared" si="17"/>
        <v>75.539744680851072</v>
      </c>
      <c r="J33" s="22">
        <f t="shared" si="18"/>
        <v>621.31440000000009</v>
      </c>
    </row>
    <row r="34" spans="1:13">
      <c r="A34" s="21"/>
      <c r="B34" s="6" t="s">
        <v>109</v>
      </c>
      <c r="C34" s="86">
        <v>3.25</v>
      </c>
      <c r="D34" s="6">
        <f>9544-700+200</f>
        <v>9044</v>
      </c>
      <c r="E34" s="6">
        <v>240</v>
      </c>
      <c r="F34" s="6">
        <v>1974</v>
      </c>
      <c r="G34" s="7">
        <f t="shared" si="12"/>
        <v>6415.5</v>
      </c>
      <c r="H34" s="7">
        <f t="shared" si="16"/>
        <v>26.731249999999999</v>
      </c>
      <c r="I34" s="8">
        <f t="shared" si="17"/>
        <v>71.582297872340433</v>
      </c>
      <c r="J34" s="22">
        <f t="shared" si="18"/>
        <v>1913.4843000000001</v>
      </c>
    </row>
    <row r="35" spans="1:13">
      <c r="A35" s="21"/>
      <c r="B35" s="6" t="s">
        <v>114</v>
      </c>
      <c r="C35" s="86">
        <v>2.5</v>
      </c>
      <c r="D35" s="92">
        <f>9544-700+160.39</f>
        <v>9004.39</v>
      </c>
      <c r="E35" s="6">
        <v>240</v>
      </c>
      <c r="F35" s="6">
        <v>1974</v>
      </c>
      <c r="G35" s="7">
        <f t="shared" si="12"/>
        <v>4935</v>
      </c>
      <c r="H35" s="7">
        <f t="shared" si="16"/>
        <v>20.5625</v>
      </c>
      <c r="I35" s="8">
        <f t="shared" si="17"/>
        <v>71.26878893617021</v>
      </c>
      <c r="J35" s="22">
        <f t="shared" si="18"/>
        <v>1465.4644725000001</v>
      </c>
    </row>
    <row r="36" spans="1:13">
      <c r="A36" s="21"/>
      <c r="B36" s="6" t="s">
        <v>110</v>
      </c>
      <c r="C36" s="86">
        <v>1</v>
      </c>
      <c r="D36" s="6">
        <v>9544</v>
      </c>
      <c r="E36" s="6">
        <v>240</v>
      </c>
      <c r="F36" s="6">
        <v>1974</v>
      </c>
      <c r="G36" s="7">
        <f t="shared" si="12"/>
        <v>1974</v>
      </c>
      <c r="H36" s="7">
        <f t="shared" si="16"/>
        <v>8.2249999999999996</v>
      </c>
      <c r="I36" s="8">
        <f t="shared" si="17"/>
        <v>75.539744680851072</v>
      </c>
      <c r="J36" s="22">
        <f t="shared" si="18"/>
        <v>621.31440000000009</v>
      </c>
    </row>
    <row r="37" spans="1:13">
      <c r="A37" s="21"/>
      <c r="B37" s="6" t="s">
        <v>111</v>
      </c>
      <c r="C37" s="86">
        <v>1</v>
      </c>
      <c r="D37" s="6">
        <v>9544</v>
      </c>
      <c r="E37" s="6">
        <v>240</v>
      </c>
      <c r="F37" s="6">
        <v>1974</v>
      </c>
      <c r="G37" s="7">
        <f t="shared" si="12"/>
        <v>1974</v>
      </c>
      <c r="H37" s="7">
        <f t="shared" si="16"/>
        <v>8.2249999999999996</v>
      </c>
      <c r="I37" s="8">
        <f t="shared" si="17"/>
        <v>75.539744680851072</v>
      </c>
      <c r="J37" s="22">
        <f t="shared" si="18"/>
        <v>621.31440000000009</v>
      </c>
    </row>
    <row r="38" spans="1:13">
      <c r="A38" s="21"/>
      <c r="B38" s="6" t="s">
        <v>112</v>
      </c>
      <c r="C38" s="86">
        <v>1</v>
      </c>
      <c r="D38" s="6">
        <v>9544</v>
      </c>
      <c r="E38" s="6">
        <v>240</v>
      </c>
      <c r="F38" s="6">
        <v>1974</v>
      </c>
      <c r="G38" s="7">
        <f t="shared" si="12"/>
        <v>1974</v>
      </c>
      <c r="H38" s="7">
        <f t="shared" si="16"/>
        <v>8.2249999999999996</v>
      </c>
      <c r="I38" s="8">
        <f t="shared" si="17"/>
        <v>75.539744680851072</v>
      </c>
      <c r="J38" s="22">
        <f t="shared" si="18"/>
        <v>621.31440000000009</v>
      </c>
    </row>
    <row r="39" spans="1:13">
      <c r="A39" s="21"/>
      <c r="B39" s="6" t="s">
        <v>113</v>
      </c>
      <c r="C39" s="86">
        <v>2</v>
      </c>
      <c r="D39" s="6">
        <v>9544</v>
      </c>
      <c r="E39" s="6">
        <v>240</v>
      </c>
      <c r="F39" s="6">
        <v>1974</v>
      </c>
      <c r="G39" s="7">
        <f t="shared" si="12"/>
        <v>3948</v>
      </c>
      <c r="H39" s="7">
        <f t="shared" si="16"/>
        <v>16.45</v>
      </c>
      <c r="I39" s="8">
        <f t="shared" si="17"/>
        <v>75.539744680851072</v>
      </c>
      <c r="J39" s="22">
        <f t="shared" si="18"/>
        <v>1242.6288000000002</v>
      </c>
    </row>
    <row r="40" spans="1:13">
      <c r="A40" s="21"/>
      <c r="B40" s="6" t="s">
        <v>50</v>
      </c>
      <c r="C40" s="86">
        <v>2</v>
      </c>
      <c r="D40" s="6">
        <v>9544</v>
      </c>
      <c r="E40" s="6">
        <v>240</v>
      </c>
      <c r="F40" s="6">
        <v>1974</v>
      </c>
      <c r="G40" s="7">
        <f t="shared" si="12"/>
        <v>3948</v>
      </c>
      <c r="H40" s="7">
        <f t="shared" si="16"/>
        <v>16.45</v>
      </c>
      <c r="I40" s="8">
        <f t="shared" si="17"/>
        <v>75.539744680851072</v>
      </c>
      <c r="J40" s="22">
        <f t="shared" si="18"/>
        <v>1242.6288000000002</v>
      </c>
    </row>
    <row r="41" spans="1:13">
      <c r="A41" s="21"/>
      <c r="B41" s="6" t="s">
        <v>119</v>
      </c>
      <c r="C41" s="86">
        <v>1</v>
      </c>
      <c r="D41" s="6">
        <v>9544</v>
      </c>
      <c r="E41" s="6">
        <v>240</v>
      </c>
      <c r="F41" s="6">
        <v>1974</v>
      </c>
      <c r="G41" s="7">
        <f t="shared" si="12"/>
        <v>1974</v>
      </c>
      <c r="H41" s="7">
        <f t="shared" si="16"/>
        <v>8.2249999999999996</v>
      </c>
      <c r="I41" s="8">
        <f t="shared" si="17"/>
        <v>75.539744680851072</v>
      </c>
      <c r="J41" s="22">
        <f t="shared" si="18"/>
        <v>621.31440000000009</v>
      </c>
    </row>
    <row r="42" spans="1:13">
      <c r="A42" s="21"/>
      <c r="B42" s="6" t="s">
        <v>51</v>
      </c>
      <c r="C42" s="86">
        <v>3</v>
      </c>
      <c r="D42" s="93">
        <v>9544</v>
      </c>
      <c r="E42" s="6">
        <v>240</v>
      </c>
      <c r="F42" s="6">
        <v>1974</v>
      </c>
      <c r="G42" s="7">
        <f t="shared" si="12"/>
        <v>5922</v>
      </c>
      <c r="H42" s="7">
        <f t="shared" ref="H42:H43" si="19">G42/E42</f>
        <v>24.675000000000001</v>
      </c>
      <c r="I42" s="8">
        <f t="shared" si="14"/>
        <v>75.539744680851072</v>
      </c>
      <c r="J42" s="22">
        <f t="shared" ref="J42:J43" si="20">I42*H42</f>
        <v>1863.9432000000002</v>
      </c>
    </row>
    <row r="43" spans="1:13">
      <c r="A43" s="21"/>
      <c r="B43" s="6" t="s">
        <v>52</v>
      </c>
      <c r="C43" s="86">
        <v>2.25</v>
      </c>
      <c r="D43" s="6">
        <v>9544</v>
      </c>
      <c r="E43" s="6">
        <v>240</v>
      </c>
      <c r="F43" s="6">
        <v>1974</v>
      </c>
      <c r="G43" s="7">
        <f t="shared" si="12"/>
        <v>4441.5</v>
      </c>
      <c r="H43" s="7">
        <f t="shared" si="19"/>
        <v>18.506250000000001</v>
      </c>
      <c r="I43" s="8">
        <f t="shared" si="14"/>
        <v>75.539744680851072</v>
      </c>
      <c r="J43" s="22">
        <f t="shared" si="20"/>
        <v>1397.9574000000002</v>
      </c>
    </row>
    <row r="44" spans="1:13" ht="15.75" thickBot="1">
      <c r="A44" s="23"/>
      <c r="B44" s="24"/>
      <c r="C44" s="24">
        <f>SUM(C25:C43)</f>
        <v>41.5</v>
      </c>
      <c r="D44" s="24"/>
      <c r="E44" s="24"/>
      <c r="F44" s="24"/>
      <c r="G44" s="25"/>
      <c r="H44" s="25"/>
      <c r="I44" s="26"/>
      <c r="J44" s="27">
        <f>SUM(J25:J43)</f>
        <v>28905.432811499992</v>
      </c>
    </row>
    <row r="45" spans="1:13" ht="15.75" thickBot="1">
      <c r="A45" s="81"/>
      <c r="B45" s="82"/>
      <c r="C45" s="82"/>
      <c r="D45" s="82"/>
      <c r="E45" s="82"/>
      <c r="F45" s="82"/>
      <c r="G45" s="87"/>
      <c r="H45" s="97" t="s">
        <v>98</v>
      </c>
      <c r="I45" s="98"/>
      <c r="J45" s="84">
        <f>J25+J26+J27+J28+J31+J29+J30</f>
        <v>15430.125038999999</v>
      </c>
      <c r="K45" s="77">
        <f>J45*240</f>
        <v>3703230.0093599996</v>
      </c>
      <c r="L45" s="77">
        <f>2844262+858968</f>
        <v>3703230</v>
      </c>
      <c r="M45" s="77">
        <f>L45-K45</f>
        <v>-9.3599995598196983E-3</v>
      </c>
    </row>
    <row r="46" spans="1:13" ht="15.75" thickBot="1">
      <c r="A46" s="81"/>
      <c r="B46" s="82"/>
      <c r="C46" s="82"/>
      <c r="D46" s="82"/>
      <c r="E46" s="82"/>
      <c r="F46" s="82"/>
      <c r="G46" s="87"/>
      <c r="H46" s="97" t="s">
        <v>95</v>
      </c>
      <c r="I46" s="98"/>
      <c r="J46" s="84">
        <f>J44-J45</f>
        <v>13475.307772499993</v>
      </c>
      <c r="K46" s="77">
        <f>J46*240</f>
        <v>3234073.8653999981</v>
      </c>
      <c r="L46" s="77">
        <f>2479135+748699+6240</f>
        <v>3234074</v>
      </c>
      <c r="M46" s="77">
        <f>L46-K46</f>
        <v>0.13460000185295939</v>
      </c>
    </row>
    <row r="47" spans="1:13">
      <c r="A47" s="5" t="s">
        <v>64</v>
      </c>
      <c r="B47" s="17" t="s">
        <v>103</v>
      </c>
      <c r="C47" s="17">
        <v>1</v>
      </c>
      <c r="D47" s="17">
        <v>25210</v>
      </c>
      <c r="E47" s="17">
        <v>123</v>
      </c>
      <c r="F47" s="17">
        <v>1974</v>
      </c>
      <c r="G47" s="18">
        <f>C47*F47</f>
        <v>1974</v>
      </c>
      <c r="H47" s="18">
        <f>G47/E47</f>
        <v>16.048780487804876</v>
      </c>
      <c r="I47" s="19">
        <f>D47*12*1.302/1974</f>
        <v>199.5344680851064</v>
      </c>
      <c r="J47" s="20">
        <f>I47*H47</f>
        <v>3202.2848780487802</v>
      </c>
    </row>
    <row r="48" spans="1:13">
      <c r="A48" s="21"/>
      <c r="B48" s="6" t="s">
        <v>104</v>
      </c>
      <c r="C48" s="6"/>
      <c r="D48" s="8"/>
      <c r="E48" s="6">
        <v>123</v>
      </c>
      <c r="F48" s="6">
        <v>1974</v>
      </c>
      <c r="G48" s="7">
        <f t="shared" ref="G48:G65" si="21">C48*F48</f>
        <v>0</v>
      </c>
      <c r="H48" s="7">
        <f t="shared" ref="H48:H49" si="22">G48/E48</f>
        <v>0</v>
      </c>
      <c r="I48" s="8">
        <f t="shared" ref="I48:I65" si="23">D48*12*1.302/1974</f>
        <v>0</v>
      </c>
      <c r="J48" s="22">
        <f t="shared" ref="J48:J65" si="24">I48*H48</f>
        <v>0</v>
      </c>
    </row>
    <row r="49" spans="1:10">
      <c r="A49" s="21"/>
      <c r="B49" s="6" t="s">
        <v>106</v>
      </c>
      <c r="C49" s="6">
        <v>1</v>
      </c>
      <c r="D49" s="6">
        <v>11213</v>
      </c>
      <c r="E49" s="6">
        <v>123</v>
      </c>
      <c r="F49" s="6">
        <v>1974</v>
      </c>
      <c r="G49" s="7">
        <f t="shared" si="21"/>
        <v>1974</v>
      </c>
      <c r="H49" s="7">
        <f t="shared" si="22"/>
        <v>16.048780487804876</v>
      </c>
      <c r="I49" s="8">
        <f t="shared" si="23"/>
        <v>88.749702127659575</v>
      </c>
      <c r="J49" s="22">
        <f t="shared" si="24"/>
        <v>1424.3244878048779</v>
      </c>
    </row>
    <row r="50" spans="1:10">
      <c r="A50" s="21"/>
      <c r="B50" s="6" t="s">
        <v>105</v>
      </c>
      <c r="C50" s="6">
        <v>7</v>
      </c>
      <c r="D50" s="8">
        <f>9544+3000-1000-1000-625.144</f>
        <v>9918.8559999999998</v>
      </c>
      <c r="E50" s="6">
        <v>123</v>
      </c>
      <c r="F50" s="6">
        <v>1974</v>
      </c>
      <c r="G50" s="7">
        <f t="shared" si="21"/>
        <v>13818</v>
      </c>
      <c r="H50" s="7">
        <f>G50/E50</f>
        <v>112.34146341463415</v>
      </c>
      <c r="I50" s="8">
        <f t="shared" si="23"/>
        <v>78.506690042553188</v>
      </c>
      <c r="J50" s="22">
        <f t="shared" si="24"/>
        <v>8819.5564472195128</v>
      </c>
    </row>
    <row r="51" spans="1:10">
      <c r="A51" s="21"/>
      <c r="B51" s="6" t="s">
        <v>118</v>
      </c>
      <c r="C51" s="6"/>
      <c r="D51" s="6"/>
      <c r="E51" s="6">
        <v>123</v>
      </c>
      <c r="F51" s="6">
        <v>1974</v>
      </c>
      <c r="G51" s="7">
        <f t="shared" si="21"/>
        <v>0</v>
      </c>
      <c r="H51" s="7">
        <f t="shared" ref="H51:H65" si="25">G51/E51</f>
        <v>0</v>
      </c>
      <c r="I51" s="8">
        <f t="shared" si="23"/>
        <v>0</v>
      </c>
      <c r="J51" s="22">
        <f t="shared" si="24"/>
        <v>0</v>
      </c>
    </row>
    <row r="52" spans="1:10">
      <c r="A52" s="21"/>
      <c r="B52" s="6" t="s">
        <v>117</v>
      </c>
      <c r="C52" s="6"/>
      <c r="D52" s="6"/>
      <c r="E52" s="6">
        <v>123</v>
      </c>
      <c r="F52" s="6">
        <v>1974</v>
      </c>
      <c r="G52" s="7">
        <f t="shared" si="21"/>
        <v>0</v>
      </c>
      <c r="H52" s="7">
        <f t="shared" si="25"/>
        <v>0</v>
      </c>
      <c r="I52" s="8">
        <f t="shared" si="23"/>
        <v>0</v>
      </c>
      <c r="J52" s="22">
        <f t="shared" si="24"/>
        <v>0</v>
      </c>
    </row>
    <row r="53" spans="1:10">
      <c r="A53" s="21"/>
      <c r="B53" s="6" t="s">
        <v>107</v>
      </c>
      <c r="C53" s="6">
        <v>1</v>
      </c>
      <c r="D53" s="6">
        <f>9544-1000</f>
        <v>8544</v>
      </c>
      <c r="E53" s="6">
        <v>123</v>
      </c>
      <c r="F53" s="6">
        <v>1974</v>
      </c>
      <c r="G53" s="7">
        <f t="shared" si="21"/>
        <v>1974</v>
      </c>
      <c r="H53" s="7">
        <f t="shared" si="25"/>
        <v>16.048780487804876</v>
      </c>
      <c r="I53" s="8">
        <f t="shared" si="23"/>
        <v>67.624851063829794</v>
      </c>
      <c r="J53" s="22">
        <f t="shared" si="24"/>
        <v>1085.2963902439024</v>
      </c>
    </row>
    <row r="54" spans="1:10">
      <c r="A54" s="21"/>
      <c r="B54" s="6" t="s">
        <v>108</v>
      </c>
      <c r="C54" s="86">
        <v>2</v>
      </c>
      <c r="D54" s="6">
        <v>9544</v>
      </c>
      <c r="E54" s="6">
        <v>123</v>
      </c>
      <c r="F54" s="6">
        <v>1974</v>
      </c>
      <c r="G54" s="7">
        <f t="shared" si="21"/>
        <v>3948</v>
      </c>
      <c r="H54" s="7">
        <f t="shared" si="25"/>
        <v>32.097560975609753</v>
      </c>
      <c r="I54" s="8">
        <f t="shared" si="23"/>
        <v>75.539744680851072</v>
      </c>
      <c r="J54" s="22">
        <f t="shared" si="24"/>
        <v>2424.6415609756095</v>
      </c>
    </row>
    <row r="55" spans="1:10">
      <c r="A55" s="21"/>
      <c r="B55" s="6" t="s">
        <v>116</v>
      </c>
      <c r="C55" s="86"/>
      <c r="D55" s="6"/>
      <c r="E55" s="6">
        <v>123</v>
      </c>
      <c r="F55" s="6">
        <v>1974</v>
      </c>
      <c r="G55" s="7">
        <f t="shared" si="21"/>
        <v>0</v>
      </c>
      <c r="H55" s="7">
        <f t="shared" si="25"/>
        <v>0</v>
      </c>
      <c r="I55" s="8">
        <f t="shared" si="23"/>
        <v>0</v>
      </c>
      <c r="J55" s="22">
        <f t="shared" si="24"/>
        <v>0</v>
      </c>
    </row>
    <row r="56" spans="1:10">
      <c r="A56" s="21"/>
      <c r="B56" s="6" t="s">
        <v>109</v>
      </c>
      <c r="C56" s="86">
        <v>1</v>
      </c>
      <c r="D56" s="6">
        <f>9544-400+90</f>
        <v>9234</v>
      </c>
      <c r="E56" s="6">
        <v>123</v>
      </c>
      <c r="F56" s="6">
        <v>1974</v>
      </c>
      <c r="G56" s="7">
        <f t="shared" si="21"/>
        <v>1974</v>
      </c>
      <c r="H56" s="7">
        <f t="shared" si="25"/>
        <v>16.048780487804876</v>
      </c>
      <c r="I56" s="8">
        <f t="shared" si="23"/>
        <v>73.086127659574473</v>
      </c>
      <c r="J56" s="22">
        <f t="shared" si="24"/>
        <v>1172.9432195121951</v>
      </c>
    </row>
    <row r="57" spans="1:10">
      <c r="A57" s="21"/>
      <c r="B57" s="6" t="s">
        <v>114</v>
      </c>
      <c r="C57" s="86">
        <v>1.5</v>
      </c>
      <c r="D57" s="92">
        <f>9544-400+58.82</f>
        <v>9202.82</v>
      </c>
      <c r="E57" s="6">
        <v>123</v>
      </c>
      <c r="F57" s="6">
        <v>1974</v>
      </c>
      <c r="G57" s="7">
        <f t="shared" si="21"/>
        <v>2961</v>
      </c>
      <c r="H57" s="7">
        <f t="shared" si="25"/>
        <v>24.073170731707318</v>
      </c>
      <c r="I57" s="8">
        <f t="shared" si="23"/>
        <v>72.839341276595746</v>
      </c>
      <c r="J57" s="22">
        <f t="shared" si="24"/>
        <v>1753.4738985365855</v>
      </c>
    </row>
    <row r="58" spans="1:10">
      <c r="A58" s="21"/>
      <c r="B58" s="6" t="s">
        <v>110</v>
      </c>
      <c r="C58" s="86">
        <v>1</v>
      </c>
      <c r="D58" s="6">
        <v>9544</v>
      </c>
      <c r="E58" s="6">
        <v>123</v>
      </c>
      <c r="F58" s="6">
        <v>1974</v>
      </c>
      <c r="G58" s="7">
        <f t="shared" si="21"/>
        <v>1974</v>
      </c>
      <c r="H58" s="7">
        <f t="shared" si="25"/>
        <v>16.048780487804876</v>
      </c>
      <c r="I58" s="8">
        <f t="shared" si="23"/>
        <v>75.539744680851072</v>
      </c>
      <c r="J58" s="22">
        <f t="shared" si="24"/>
        <v>1212.3207804878048</v>
      </c>
    </row>
    <row r="59" spans="1:10">
      <c r="A59" s="21"/>
      <c r="B59" s="6" t="s">
        <v>111</v>
      </c>
      <c r="C59" s="86"/>
      <c r="D59" s="6"/>
      <c r="E59" s="6">
        <v>123</v>
      </c>
      <c r="F59" s="6">
        <v>1974</v>
      </c>
      <c r="G59" s="7">
        <f t="shared" si="21"/>
        <v>0</v>
      </c>
      <c r="H59" s="7">
        <f t="shared" si="25"/>
        <v>0</v>
      </c>
      <c r="I59" s="8">
        <f t="shared" si="23"/>
        <v>0</v>
      </c>
      <c r="J59" s="22">
        <f t="shared" si="24"/>
        <v>0</v>
      </c>
    </row>
    <row r="60" spans="1:10">
      <c r="A60" s="21"/>
      <c r="B60" s="6" t="s">
        <v>112</v>
      </c>
      <c r="C60" s="86">
        <v>0.5</v>
      </c>
      <c r="D60" s="6">
        <v>9544</v>
      </c>
      <c r="E60" s="6">
        <v>123</v>
      </c>
      <c r="F60" s="6">
        <v>1974</v>
      </c>
      <c r="G60" s="7">
        <f t="shared" si="21"/>
        <v>987</v>
      </c>
      <c r="H60" s="7">
        <f t="shared" si="25"/>
        <v>8.0243902439024382</v>
      </c>
      <c r="I60" s="8">
        <f t="shared" si="23"/>
        <v>75.539744680851072</v>
      </c>
      <c r="J60" s="22">
        <f t="shared" si="24"/>
        <v>606.16039024390238</v>
      </c>
    </row>
    <row r="61" spans="1:10">
      <c r="A61" s="21"/>
      <c r="B61" s="6" t="s">
        <v>113</v>
      </c>
      <c r="C61" s="86">
        <v>1</v>
      </c>
      <c r="D61" s="6">
        <v>9544</v>
      </c>
      <c r="E61" s="6">
        <v>123</v>
      </c>
      <c r="F61" s="6">
        <v>1974</v>
      </c>
      <c r="G61" s="7">
        <f t="shared" si="21"/>
        <v>1974</v>
      </c>
      <c r="H61" s="7">
        <f t="shared" si="25"/>
        <v>16.048780487804876</v>
      </c>
      <c r="I61" s="8">
        <f t="shared" si="23"/>
        <v>75.539744680851072</v>
      </c>
      <c r="J61" s="22">
        <f t="shared" si="24"/>
        <v>1212.3207804878048</v>
      </c>
    </row>
    <row r="62" spans="1:10">
      <c r="A62" s="21"/>
      <c r="B62" s="6" t="s">
        <v>50</v>
      </c>
      <c r="C62" s="86">
        <v>1</v>
      </c>
      <c r="D62" s="6">
        <v>9544</v>
      </c>
      <c r="E62" s="6">
        <v>123</v>
      </c>
      <c r="F62" s="6">
        <v>1974</v>
      </c>
      <c r="G62" s="7">
        <f t="shared" si="21"/>
        <v>1974</v>
      </c>
      <c r="H62" s="7">
        <f t="shared" si="25"/>
        <v>16.048780487804876</v>
      </c>
      <c r="I62" s="8">
        <f t="shared" si="23"/>
        <v>75.539744680851072</v>
      </c>
      <c r="J62" s="22">
        <f t="shared" si="24"/>
        <v>1212.3207804878048</v>
      </c>
    </row>
    <row r="63" spans="1:10">
      <c r="A63" s="21"/>
      <c r="B63" s="6" t="s">
        <v>119</v>
      </c>
      <c r="C63" s="86"/>
      <c r="D63" s="6"/>
      <c r="E63" s="6">
        <v>123</v>
      </c>
      <c r="F63" s="6">
        <v>1974</v>
      </c>
      <c r="G63" s="7">
        <f t="shared" si="21"/>
        <v>0</v>
      </c>
      <c r="H63" s="7">
        <f t="shared" si="25"/>
        <v>0</v>
      </c>
      <c r="I63" s="8">
        <f t="shared" si="23"/>
        <v>0</v>
      </c>
      <c r="J63" s="22">
        <f t="shared" si="24"/>
        <v>0</v>
      </c>
    </row>
    <row r="64" spans="1:10">
      <c r="A64" s="21"/>
      <c r="B64" s="6" t="s">
        <v>51</v>
      </c>
      <c r="C64" s="86">
        <v>3</v>
      </c>
      <c r="D64" s="93">
        <v>9544</v>
      </c>
      <c r="E64" s="6">
        <v>123</v>
      </c>
      <c r="F64" s="6">
        <v>1974</v>
      </c>
      <c r="G64" s="7">
        <f t="shared" si="21"/>
        <v>5922</v>
      </c>
      <c r="H64" s="7">
        <f t="shared" si="25"/>
        <v>48.146341463414636</v>
      </c>
      <c r="I64" s="8">
        <f t="shared" si="23"/>
        <v>75.539744680851072</v>
      </c>
      <c r="J64" s="22">
        <f t="shared" si="24"/>
        <v>3636.9623414634152</v>
      </c>
    </row>
    <row r="65" spans="1:13">
      <c r="A65" s="21"/>
      <c r="B65" s="6" t="s">
        <v>52</v>
      </c>
      <c r="C65" s="86">
        <v>1.25</v>
      </c>
      <c r="D65" s="6">
        <f>9544-400+100</f>
        <v>9244</v>
      </c>
      <c r="E65" s="6">
        <v>123</v>
      </c>
      <c r="F65" s="6">
        <v>1974</v>
      </c>
      <c r="G65" s="7">
        <f t="shared" si="21"/>
        <v>2467.5</v>
      </c>
      <c r="H65" s="7">
        <f t="shared" si="25"/>
        <v>20.060975609756099</v>
      </c>
      <c r="I65" s="8">
        <f t="shared" si="23"/>
        <v>73.165276595744672</v>
      </c>
      <c r="J65" s="22">
        <f t="shared" si="24"/>
        <v>1467.7668292682927</v>
      </c>
    </row>
    <row r="66" spans="1:13" ht="15.75" thickBot="1">
      <c r="A66" s="23"/>
      <c r="B66" s="24"/>
      <c r="C66" s="24">
        <f>SUM(C47:C65)</f>
        <v>22.25</v>
      </c>
      <c r="D66" s="24"/>
      <c r="E66" s="24"/>
      <c r="F66" s="24"/>
      <c r="G66" s="25"/>
      <c r="H66" s="25"/>
      <c r="I66" s="26"/>
      <c r="J66" s="27">
        <f>SUM(J47:J65)</f>
        <v>29230.372784780484</v>
      </c>
    </row>
    <row r="67" spans="1:13" ht="15.75" thickBot="1">
      <c r="A67" s="81"/>
      <c r="B67" s="82"/>
      <c r="C67" s="82"/>
      <c r="D67" s="82"/>
      <c r="E67" s="82"/>
      <c r="F67" s="82"/>
      <c r="G67" s="87"/>
      <c r="H67" s="97" t="s">
        <v>98</v>
      </c>
      <c r="I67" s="98"/>
      <c r="J67" s="84">
        <f>J47+J48+J49+J50+J53+J51+J52</f>
        <v>14531.462203317073</v>
      </c>
      <c r="K67" s="77">
        <f>J67*123</f>
        <v>1787369.8510079999</v>
      </c>
      <c r="L67" s="77">
        <f>1372788+414582</f>
        <v>1787370</v>
      </c>
      <c r="M67" s="77">
        <f>L67-K67</f>
        <v>0.14899200014770031</v>
      </c>
    </row>
    <row r="68" spans="1:13" ht="15.75" thickBot="1">
      <c r="A68" s="81"/>
      <c r="B68" s="82"/>
      <c r="C68" s="82"/>
      <c r="D68" s="82"/>
      <c r="E68" s="82"/>
      <c r="F68" s="82"/>
      <c r="G68" s="87"/>
      <c r="H68" s="97" t="s">
        <v>95</v>
      </c>
      <c r="I68" s="98"/>
      <c r="J68" s="84">
        <f>J66-J67</f>
        <v>14698.910581463411</v>
      </c>
      <c r="K68" s="77">
        <f>J68*123</f>
        <v>1807966.0015199997</v>
      </c>
      <c r="L68" s="77">
        <f>1388607+419359</f>
        <v>1807966</v>
      </c>
      <c r="M68" s="77">
        <f>L68-K68</f>
        <v>-1.5199996996670961E-3</v>
      </c>
    </row>
    <row r="69" spans="1:13">
      <c r="A69" s="5" t="s">
        <v>65</v>
      </c>
      <c r="B69" s="17" t="s">
        <v>103</v>
      </c>
      <c r="C69" s="17">
        <v>1</v>
      </c>
      <c r="D69" s="17">
        <v>26342</v>
      </c>
      <c r="E69" s="17">
        <v>140</v>
      </c>
      <c r="F69" s="17">
        <v>1974</v>
      </c>
      <c r="G69" s="18">
        <f>C69*F69</f>
        <v>1974</v>
      </c>
      <c r="H69" s="18">
        <f>G69/E69</f>
        <v>14.1</v>
      </c>
      <c r="I69" s="19">
        <f>D69*12*1.302/1974</f>
        <v>208.49412765957447</v>
      </c>
      <c r="J69" s="20">
        <f>I69*H69</f>
        <v>2939.7672000000002</v>
      </c>
    </row>
    <row r="70" spans="1:13">
      <c r="A70" s="21"/>
      <c r="B70" s="6" t="s">
        <v>104</v>
      </c>
      <c r="C70" s="6"/>
      <c r="D70" s="8"/>
      <c r="E70" s="6">
        <v>140</v>
      </c>
      <c r="F70" s="6">
        <v>1974</v>
      </c>
      <c r="G70" s="7">
        <f t="shared" ref="G70:G87" si="26">C70*F70</f>
        <v>0</v>
      </c>
      <c r="H70" s="7">
        <f t="shared" ref="H70:H71" si="27">G70/E70</f>
        <v>0</v>
      </c>
      <c r="I70" s="8">
        <f t="shared" ref="I70:I87" si="28">D70*12*1.302/1974</f>
        <v>0</v>
      </c>
      <c r="J70" s="22">
        <f t="shared" ref="J70:J87" si="29">I70*H70</f>
        <v>0</v>
      </c>
    </row>
    <row r="71" spans="1:13">
      <c r="A71" s="21"/>
      <c r="B71" s="6" t="s">
        <v>106</v>
      </c>
      <c r="C71" s="6">
        <v>1</v>
      </c>
      <c r="D71" s="6">
        <v>11213</v>
      </c>
      <c r="E71" s="6">
        <v>140</v>
      </c>
      <c r="F71" s="6">
        <v>1974</v>
      </c>
      <c r="G71" s="7">
        <f t="shared" si="26"/>
        <v>1974</v>
      </c>
      <c r="H71" s="7">
        <f t="shared" si="27"/>
        <v>14.1</v>
      </c>
      <c r="I71" s="8">
        <f t="shared" si="28"/>
        <v>88.749702127659575</v>
      </c>
      <c r="J71" s="22">
        <f t="shared" si="29"/>
        <v>1251.3707999999999</v>
      </c>
    </row>
    <row r="72" spans="1:13">
      <c r="A72" s="21"/>
      <c r="B72" s="6" t="s">
        <v>105</v>
      </c>
      <c r="C72" s="6">
        <v>8</v>
      </c>
      <c r="D72" s="8">
        <f>9544+3000-684.255</f>
        <v>11859.745000000001</v>
      </c>
      <c r="E72" s="6">
        <v>140</v>
      </c>
      <c r="F72" s="6">
        <v>1974</v>
      </c>
      <c r="G72" s="7">
        <f t="shared" si="26"/>
        <v>15792</v>
      </c>
      <c r="H72" s="7">
        <f>G72/E72</f>
        <v>112.8</v>
      </c>
      <c r="I72" s="8">
        <f t="shared" si="28"/>
        <v>93.868620000000007</v>
      </c>
      <c r="J72" s="22">
        <f t="shared" si="29"/>
        <v>10588.380336</v>
      </c>
    </row>
    <row r="73" spans="1:13">
      <c r="A73" s="21"/>
      <c r="B73" s="6" t="s">
        <v>118</v>
      </c>
      <c r="C73" s="6"/>
      <c r="D73" s="6"/>
      <c r="E73" s="6">
        <v>140</v>
      </c>
      <c r="F73" s="6">
        <v>1974</v>
      </c>
      <c r="G73" s="7">
        <f t="shared" si="26"/>
        <v>0</v>
      </c>
      <c r="H73" s="7">
        <f t="shared" ref="H73:H87" si="30">G73/E73</f>
        <v>0</v>
      </c>
      <c r="I73" s="8">
        <f t="shared" si="28"/>
        <v>0</v>
      </c>
      <c r="J73" s="22">
        <f t="shared" si="29"/>
        <v>0</v>
      </c>
    </row>
    <row r="74" spans="1:13">
      <c r="A74" s="21"/>
      <c r="B74" s="6" t="s">
        <v>117</v>
      </c>
      <c r="C74" s="6"/>
      <c r="D74" s="6"/>
      <c r="E74" s="6">
        <v>140</v>
      </c>
      <c r="F74" s="6">
        <v>1974</v>
      </c>
      <c r="G74" s="7">
        <f t="shared" si="26"/>
        <v>0</v>
      </c>
      <c r="H74" s="7">
        <f t="shared" si="30"/>
        <v>0</v>
      </c>
      <c r="I74" s="8">
        <f t="shared" si="28"/>
        <v>0</v>
      </c>
      <c r="J74" s="22">
        <f t="shared" si="29"/>
        <v>0</v>
      </c>
    </row>
    <row r="75" spans="1:13">
      <c r="A75" s="21"/>
      <c r="B75" s="6" t="s">
        <v>107</v>
      </c>
      <c r="C75" s="6">
        <v>1</v>
      </c>
      <c r="D75" s="6">
        <f>9544-1000</f>
        <v>8544</v>
      </c>
      <c r="E75" s="6">
        <v>140</v>
      </c>
      <c r="F75" s="6">
        <v>1974</v>
      </c>
      <c r="G75" s="7">
        <f t="shared" si="26"/>
        <v>1974</v>
      </c>
      <c r="H75" s="7">
        <f t="shared" si="30"/>
        <v>14.1</v>
      </c>
      <c r="I75" s="8">
        <f t="shared" si="28"/>
        <v>67.624851063829794</v>
      </c>
      <c r="J75" s="22">
        <f t="shared" si="29"/>
        <v>953.51040000000012</v>
      </c>
    </row>
    <row r="76" spans="1:13">
      <c r="A76" s="21"/>
      <c r="B76" s="6" t="s">
        <v>108</v>
      </c>
      <c r="C76" s="86">
        <v>2</v>
      </c>
      <c r="D76" s="6">
        <v>9544</v>
      </c>
      <c r="E76" s="6">
        <v>140</v>
      </c>
      <c r="F76" s="6">
        <v>1974</v>
      </c>
      <c r="G76" s="7">
        <f t="shared" si="26"/>
        <v>3948</v>
      </c>
      <c r="H76" s="7">
        <f t="shared" si="30"/>
        <v>28.2</v>
      </c>
      <c r="I76" s="8">
        <f t="shared" si="28"/>
        <v>75.539744680851072</v>
      </c>
      <c r="J76" s="22">
        <f t="shared" si="29"/>
        <v>2130.2208000000001</v>
      </c>
    </row>
    <row r="77" spans="1:13">
      <c r="A77" s="21"/>
      <c r="B77" s="6" t="s">
        <v>116</v>
      </c>
      <c r="C77" s="86"/>
      <c r="D77" s="6"/>
      <c r="E77" s="6">
        <v>140</v>
      </c>
      <c r="F77" s="6">
        <v>1974</v>
      </c>
      <c r="G77" s="7">
        <f t="shared" si="26"/>
        <v>0</v>
      </c>
      <c r="H77" s="7">
        <f t="shared" si="30"/>
        <v>0</v>
      </c>
      <c r="I77" s="8">
        <f t="shared" si="28"/>
        <v>0</v>
      </c>
      <c r="J77" s="22">
        <f t="shared" si="29"/>
        <v>0</v>
      </c>
    </row>
    <row r="78" spans="1:13">
      <c r="A78" s="21"/>
      <c r="B78" s="6" t="s">
        <v>109</v>
      </c>
      <c r="C78" s="86">
        <v>1.5</v>
      </c>
      <c r="D78" s="6">
        <f>9544-400</f>
        <v>9144</v>
      </c>
      <c r="E78" s="6">
        <v>140</v>
      </c>
      <c r="F78" s="6">
        <v>1974</v>
      </c>
      <c r="G78" s="7">
        <f t="shared" si="26"/>
        <v>2961</v>
      </c>
      <c r="H78" s="7">
        <f t="shared" si="30"/>
        <v>21.15</v>
      </c>
      <c r="I78" s="8">
        <f t="shared" si="28"/>
        <v>72.373787234042553</v>
      </c>
      <c r="J78" s="22">
        <f t="shared" si="29"/>
        <v>1530.7055999999998</v>
      </c>
    </row>
    <row r="79" spans="1:13">
      <c r="A79" s="21"/>
      <c r="B79" s="6" t="s">
        <v>114</v>
      </c>
      <c r="C79" s="86">
        <v>1.5</v>
      </c>
      <c r="D79" s="92">
        <f>9544-421.72</f>
        <v>9122.2800000000007</v>
      </c>
      <c r="E79" s="6">
        <v>140</v>
      </c>
      <c r="F79" s="6">
        <v>1974</v>
      </c>
      <c r="G79" s="7">
        <f t="shared" si="26"/>
        <v>2961</v>
      </c>
      <c r="H79" s="7">
        <f t="shared" si="30"/>
        <v>21.15</v>
      </c>
      <c r="I79" s="8">
        <f t="shared" si="28"/>
        <v>72.201875744680862</v>
      </c>
      <c r="J79" s="22">
        <f t="shared" si="29"/>
        <v>1527.0696720000001</v>
      </c>
    </row>
    <row r="80" spans="1:13">
      <c r="A80" s="21"/>
      <c r="B80" s="6" t="s">
        <v>110</v>
      </c>
      <c r="C80" s="86">
        <v>1</v>
      </c>
      <c r="D80" s="6">
        <v>9544</v>
      </c>
      <c r="E80" s="6">
        <v>140</v>
      </c>
      <c r="F80" s="6">
        <v>1974</v>
      </c>
      <c r="G80" s="7">
        <f t="shared" si="26"/>
        <v>1974</v>
      </c>
      <c r="H80" s="7">
        <f t="shared" si="30"/>
        <v>14.1</v>
      </c>
      <c r="I80" s="8">
        <f t="shared" si="28"/>
        <v>75.539744680851072</v>
      </c>
      <c r="J80" s="22">
        <f t="shared" si="29"/>
        <v>1065.1104</v>
      </c>
    </row>
    <row r="81" spans="1:13">
      <c r="A81" s="21"/>
      <c r="B81" s="6" t="s">
        <v>111</v>
      </c>
      <c r="C81" s="86"/>
      <c r="D81" s="6"/>
      <c r="E81" s="6">
        <v>140</v>
      </c>
      <c r="F81" s="6">
        <v>1974</v>
      </c>
      <c r="G81" s="7">
        <f t="shared" si="26"/>
        <v>0</v>
      </c>
      <c r="H81" s="7">
        <f t="shared" si="30"/>
        <v>0</v>
      </c>
      <c r="I81" s="8">
        <f t="shared" si="28"/>
        <v>0</v>
      </c>
      <c r="J81" s="22">
        <f t="shared" si="29"/>
        <v>0</v>
      </c>
    </row>
    <row r="82" spans="1:13">
      <c r="A82" s="21"/>
      <c r="B82" s="6" t="s">
        <v>112</v>
      </c>
      <c r="C82" s="86">
        <v>1</v>
      </c>
      <c r="D82" s="6">
        <v>9544</v>
      </c>
      <c r="E82" s="6">
        <v>140</v>
      </c>
      <c r="F82" s="6">
        <v>1974</v>
      </c>
      <c r="G82" s="7">
        <f t="shared" si="26"/>
        <v>1974</v>
      </c>
      <c r="H82" s="7">
        <f t="shared" si="30"/>
        <v>14.1</v>
      </c>
      <c r="I82" s="8">
        <f t="shared" si="28"/>
        <v>75.539744680851072</v>
      </c>
      <c r="J82" s="22">
        <f t="shared" si="29"/>
        <v>1065.1104</v>
      </c>
    </row>
    <row r="83" spans="1:13">
      <c r="A83" s="21"/>
      <c r="B83" s="6" t="s">
        <v>113</v>
      </c>
      <c r="C83" s="86">
        <v>1.75</v>
      </c>
      <c r="D83" s="6">
        <v>9544</v>
      </c>
      <c r="E83" s="6">
        <v>140</v>
      </c>
      <c r="F83" s="6">
        <v>1974</v>
      </c>
      <c r="G83" s="7">
        <f t="shared" si="26"/>
        <v>3454.5</v>
      </c>
      <c r="H83" s="7">
        <f t="shared" si="30"/>
        <v>24.675000000000001</v>
      </c>
      <c r="I83" s="8">
        <f t="shared" si="28"/>
        <v>75.539744680851072</v>
      </c>
      <c r="J83" s="22">
        <f t="shared" si="29"/>
        <v>1863.9432000000002</v>
      </c>
    </row>
    <row r="84" spans="1:13">
      <c r="A84" s="21"/>
      <c r="B84" s="6" t="s">
        <v>50</v>
      </c>
      <c r="C84" s="86">
        <v>1</v>
      </c>
      <c r="D84" s="6">
        <v>9544</v>
      </c>
      <c r="E84" s="6">
        <v>140</v>
      </c>
      <c r="F84" s="6">
        <v>1974</v>
      </c>
      <c r="G84" s="7">
        <f t="shared" si="26"/>
        <v>1974</v>
      </c>
      <c r="H84" s="7">
        <f t="shared" si="30"/>
        <v>14.1</v>
      </c>
      <c r="I84" s="8">
        <f t="shared" si="28"/>
        <v>75.539744680851072</v>
      </c>
      <c r="J84" s="22">
        <f t="shared" si="29"/>
        <v>1065.1104</v>
      </c>
    </row>
    <row r="85" spans="1:13">
      <c r="A85" s="21"/>
      <c r="B85" s="6" t="s">
        <v>119</v>
      </c>
      <c r="C85" s="86"/>
      <c r="D85" s="6"/>
      <c r="E85" s="6">
        <v>140</v>
      </c>
      <c r="F85" s="6">
        <v>1974</v>
      </c>
      <c r="G85" s="7">
        <f t="shared" si="26"/>
        <v>0</v>
      </c>
      <c r="H85" s="7">
        <f t="shared" si="30"/>
        <v>0</v>
      </c>
      <c r="I85" s="8">
        <f t="shared" si="28"/>
        <v>0</v>
      </c>
      <c r="J85" s="22">
        <f t="shared" si="29"/>
        <v>0</v>
      </c>
    </row>
    <row r="86" spans="1:13">
      <c r="A86" s="21"/>
      <c r="B86" s="6" t="s">
        <v>51</v>
      </c>
      <c r="C86" s="86">
        <v>3</v>
      </c>
      <c r="D86" s="93">
        <v>9544</v>
      </c>
      <c r="E86" s="6">
        <v>140</v>
      </c>
      <c r="F86" s="6">
        <v>1974</v>
      </c>
      <c r="G86" s="7">
        <f t="shared" si="26"/>
        <v>5922</v>
      </c>
      <c r="H86" s="7">
        <f t="shared" si="30"/>
        <v>42.3</v>
      </c>
      <c r="I86" s="8">
        <f t="shared" si="28"/>
        <v>75.539744680851072</v>
      </c>
      <c r="J86" s="22">
        <f t="shared" si="29"/>
        <v>3195.3312000000001</v>
      </c>
    </row>
    <row r="87" spans="1:13">
      <c r="A87" s="21"/>
      <c r="B87" s="6" t="s">
        <v>52</v>
      </c>
      <c r="C87" s="86">
        <v>1.5</v>
      </c>
      <c r="D87" s="6">
        <f>9544-400</f>
        <v>9144</v>
      </c>
      <c r="E87" s="6">
        <v>140</v>
      </c>
      <c r="F87" s="6">
        <v>1974</v>
      </c>
      <c r="G87" s="7">
        <f t="shared" si="26"/>
        <v>2961</v>
      </c>
      <c r="H87" s="7">
        <f t="shared" si="30"/>
        <v>21.15</v>
      </c>
      <c r="I87" s="8">
        <f t="shared" si="28"/>
        <v>72.373787234042553</v>
      </c>
      <c r="J87" s="22">
        <f t="shared" si="29"/>
        <v>1530.7055999999998</v>
      </c>
    </row>
    <row r="88" spans="1:13" ht="15.75" thickBot="1">
      <c r="A88" s="23"/>
      <c r="B88" s="24"/>
      <c r="C88" s="24">
        <f>SUM(C69:C87)</f>
        <v>25.25</v>
      </c>
      <c r="D88" s="24"/>
      <c r="E88" s="24"/>
      <c r="F88" s="24"/>
      <c r="G88" s="25"/>
      <c r="H88" s="25"/>
      <c r="I88" s="26"/>
      <c r="J88" s="27">
        <f>SUM(J69:J87)</f>
        <v>30706.336008000009</v>
      </c>
    </row>
    <row r="89" spans="1:13" ht="15.75" thickBot="1">
      <c r="A89" s="81"/>
      <c r="B89" s="82"/>
      <c r="C89" s="82"/>
      <c r="D89" s="82"/>
      <c r="E89" s="82"/>
      <c r="F89" s="82"/>
      <c r="G89" s="87"/>
      <c r="H89" s="97" t="s">
        <v>98</v>
      </c>
      <c r="I89" s="98"/>
      <c r="J89" s="84">
        <f>J69+J70+J71+J72+J75+J73+J74</f>
        <v>15733.028736</v>
      </c>
      <c r="K89" s="77">
        <f>J89*140</f>
        <v>2202624.0230399999</v>
      </c>
      <c r="L89" s="77">
        <f>1691723+510901</f>
        <v>2202624</v>
      </c>
      <c r="M89" s="77">
        <f>L89-K89</f>
        <v>-2.3039999883621931E-2</v>
      </c>
    </row>
    <row r="90" spans="1:13" ht="15.75" thickBot="1">
      <c r="A90" s="81"/>
      <c r="B90" s="82"/>
      <c r="C90" s="82"/>
      <c r="D90" s="82"/>
      <c r="E90" s="82"/>
      <c r="F90" s="82"/>
      <c r="G90" s="87"/>
      <c r="H90" s="97" t="s">
        <v>95</v>
      </c>
      <c r="I90" s="98"/>
      <c r="J90" s="84">
        <f>J88-J89</f>
        <v>14973.307272000009</v>
      </c>
      <c r="K90" s="77">
        <f>J90*140</f>
        <v>2096263.0180800012</v>
      </c>
      <c r="L90" s="77">
        <f>1608835+485868+1560</f>
        <v>2096263</v>
      </c>
      <c r="M90" s="77">
        <f>L90-K90</f>
        <v>-1.8080001231282949E-2</v>
      </c>
    </row>
    <row r="91" spans="1:13">
      <c r="A91" s="5" t="s">
        <v>66</v>
      </c>
      <c r="B91" s="17" t="s">
        <v>103</v>
      </c>
      <c r="C91" s="17">
        <v>1</v>
      </c>
      <c r="D91" s="17">
        <v>27134</v>
      </c>
      <c r="E91" s="17">
        <v>123</v>
      </c>
      <c r="F91" s="17">
        <v>1974</v>
      </c>
      <c r="G91" s="18">
        <f>C91*F91</f>
        <v>1974</v>
      </c>
      <c r="H91" s="18">
        <f>G91/E91</f>
        <v>16.048780487804876</v>
      </c>
      <c r="I91" s="19">
        <f>D91*12*1.302/1974</f>
        <v>214.76272340425533</v>
      </c>
      <c r="J91" s="20">
        <f>I91*H91</f>
        <v>3446.6798048780483</v>
      </c>
    </row>
    <row r="92" spans="1:13">
      <c r="A92" s="21"/>
      <c r="B92" s="6" t="s">
        <v>104</v>
      </c>
      <c r="C92" s="6"/>
      <c r="D92" s="8"/>
      <c r="E92" s="6">
        <v>123</v>
      </c>
      <c r="F92" s="6">
        <v>1974</v>
      </c>
      <c r="G92" s="7">
        <f t="shared" ref="G92:G109" si="31">C92*F92</f>
        <v>0</v>
      </c>
      <c r="H92" s="7">
        <f t="shared" ref="H92:H93" si="32">G92/E92</f>
        <v>0</v>
      </c>
      <c r="I92" s="8">
        <f t="shared" ref="I92:I109" si="33">D92*12*1.302/1974</f>
        <v>0</v>
      </c>
      <c r="J92" s="22">
        <f t="shared" ref="J92:J109" si="34">I92*H92</f>
        <v>0</v>
      </c>
    </row>
    <row r="93" spans="1:13">
      <c r="A93" s="21"/>
      <c r="B93" s="6" t="s">
        <v>106</v>
      </c>
      <c r="C93" s="6">
        <v>1</v>
      </c>
      <c r="D93" s="6">
        <v>11213</v>
      </c>
      <c r="E93" s="6">
        <v>123</v>
      </c>
      <c r="F93" s="6">
        <v>1974</v>
      </c>
      <c r="G93" s="7">
        <f t="shared" si="31"/>
        <v>1974</v>
      </c>
      <c r="H93" s="7">
        <f t="shared" si="32"/>
        <v>16.048780487804876</v>
      </c>
      <c r="I93" s="8">
        <f t="shared" si="33"/>
        <v>88.749702127659575</v>
      </c>
      <c r="J93" s="22">
        <f t="shared" si="34"/>
        <v>1424.3244878048779</v>
      </c>
    </row>
    <row r="94" spans="1:13">
      <c r="A94" s="21"/>
      <c r="B94" s="6" t="s">
        <v>105</v>
      </c>
      <c r="C94" s="6">
        <v>6.25</v>
      </c>
      <c r="D94" s="8">
        <f>9544+3000-1393.35</f>
        <v>11150.65</v>
      </c>
      <c r="E94" s="6">
        <v>123</v>
      </c>
      <c r="F94" s="6">
        <v>1974</v>
      </c>
      <c r="G94" s="7">
        <f t="shared" si="31"/>
        <v>12337.5</v>
      </c>
      <c r="H94" s="7">
        <f>G94/E94</f>
        <v>100.30487804878049</v>
      </c>
      <c r="I94" s="8">
        <f t="shared" si="33"/>
        <v>88.256208510638302</v>
      </c>
      <c r="J94" s="22">
        <f t="shared" si="34"/>
        <v>8852.5282317073179</v>
      </c>
    </row>
    <row r="95" spans="1:13">
      <c r="A95" s="21"/>
      <c r="B95" s="6" t="s">
        <v>118</v>
      </c>
      <c r="C95" s="6"/>
      <c r="D95" s="6"/>
      <c r="E95" s="6">
        <v>123</v>
      </c>
      <c r="F95" s="6">
        <v>1974</v>
      </c>
      <c r="G95" s="7">
        <f t="shared" si="31"/>
        <v>0</v>
      </c>
      <c r="H95" s="7">
        <f t="shared" ref="H95:H109" si="35">G95/E95</f>
        <v>0</v>
      </c>
      <c r="I95" s="8">
        <f t="shared" si="33"/>
        <v>0</v>
      </c>
      <c r="J95" s="22">
        <f t="shared" si="34"/>
        <v>0</v>
      </c>
    </row>
    <row r="96" spans="1:13">
      <c r="A96" s="21"/>
      <c r="B96" s="6" t="s">
        <v>117</v>
      </c>
      <c r="C96" s="6"/>
      <c r="D96" s="6"/>
      <c r="E96" s="6">
        <v>123</v>
      </c>
      <c r="F96" s="6">
        <v>1974</v>
      </c>
      <c r="G96" s="7">
        <f t="shared" si="31"/>
        <v>0</v>
      </c>
      <c r="H96" s="7">
        <f t="shared" si="35"/>
        <v>0</v>
      </c>
      <c r="I96" s="8">
        <f t="shared" si="33"/>
        <v>0</v>
      </c>
      <c r="J96" s="22">
        <f t="shared" si="34"/>
        <v>0</v>
      </c>
    </row>
    <row r="97" spans="1:13">
      <c r="A97" s="21"/>
      <c r="B97" s="6" t="s">
        <v>107</v>
      </c>
      <c r="C97" s="6">
        <v>1</v>
      </c>
      <c r="D97" s="6">
        <v>9544</v>
      </c>
      <c r="E97" s="6">
        <v>123</v>
      </c>
      <c r="F97" s="6">
        <v>1974</v>
      </c>
      <c r="G97" s="7">
        <f t="shared" si="31"/>
        <v>1974</v>
      </c>
      <c r="H97" s="7">
        <f t="shared" si="35"/>
        <v>16.048780487804876</v>
      </c>
      <c r="I97" s="8">
        <f t="shared" si="33"/>
        <v>75.539744680851072</v>
      </c>
      <c r="J97" s="22">
        <f t="shared" si="34"/>
        <v>1212.3207804878048</v>
      </c>
    </row>
    <row r="98" spans="1:13">
      <c r="A98" s="21"/>
      <c r="B98" s="6" t="s">
        <v>108</v>
      </c>
      <c r="C98" s="86">
        <v>2</v>
      </c>
      <c r="D98" s="6">
        <v>9544</v>
      </c>
      <c r="E98" s="6">
        <v>123</v>
      </c>
      <c r="F98" s="6">
        <v>1974</v>
      </c>
      <c r="G98" s="7">
        <f t="shared" si="31"/>
        <v>3948</v>
      </c>
      <c r="H98" s="7">
        <f t="shared" si="35"/>
        <v>32.097560975609753</v>
      </c>
      <c r="I98" s="8">
        <f t="shared" si="33"/>
        <v>75.539744680851072</v>
      </c>
      <c r="J98" s="22">
        <f t="shared" si="34"/>
        <v>2424.6415609756095</v>
      </c>
    </row>
    <row r="99" spans="1:13">
      <c r="A99" s="21"/>
      <c r="B99" s="6" t="s">
        <v>116</v>
      </c>
      <c r="C99" s="86"/>
      <c r="D99" s="6"/>
      <c r="E99" s="6">
        <v>123</v>
      </c>
      <c r="F99" s="6">
        <v>1974</v>
      </c>
      <c r="G99" s="7">
        <f t="shared" si="31"/>
        <v>0</v>
      </c>
      <c r="H99" s="7">
        <f t="shared" si="35"/>
        <v>0</v>
      </c>
      <c r="I99" s="8">
        <f t="shared" si="33"/>
        <v>0</v>
      </c>
      <c r="J99" s="22">
        <f t="shared" si="34"/>
        <v>0</v>
      </c>
    </row>
    <row r="100" spans="1:13">
      <c r="A100" s="21"/>
      <c r="B100" s="6" t="s">
        <v>109</v>
      </c>
      <c r="C100" s="86">
        <v>1</v>
      </c>
      <c r="D100" s="6">
        <f>9544-400+200</f>
        <v>9344</v>
      </c>
      <c r="E100" s="6">
        <v>123</v>
      </c>
      <c r="F100" s="6">
        <v>1974</v>
      </c>
      <c r="G100" s="7">
        <f t="shared" si="31"/>
        <v>1974</v>
      </c>
      <c r="H100" s="7">
        <f t="shared" si="35"/>
        <v>16.048780487804876</v>
      </c>
      <c r="I100" s="8">
        <f t="shared" si="33"/>
        <v>73.956765957446819</v>
      </c>
      <c r="J100" s="22">
        <f t="shared" si="34"/>
        <v>1186.9159024390244</v>
      </c>
    </row>
    <row r="101" spans="1:13">
      <c r="A101" s="21"/>
      <c r="B101" s="6" t="s">
        <v>114</v>
      </c>
      <c r="C101" s="86">
        <v>1</v>
      </c>
      <c r="D101" s="92">
        <f>9544-200.28</f>
        <v>9343.7199999999993</v>
      </c>
      <c r="E101" s="6">
        <v>123</v>
      </c>
      <c r="F101" s="6">
        <v>1974</v>
      </c>
      <c r="G101" s="7">
        <f t="shared" si="31"/>
        <v>1974</v>
      </c>
      <c r="H101" s="7">
        <f t="shared" si="35"/>
        <v>16.048780487804876</v>
      </c>
      <c r="I101" s="8">
        <f t="shared" si="33"/>
        <v>73.954549787234043</v>
      </c>
      <c r="J101" s="22">
        <f t="shared" si="34"/>
        <v>1186.880335609756</v>
      </c>
    </row>
    <row r="102" spans="1:13">
      <c r="A102" s="21"/>
      <c r="B102" s="6" t="s">
        <v>110</v>
      </c>
      <c r="C102" s="86">
        <v>1</v>
      </c>
      <c r="D102" s="6">
        <v>9544</v>
      </c>
      <c r="E102" s="6">
        <v>123</v>
      </c>
      <c r="F102" s="6">
        <v>1974</v>
      </c>
      <c r="G102" s="7">
        <f t="shared" si="31"/>
        <v>1974</v>
      </c>
      <c r="H102" s="7">
        <f t="shared" si="35"/>
        <v>16.048780487804876</v>
      </c>
      <c r="I102" s="8">
        <f t="shared" si="33"/>
        <v>75.539744680851072</v>
      </c>
      <c r="J102" s="22">
        <f t="shared" si="34"/>
        <v>1212.3207804878048</v>
      </c>
    </row>
    <row r="103" spans="1:13">
      <c r="A103" s="21"/>
      <c r="B103" s="6" t="s">
        <v>111</v>
      </c>
      <c r="C103" s="86"/>
      <c r="D103" s="6"/>
      <c r="E103" s="6">
        <v>123</v>
      </c>
      <c r="F103" s="6">
        <v>1974</v>
      </c>
      <c r="G103" s="7">
        <f t="shared" si="31"/>
        <v>0</v>
      </c>
      <c r="H103" s="7">
        <f t="shared" si="35"/>
        <v>0</v>
      </c>
      <c r="I103" s="8">
        <f t="shared" si="33"/>
        <v>0</v>
      </c>
      <c r="J103" s="22">
        <f t="shared" si="34"/>
        <v>0</v>
      </c>
    </row>
    <row r="104" spans="1:13">
      <c r="A104" s="21"/>
      <c r="B104" s="6" t="s">
        <v>112</v>
      </c>
      <c r="C104" s="86">
        <v>0.5</v>
      </c>
      <c r="D104" s="6">
        <v>9544</v>
      </c>
      <c r="E104" s="6">
        <v>123</v>
      </c>
      <c r="F104" s="6">
        <v>1974</v>
      </c>
      <c r="G104" s="7">
        <f t="shared" si="31"/>
        <v>987</v>
      </c>
      <c r="H104" s="7">
        <f t="shared" si="35"/>
        <v>8.0243902439024382</v>
      </c>
      <c r="I104" s="8">
        <f t="shared" si="33"/>
        <v>75.539744680851072</v>
      </c>
      <c r="J104" s="22">
        <f t="shared" si="34"/>
        <v>606.16039024390238</v>
      </c>
    </row>
    <row r="105" spans="1:13">
      <c r="A105" s="21"/>
      <c r="B105" s="6" t="s">
        <v>113</v>
      </c>
      <c r="C105" s="86">
        <v>1</v>
      </c>
      <c r="D105" s="6">
        <v>9544</v>
      </c>
      <c r="E105" s="6">
        <v>123</v>
      </c>
      <c r="F105" s="6">
        <v>1974</v>
      </c>
      <c r="G105" s="7">
        <f t="shared" si="31"/>
        <v>1974</v>
      </c>
      <c r="H105" s="7">
        <f t="shared" si="35"/>
        <v>16.048780487804876</v>
      </c>
      <c r="I105" s="8">
        <f t="shared" si="33"/>
        <v>75.539744680851072</v>
      </c>
      <c r="J105" s="22">
        <f t="shared" si="34"/>
        <v>1212.3207804878048</v>
      </c>
    </row>
    <row r="106" spans="1:13">
      <c r="A106" s="21"/>
      <c r="B106" s="6" t="s">
        <v>50</v>
      </c>
      <c r="C106" s="86">
        <v>1</v>
      </c>
      <c r="D106" s="6">
        <v>9544</v>
      </c>
      <c r="E106" s="6">
        <v>123</v>
      </c>
      <c r="F106" s="6">
        <v>1974</v>
      </c>
      <c r="G106" s="7">
        <f t="shared" si="31"/>
        <v>1974</v>
      </c>
      <c r="H106" s="7">
        <f t="shared" si="35"/>
        <v>16.048780487804876</v>
      </c>
      <c r="I106" s="8">
        <f t="shared" si="33"/>
        <v>75.539744680851072</v>
      </c>
      <c r="J106" s="22">
        <f t="shared" si="34"/>
        <v>1212.3207804878048</v>
      </c>
    </row>
    <row r="107" spans="1:13">
      <c r="A107" s="21"/>
      <c r="B107" s="6" t="s">
        <v>119</v>
      </c>
      <c r="C107" s="86"/>
      <c r="D107" s="6"/>
      <c r="E107" s="6">
        <v>123</v>
      </c>
      <c r="F107" s="6">
        <v>1974</v>
      </c>
      <c r="G107" s="7">
        <f t="shared" si="31"/>
        <v>0</v>
      </c>
      <c r="H107" s="7">
        <f t="shared" si="35"/>
        <v>0</v>
      </c>
      <c r="I107" s="8">
        <f t="shared" si="33"/>
        <v>0</v>
      </c>
      <c r="J107" s="22">
        <f t="shared" si="34"/>
        <v>0</v>
      </c>
    </row>
    <row r="108" spans="1:13">
      <c r="A108" s="21"/>
      <c r="B108" s="6" t="s">
        <v>51</v>
      </c>
      <c r="C108" s="86">
        <v>3</v>
      </c>
      <c r="D108" s="93">
        <v>9544</v>
      </c>
      <c r="E108" s="6">
        <v>123</v>
      </c>
      <c r="F108" s="6">
        <v>1974</v>
      </c>
      <c r="G108" s="7">
        <f t="shared" si="31"/>
        <v>5922</v>
      </c>
      <c r="H108" s="7">
        <f t="shared" si="35"/>
        <v>48.146341463414636</v>
      </c>
      <c r="I108" s="8">
        <f t="shared" si="33"/>
        <v>75.539744680851072</v>
      </c>
      <c r="J108" s="22">
        <f t="shared" si="34"/>
        <v>3636.9623414634152</v>
      </c>
    </row>
    <row r="109" spans="1:13">
      <c r="A109" s="21"/>
      <c r="B109" s="6" t="s">
        <v>52</v>
      </c>
      <c r="C109" s="86">
        <v>1</v>
      </c>
      <c r="D109" s="6">
        <f>9544-400+200</f>
        <v>9344</v>
      </c>
      <c r="E109" s="6">
        <v>123</v>
      </c>
      <c r="F109" s="6">
        <v>1974</v>
      </c>
      <c r="G109" s="7">
        <f t="shared" si="31"/>
        <v>1974</v>
      </c>
      <c r="H109" s="7">
        <f t="shared" si="35"/>
        <v>16.048780487804876</v>
      </c>
      <c r="I109" s="8">
        <f t="shared" si="33"/>
        <v>73.956765957446819</v>
      </c>
      <c r="J109" s="22">
        <f t="shared" si="34"/>
        <v>1186.9159024390244</v>
      </c>
    </row>
    <row r="110" spans="1:13" ht="15.75" thickBot="1">
      <c r="A110" s="23"/>
      <c r="B110" s="24"/>
      <c r="C110" s="24">
        <f>SUM(C91:C109)</f>
        <v>20.75</v>
      </c>
      <c r="D110" s="24"/>
      <c r="E110" s="24"/>
      <c r="F110" s="24"/>
      <c r="G110" s="25"/>
      <c r="H110" s="25"/>
      <c r="I110" s="26"/>
      <c r="J110" s="27">
        <f>SUM(J91:J109)</f>
        <v>28801.292079512194</v>
      </c>
    </row>
    <row r="111" spans="1:13" ht="15.75" thickBot="1">
      <c r="A111" s="81"/>
      <c r="B111" s="82"/>
      <c r="C111" s="82"/>
      <c r="D111" s="82"/>
      <c r="E111" s="82"/>
      <c r="F111" s="82"/>
      <c r="G111" s="87"/>
      <c r="H111" s="97" t="s">
        <v>98</v>
      </c>
      <c r="I111" s="98"/>
      <c r="J111" s="84">
        <f>J91+J92+J93+J94+J97+J95+J96</f>
        <v>14935.853304878048</v>
      </c>
      <c r="K111" s="77">
        <f>J111*123</f>
        <v>1837109.9564999999</v>
      </c>
      <c r="L111" s="77">
        <f>1410990+426120</f>
        <v>1837110</v>
      </c>
      <c r="M111" s="77">
        <f>L111-K111</f>
        <v>4.3500000145286322E-2</v>
      </c>
    </row>
    <row r="112" spans="1:13" ht="15.75" thickBot="1">
      <c r="A112" s="81"/>
      <c r="B112" s="82"/>
      <c r="C112" s="82"/>
      <c r="D112" s="82"/>
      <c r="E112" s="82"/>
      <c r="F112" s="82"/>
      <c r="G112" s="87"/>
      <c r="H112" s="97" t="s">
        <v>95</v>
      </c>
      <c r="I112" s="98"/>
      <c r="J112" s="84">
        <f>J110-J111</f>
        <v>13865.438774634145</v>
      </c>
      <c r="K112" s="77">
        <f>J112*123</f>
        <v>1705448.9692799998</v>
      </c>
      <c r="L112" s="77">
        <f>1309869+395580</f>
        <v>1705449</v>
      </c>
      <c r="M112" s="77">
        <f>L112-K112</f>
        <v>3.07200001552701E-2</v>
      </c>
    </row>
    <row r="113" spans="1:10">
      <c r="A113" s="5" t="s">
        <v>67</v>
      </c>
      <c r="B113" s="17" t="s">
        <v>103</v>
      </c>
      <c r="C113" s="17">
        <v>1</v>
      </c>
      <c r="D113" s="17">
        <v>30178</v>
      </c>
      <c r="E113" s="17">
        <v>220</v>
      </c>
      <c r="F113" s="17">
        <v>1974</v>
      </c>
      <c r="G113" s="18">
        <f>C113*F113</f>
        <v>1974</v>
      </c>
      <c r="H113" s="18">
        <f>G113/E113</f>
        <v>8.9727272727272727</v>
      </c>
      <c r="I113" s="19">
        <f>D113*12*1.302/1974</f>
        <v>238.85565957446812</v>
      </c>
      <c r="J113" s="20">
        <f>I113*H113</f>
        <v>2143.1866909090913</v>
      </c>
    </row>
    <row r="114" spans="1:10">
      <c r="A114" s="21"/>
      <c r="B114" s="6" t="s">
        <v>104</v>
      </c>
      <c r="C114" s="6">
        <v>2.5</v>
      </c>
      <c r="D114" s="8">
        <v>19154</v>
      </c>
      <c r="E114" s="6">
        <v>220</v>
      </c>
      <c r="F114" s="6">
        <v>1974</v>
      </c>
      <c r="G114" s="7">
        <f t="shared" ref="G114:G131" si="36">C114*F114</f>
        <v>4935</v>
      </c>
      <c r="H114" s="7">
        <f t="shared" ref="H114:H115" si="37">G114/E114</f>
        <v>22.431818181818183</v>
      </c>
      <c r="I114" s="8">
        <f t="shared" ref="I114:I131" si="38">D114*12*1.302/1974</f>
        <v>151.60187234042553</v>
      </c>
      <c r="J114" s="22">
        <f t="shared" ref="J114:J131" si="39">I114*H114</f>
        <v>3400.7056363636366</v>
      </c>
    </row>
    <row r="115" spans="1:10">
      <c r="A115" s="21"/>
      <c r="B115" s="6" t="s">
        <v>106</v>
      </c>
      <c r="C115" s="6"/>
      <c r="D115" s="6"/>
      <c r="E115" s="6">
        <v>220</v>
      </c>
      <c r="F115" s="6">
        <v>1974</v>
      </c>
      <c r="G115" s="7">
        <f t="shared" si="36"/>
        <v>0</v>
      </c>
      <c r="H115" s="7">
        <f t="shared" si="37"/>
        <v>0</v>
      </c>
      <c r="I115" s="8">
        <f t="shared" si="38"/>
        <v>0</v>
      </c>
      <c r="J115" s="22">
        <f t="shared" si="39"/>
        <v>0</v>
      </c>
    </row>
    <row r="116" spans="1:10">
      <c r="A116" s="21"/>
      <c r="B116" s="6" t="s">
        <v>105</v>
      </c>
      <c r="C116" s="6">
        <v>11.2</v>
      </c>
      <c r="D116" s="8">
        <f>9544+3000-1715.92</f>
        <v>10828.08</v>
      </c>
      <c r="E116" s="6">
        <v>220</v>
      </c>
      <c r="F116" s="6">
        <v>1974</v>
      </c>
      <c r="G116" s="7">
        <f t="shared" si="36"/>
        <v>22108.799999999999</v>
      </c>
      <c r="H116" s="7">
        <f>G116/E116</f>
        <v>100.49454545454545</v>
      </c>
      <c r="I116" s="8">
        <f t="shared" si="38"/>
        <v>85.703101276595746</v>
      </c>
      <c r="J116" s="22">
        <f t="shared" si="39"/>
        <v>8612.6942068363624</v>
      </c>
    </row>
    <row r="117" spans="1:10">
      <c r="A117" s="21"/>
      <c r="B117" s="6" t="s">
        <v>118</v>
      </c>
      <c r="C117" s="6"/>
      <c r="D117" s="6"/>
      <c r="E117" s="6">
        <v>220</v>
      </c>
      <c r="F117" s="6">
        <v>1974</v>
      </c>
      <c r="G117" s="7">
        <f t="shared" si="36"/>
        <v>0</v>
      </c>
      <c r="H117" s="7">
        <f t="shared" ref="H117:H131" si="40">G117/E117</f>
        <v>0</v>
      </c>
      <c r="I117" s="8">
        <f t="shared" si="38"/>
        <v>0</v>
      </c>
      <c r="J117" s="22">
        <f t="shared" si="39"/>
        <v>0</v>
      </c>
    </row>
    <row r="118" spans="1:10">
      <c r="A118" s="21"/>
      <c r="B118" s="6" t="s">
        <v>117</v>
      </c>
      <c r="C118" s="6">
        <v>1</v>
      </c>
      <c r="D118" s="6">
        <v>9544</v>
      </c>
      <c r="E118" s="6">
        <v>220</v>
      </c>
      <c r="F118" s="6">
        <v>1974</v>
      </c>
      <c r="G118" s="7">
        <f t="shared" si="36"/>
        <v>1974</v>
      </c>
      <c r="H118" s="7">
        <f t="shared" si="40"/>
        <v>8.9727272727272727</v>
      </c>
      <c r="I118" s="8">
        <f t="shared" si="38"/>
        <v>75.539744680851072</v>
      </c>
      <c r="J118" s="22">
        <f t="shared" si="39"/>
        <v>677.79752727272739</v>
      </c>
    </row>
    <row r="119" spans="1:10">
      <c r="A119" s="21"/>
      <c r="B119" s="6" t="s">
        <v>107</v>
      </c>
      <c r="C119" s="6">
        <v>1</v>
      </c>
      <c r="D119" s="6">
        <v>9544</v>
      </c>
      <c r="E119" s="6">
        <v>220</v>
      </c>
      <c r="F119" s="6">
        <v>1974</v>
      </c>
      <c r="G119" s="7">
        <f t="shared" si="36"/>
        <v>1974</v>
      </c>
      <c r="H119" s="7">
        <f t="shared" si="40"/>
        <v>8.9727272727272727</v>
      </c>
      <c r="I119" s="8">
        <f t="shared" si="38"/>
        <v>75.539744680851072</v>
      </c>
      <c r="J119" s="22">
        <f t="shared" si="39"/>
        <v>677.79752727272739</v>
      </c>
    </row>
    <row r="120" spans="1:10">
      <c r="A120" s="21"/>
      <c r="B120" s="6" t="s">
        <v>108</v>
      </c>
      <c r="C120" s="86">
        <v>2.5</v>
      </c>
      <c r="D120" s="6">
        <v>9544</v>
      </c>
      <c r="E120" s="6">
        <v>220</v>
      </c>
      <c r="F120" s="6">
        <v>1974</v>
      </c>
      <c r="G120" s="7">
        <f t="shared" si="36"/>
        <v>4935</v>
      </c>
      <c r="H120" s="7">
        <f t="shared" si="40"/>
        <v>22.431818181818183</v>
      </c>
      <c r="I120" s="8">
        <f t="shared" si="38"/>
        <v>75.539744680851072</v>
      </c>
      <c r="J120" s="22">
        <f t="shared" si="39"/>
        <v>1694.4938181818186</v>
      </c>
    </row>
    <row r="121" spans="1:10">
      <c r="A121" s="21"/>
      <c r="B121" s="6" t="s">
        <v>116</v>
      </c>
      <c r="C121" s="86">
        <v>1</v>
      </c>
      <c r="D121" s="6">
        <v>10254</v>
      </c>
      <c r="E121" s="6">
        <v>220</v>
      </c>
      <c r="F121" s="6">
        <v>1974</v>
      </c>
      <c r="G121" s="7">
        <f t="shared" si="36"/>
        <v>1974</v>
      </c>
      <c r="H121" s="7">
        <f t="shared" si="40"/>
        <v>8.9727272727272727</v>
      </c>
      <c r="I121" s="8">
        <f t="shared" si="38"/>
        <v>81.159319148936177</v>
      </c>
      <c r="J121" s="22">
        <f t="shared" si="39"/>
        <v>728.2204363636364</v>
      </c>
    </row>
    <row r="122" spans="1:10">
      <c r="A122" s="21"/>
      <c r="B122" s="6" t="s">
        <v>109</v>
      </c>
      <c r="C122" s="86">
        <v>2</v>
      </c>
      <c r="D122" s="6">
        <f>9544-400+200</f>
        <v>9344</v>
      </c>
      <c r="E122" s="6">
        <v>220</v>
      </c>
      <c r="F122" s="6">
        <v>1974</v>
      </c>
      <c r="G122" s="7">
        <f t="shared" si="36"/>
        <v>3948</v>
      </c>
      <c r="H122" s="7">
        <f t="shared" si="40"/>
        <v>17.945454545454545</v>
      </c>
      <c r="I122" s="8">
        <f t="shared" si="38"/>
        <v>73.956765957446819</v>
      </c>
      <c r="J122" s="22">
        <f t="shared" si="39"/>
        <v>1327.187781818182</v>
      </c>
    </row>
    <row r="123" spans="1:10">
      <c r="A123" s="21"/>
      <c r="B123" s="6" t="s">
        <v>114</v>
      </c>
      <c r="C123" s="86">
        <v>2.25</v>
      </c>
      <c r="D123" s="92">
        <f>9544-651.446</f>
        <v>8892.5540000000001</v>
      </c>
      <c r="E123" s="6">
        <v>220</v>
      </c>
      <c r="F123" s="6">
        <v>1974</v>
      </c>
      <c r="G123" s="7">
        <f t="shared" si="36"/>
        <v>4441.5</v>
      </c>
      <c r="H123" s="7">
        <f t="shared" si="40"/>
        <v>20.188636363636363</v>
      </c>
      <c r="I123" s="8">
        <f t="shared" si="38"/>
        <v>70.383618893617026</v>
      </c>
      <c r="J123" s="22">
        <f t="shared" si="39"/>
        <v>1420.9492878000001</v>
      </c>
    </row>
    <row r="124" spans="1:10">
      <c r="A124" s="21"/>
      <c r="B124" s="6" t="s">
        <v>110</v>
      </c>
      <c r="C124" s="86">
        <v>1</v>
      </c>
      <c r="D124" s="6">
        <v>9544</v>
      </c>
      <c r="E124" s="6">
        <v>220</v>
      </c>
      <c r="F124" s="6">
        <v>1974</v>
      </c>
      <c r="G124" s="7">
        <f t="shared" si="36"/>
        <v>1974</v>
      </c>
      <c r="H124" s="7">
        <f t="shared" si="40"/>
        <v>8.9727272727272727</v>
      </c>
      <c r="I124" s="8">
        <f t="shared" si="38"/>
        <v>75.539744680851072</v>
      </c>
      <c r="J124" s="22">
        <f t="shared" si="39"/>
        <v>677.79752727272739</v>
      </c>
    </row>
    <row r="125" spans="1:10">
      <c r="A125" s="21"/>
      <c r="B125" s="6" t="s">
        <v>111</v>
      </c>
      <c r="C125" s="86"/>
      <c r="D125" s="6"/>
      <c r="E125" s="6">
        <v>220</v>
      </c>
      <c r="F125" s="6">
        <v>1974</v>
      </c>
      <c r="G125" s="7">
        <f t="shared" si="36"/>
        <v>0</v>
      </c>
      <c r="H125" s="7">
        <f t="shared" si="40"/>
        <v>0</v>
      </c>
      <c r="I125" s="8">
        <f t="shared" si="38"/>
        <v>0</v>
      </c>
      <c r="J125" s="22">
        <f t="shared" si="39"/>
        <v>0</v>
      </c>
    </row>
    <row r="126" spans="1:10">
      <c r="A126" s="21"/>
      <c r="B126" s="6" t="s">
        <v>112</v>
      </c>
      <c r="C126" s="86">
        <v>1.5</v>
      </c>
      <c r="D126" s="6">
        <v>9544</v>
      </c>
      <c r="E126" s="6">
        <v>220</v>
      </c>
      <c r="F126" s="6">
        <v>1974</v>
      </c>
      <c r="G126" s="7">
        <f t="shared" si="36"/>
        <v>2961</v>
      </c>
      <c r="H126" s="7">
        <f t="shared" si="40"/>
        <v>13.459090909090909</v>
      </c>
      <c r="I126" s="8">
        <f t="shared" si="38"/>
        <v>75.539744680851072</v>
      </c>
      <c r="J126" s="22">
        <f t="shared" si="39"/>
        <v>1016.696290909091</v>
      </c>
    </row>
    <row r="127" spans="1:10">
      <c r="A127" s="21"/>
      <c r="B127" s="6" t="s">
        <v>113</v>
      </c>
      <c r="C127" s="86">
        <v>2.5299999999999998</v>
      </c>
      <c r="D127" s="6">
        <v>9544</v>
      </c>
      <c r="E127" s="6">
        <v>220</v>
      </c>
      <c r="F127" s="6">
        <v>1974</v>
      </c>
      <c r="G127" s="7">
        <f t="shared" si="36"/>
        <v>4994.2199999999993</v>
      </c>
      <c r="H127" s="7">
        <f t="shared" si="40"/>
        <v>22.700999999999997</v>
      </c>
      <c r="I127" s="8">
        <f t="shared" si="38"/>
        <v>75.539744680851072</v>
      </c>
      <c r="J127" s="22">
        <f t="shared" si="39"/>
        <v>1714.8277439999999</v>
      </c>
    </row>
    <row r="128" spans="1:10">
      <c r="A128" s="21"/>
      <c r="B128" s="6" t="s">
        <v>50</v>
      </c>
      <c r="C128" s="86">
        <v>2</v>
      </c>
      <c r="D128" s="6">
        <v>9544</v>
      </c>
      <c r="E128" s="6">
        <v>220</v>
      </c>
      <c r="F128" s="6">
        <v>1974</v>
      </c>
      <c r="G128" s="7">
        <f t="shared" si="36"/>
        <v>3948</v>
      </c>
      <c r="H128" s="7">
        <f t="shared" si="40"/>
        <v>17.945454545454545</v>
      </c>
      <c r="I128" s="8">
        <f t="shared" si="38"/>
        <v>75.539744680851072</v>
      </c>
      <c r="J128" s="22">
        <f t="shared" si="39"/>
        <v>1355.5950545454548</v>
      </c>
    </row>
    <row r="129" spans="1:13">
      <c r="A129" s="21"/>
      <c r="B129" s="6" t="s">
        <v>119</v>
      </c>
      <c r="C129" s="86"/>
      <c r="D129" s="6"/>
      <c r="E129" s="6">
        <v>220</v>
      </c>
      <c r="F129" s="6">
        <v>1974</v>
      </c>
      <c r="G129" s="7">
        <f t="shared" si="36"/>
        <v>0</v>
      </c>
      <c r="H129" s="7">
        <f t="shared" si="40"/>
        <v>0</v>
      </c>
      <c r="I129" s="8">
        <f t="shared" si="38"/>
        <v>0</v>
      </c>
      <c r="J129" s="22">
        <f t="shared" si="39"/>
        <v>0</v>
      </c>
    </row>
    <row r="130" spans="1:13">
      <c r="A130" s="21"/>
      <c r="B130" s="6" t="s">
        <v>51</v>
      </c>
      <c r="C130" s="86">
        <v>3</v>
      </c>
      <c r="D130" s="93">
        <v>9544</v>
      </c>
      <c r="E130" s="6">
        <v>220</v>
      </c>
      <c r="F130" s="6">
        <v>1974</v>
      </c>
      <c r="G130" s="7">
        <f t="shared" si="36"/>
        <v>5922</v>
      </c>
      <c r="H130" s="7">
        <f t="shared" si="40"/>
        <v>26.918181818181818</v>
      </c>
      <c r="I130" s="8">
        <f t="shared" si="38"/>
        <v>75.539744680851072</v>
      </c>
      <c r="J130" s="22">
        <f t="shared" si="39"/>
        <v>2033.392581818182</v>
      </c>
    </row>
    <row r="131" spans="1:13">
      <c r="A131" s="21"/>
      <c r="B131" s="6" t="s">
        <v>52</v>
      </c>
      <c r="C131" s="86">
        <v>2.5</v>
      </c>
      <c r="D131" s="6">
        <f>9544-400+200</f>
        <v>9344</v>
      </c>
      <c r="E131" s="6">
        <v>220</v>
      </c>
      <c r="F131" s="6">
        <v>1974</v>
      </c>
      <c r="G131" s="7">
        <f t="shared" si="36"/>
        <v>4935</v>
      </c>
      <c r="H131" s="7">
        <f t="shared" si="40"/>
        <v>22.431818181818183</v>
      </c>
      <c r="I131" s="8">
        <f t="shared" si="38"/>
        <v>73.956765957446819</v>
      </c>
      <c r="J131" s="22">
        <f t="shared" si="39"/>
        <v>1658.9847272727277</v>
      </c>
    </row>
    <row r="132" spans="1:13" ht="15.75" thickBot="1">
      <c r="A132" s="23"/>
      <c r="B132" s="24"/>
      <c r="C132" s="24">
        <f>SUM(C113:C131)</f>
        <v>36.980000000000004</v>
      </c>
      <c r="D132" s="24"/>
      <c r="E132" s="24"/>
      <c r="F132" s="24"/>
      <c r="G132" s="25"/>
      <c r="H132" s="25"/>
      <c r="I132" s="26"/>
      <c r="J132" s="27">
        <f>SUM(J113:J131)</f>
        <v>29140.326838636363</v>
      </c>
    </row>
    <row r="133" spans="1:13" ht="15.75" thickBot="1">
      <c r="A133" s="81"/>
      <c r="B133" s="82"/>
      <c r="C133" s="82"/>
      <c r="D133" s="82"/>
      <c r="E133" s="82"/>
      <c r="F133" s="82"/>
      <c r="G133" s="87"/>
      <c r="H133" s="97" t="s">
        <v>98</v>
      </c>
      <c r="I133" s="98"/>
      <c r="J133" s="84">
        <f>J113+J114+J115+J116+J119+J117+J118</f>
        <v>15512.181588654545</v>
      </c>
      <c r="K133" s="77">
        <f>J133*220</f>
        <v>3412679.9495039997</v>
      </c>
      <c r="L133" s="77">
        <f>2621105+791575</f>
        <v>3412680</v>
      </c>
      <c r="M133" s="77">
        <f>L133-K133</f>
        <v>5.0496000330895185E-2</v>
      </c>
    </row>
    <row r="134" spans="1:13" ht="15.75" thickBot="1">
      <c r="A134" s="81"/>
      <c r="B134" s="82"/>
      <c r="C134" s="82"/>
      <c r="D134" s="82"/>
      <c r="E134" s="82"/>
      <c r="F134" s="82"/>
      <c r="G134" s="87"/>
      <c r="H134" s="97" t="s">
        <v>95</v>
      </c>
      <c r="I134" s="98"/>
      <c r="J134" s="84">
        <f>J132-J133</f>
        <v>13628.145249981819</v>
      </c>
      <c r="K134" s="77">
        <f>J134*220</f>
        <v>2998191.954996</v>
      </c>
      <c r="L134" s="77">
        <f>2297367+693805+7020</f>
        <v>2998192</v>
      </c>
      <c r="M134" s="77">
        <f>L134-K134</f>
        <v>4.5003999955952168E-2</v>
      </c>
    </row>
    <row r="135" spans="1:13">
      <c r="A135" s="5" t="s">
        <v>68</v>
      </c>
      <c r="B135" s="17" t="s">
        <v>103</v>
      </c>
      <c r="C135" s="17">
        <v>1</v>
      </c>
      <c r="D135" s="17">
        <v>30520</v>
      </c>
      <c r="E135" s="17">
        <v>250</v>
      </c>
      <c r="F135" s="17">
        <v>1974</v>
      </c>
      <c r="G135" s="18">
        <f>C135*F135</f>
        <v>1974</v>
      </c>
      <c r="H135" s="18">
        <f>G135/E135</f>
        <v>7.8959999999999999</v>
      </c>
      <c r="I135" s="19">
        <f>D135*12*1.302/1974</f>
        <v>241.56255319148937</v>
      </c>
      <c r="J135" s="20">
        <f>I135*H135</f>
        <v>1907.3779200000001</v>
      </c>
    </row>
    <row r="136" spans="1:13">
      <c r="A136" s="21"/>
      <c r="B136" s="6" t="s">
        <v>104</v>
      </c>
      <c r="C136" s="6">
        <v>3</v>
      </c>
      <c r="D136" s="8">
        <f>19154+0.97</f>
        <v>19154.97</v>
      </c>
      <c r="E136" s="6">
        <v>250</v>
      </c>
      <c r="F136" s="6">
        <v>1974</v>
      </c>
      <c r="G136" s="7">
        <f t="shared" ref="G136:G153" si="41">C136*F136</f>
        <v>5922</v>
      </c>
      <c r="H136" s="7">
        <f t="shared" ref="H136:H137" si="42">G136/E136</f>
        <v>23.687999999999999</v>
      </c>
      <c r="I136" s="8">
        <f t="shared" ref="I136:I153" si="43">D136*12*1.302/1974</f>
        <v>151.60954978723404</v>
      </c>
      <c r="J136" s="22">
        <f t="shared" ref="J136:J153" si="44">I136*H136</f>
        <v>3591.3270153599997</v>
      </c>
    </row>
    <row r="137" spans="1:13">
      <c r="A137" s="21"/>
      <c r="B137" s="6" t="s">
        <v>106</v>
      </c>
      <c r="C137" s="6"/>
      <c r="D137" s="6"/>
      <c r="E137" s="6">
        <v>250</v>
      </c>
      <c r="F137" s="6">
        <v>1974</v>
      </c>
      <c r="G137" s="7">
        <f t="shared" si="41"/>
        <v>0</v>
      </c>
      <c r="H137" s="7">
        <f t="shared" si="42"/>
        <v>0</v>
      </c>
      <c r="I137" s="8">
        <f t="shared" si="43"/>
        <v>0</v>
      </c>
      <c r="J137" s="22">
        <f t="shared" si="44"/>
        <v>0</v>
      </c>
    </row>
    <row r="138" spans="1:13">
      <c r="A138" s="21"/>
      <c r="B138" s="6" t="s">
        <v>105</v>
      </c>
      <c r="C138" s="6">
        <v>13.25</v>
      </c>
      <c r="D138" s="8">
        <f>9544+3000-1473</f>
        <v>11071</v>
      </c>
      <c r="E138" s="6">
        <v>250</v>
      </c>
      <c r="F138" s="6">
        <v>1974</v>
      </c>
      <c r="G138" s="7">
        <f t="shared" si="41"/>
        <v>26155.5</v>
      </c>
      <c r="H138" s="7">
        <f>G138/E138</f>
        <v>104.622</v>
      </c>
      <c r="I138" s="8">
        <f t="shared" si="43"/>
        <v>87.625787234042562</v>
      </c>
      <c r="J138" s="22">
        <f t="shared" si="44"/>
        <v>9167.5851120000007</v>
      </c>
    </row>
    <row r="139" spans="1:13">
      <c r="A139" s="21"/>
      <c r="B139" s="6" t="s">
        <v>118</v>
      </c>
      <c r="C139" s="6"/>
      <c r="D139" s="6"/>
      <c r="E139" s="6">
        <v>250</v>
      </c>
      <c r="F139" s="6">
        <v>1974</v>
      </c>
      <c r="G139" s="7">
        <f t="shared" si="41"/>
        <v>0</v>
      </c>
      <c r="H139" s="7">
        <f t="shared" ref="H139:H153" si="45">G139/E139</f>
        <v>0</v>
      </c>
      <c r="I139" s="8">
        <f t="shared" si="43"/>
        <v>0</v>
      </c>
      <c r="J139" s="22">
        <f t="shared" si="44"/>
        <v>0</v>
      </c>
    </row>
    <row r="140" spans="1:13">
      <c r="A140" s="21"/>
      <c r="B140" s="6" t="s">
        <v>117</v>
      </c>
      <c r="C140" s="6"/>
      <c r="D140" s="6"/>
      <c r="E140" s="6">
        <v>250</v>
      </c>
      <c r="F140" s="6">
        <v>1974</v>
      </c>
      <c r="G140" s="7">
        <f t="shared" si="41"/>
        <v>0</v>
      </c>
      <c r="H140" s="7">
        <f t="shared" si="45"/>
        <v>0</v>
      </c>
      <c r="I140" s="8">
        <f t="shared" si="43"/>
        <v>0</v>
      </c>
      <c r="J140" s="22">
        <f t="shared" si="44"/>
        <v>0</v>
      </c>
    </row>
    <row r="141" spans="1:13">
      <c r="A141" s="21"/>
      <c r="B141" s="6" t="s">
        <v>107</v>
      </c>
      <c r="C141" s="6">
        <v>1</v>
      </c>
      <c r="D141" s="6">
        <v>9544</v>
      </c>
      <c r="E141" s="6">
        <v>250</v>
      </c>
      <c r="F141" s="6">
        <v>1974</v>
      </c>
      <c r="G141" s="7">
        <f t="shared" si="41"/>
        <v>1974</v>
      </c>
      <c r="H141" s="7">
        <f t="shared" si="45"/>
        <v>7.8959999999999999</v>
      </c>
      <c r="I141" s="8">
        <f t="shared" si="43"/>
        <v>75.539744680851072</v>
      </c>
      <c r="J141" s="22">
        <f t="shared" si="44"/>
        <v>596.46182400000009</v>
      </c>
    </row>
    <row r="142" spans="1:13">
      <c r="A142" s="21"/>
      <c r="B142" s="6" t="s">
        <v>108</v>
      </c>
      <c r="C142" s="86">
        <v>3</v>
      </c>
      <c r="D142" s="6">
        <v>9544</v>
      </c>
      <c r="E142" s="6">
        <v>250</v>
      </c>
      <c r="F142" s="6">
        <v>1974</v>
      </c>
      <c r="G142" s="7">
        <f t="shared" si="41"/>
        <v>5922</v>
      </c>
      <c r="H142" s="7">
        <f t="shared" si="45"/>
        <v>23.687999999999999</v>
      </c>
      <c r="I142" s="8">
        <f t="shared" si="43"/>
        <v>75.539744680851072</v>
      </c>
      <c r="J142" s="22">
        <f t="shared" si="44"/>
        <v>1789.3854720000002</v>
      </c>
    </row>
    <row r="143" spans="1:13">
      <c r="A143" s="21"/>
      <c r="B143" s="6" t="s">
        <v>116</v>
      </c>
      <c r="C143" s="86">
        <v>1</v>
      </c>
      <c r="D143" s="6">
        <f>10254+98.85</f>
        <v>10352.85</v>
      </c>
      <c r="E143" s="6">
        <v>250</v>
      </c>
      <c r="F143" s="6">
        <v>1974</v>
      </c>
      <c r="G143" s="7">
        <f t="shared" si="41"/>
        <v>1974</v>
      </c>
      <c r="H143" s="7">
        <f t="shared" si="45"/>
        <v>7.8959999999999999</v>
      </c>
      <c r="I143" s="8">
        <f t="shared" si="43"/>
        <v>81.941706382978737</v>
      </c>
      <c r="J143" s="22">
        <f t="shared" si="44"/>
        <v>647.01171360000012</v>
      </c>
    </row>
    <row r="144" spans="1:13">
      <c r="A144" s="21"/>
      <c r="B144" s="6" t="s">
        <v>109</v>
      </c>
      <c r="C144" s="86">
        <v>3</v>
      </c>
      <c r="D144" s="6">
        <v>9544</v>
      </c>
      <c r="E144" s="6">
        <v>250</v>
      </c>
      <c r="F144" s="6">
        <v>1974</v>
      </c>
      <c r="G144" s="7">
        <f t="shared" si="41"/>
        <v>5922</v>
      </c>
      <c r="H144" s="7">
        <f t="shared" si="45"/>
        <v>23.687999999999999</v>
      </c>
      <c r="I144" s="8">
        <f t="shared" si="43"/>
        <v>75.539744680851072</v>
      </c>
      <c r="J144" s="22">
        <f t="shared" si="44"/>
        <v>1789.3854720000002</v>
      </c>
    </row>
    <row r="145" spans="1:13">
      <c r="A145" s="21"/>
      <c r="B145" s="6" t="s">
        <v>114</v>
      </c>
      <c r="C145" s="86">
        <v>1.5</v>
      </c>
      <c r="D145" s="92">
        <v>9544</v>
      </c>
      <c r="E145" s="6">
        <v>250</v>
      </c>
      <c r="F145" s="6">
        <v>1974</v>
      </c>
      <c r="G145" s="7">
        <f t="shared" si="41"/>
        <v>2961</v>
      </c>
      <c r="H145" s="7">
        <f t="shared" si="45"/>
        <v>11.843999999999999</v>
      </c>
      <c r="I145" s="8">
        <f t="shared" si="43"/>
        <v>75.539744680851072</v>
      </c>
      <c r="J145" s="22">
        <f t="shared" si="44"/>
        <v>894.69273600000008</v>
      </c>
    </row>
    <row r="146" spans="1:13">
      <c r="A146" s="21"/>
      <c r="B146" s="6" t="s">
        <v>110</v>
      </c>
      <c r="C146" s="86">
        <v>1</v>
      </c>
      <c r="D146" s="6">
        <v>9544</v>
      </c>
      <c r="E146" s="6">
        <v>250</v>
      </c>
      <c r="F146" s="6">
        <v>1974</v>
      </c>
      <c r="G146" s="7">
        <f t="shared" si="41"/>
        <v>1974</v>
      </c>
      <c r="H146" s="7">
        <f t="shared" si="45"/>
        <v>7.8959999999999999</v>
      </c>
      <c r="I146" s="8">
        <f t="shared" si="43"/>
        <v>75.539744680851072</v>
      </c>
      <c r="J146" s="22">
        <f t="shared" si="44"/>
        <v>596.46182400000009</v>
      </c>
    </row>
    <row r="147" spans="1:13">
      <c r="A147" s="21"/>
      <c r="B147" s="6" t="s">
        <v>111</v>
      </c>
      <c r="C147" s="86"/>
      <c r="D147" s="6"/>
      <c r="E147" s="6">
        <v>250</v>
      </c>
      <c r="F147" s="6">
        <v>1974</v>
      </c>
      <c r="G147" s="7">
        <f t="shared" si="41"/>
        <v>0</v>
      </c>
      <c r="H147" s="7">
        <f t="shared" si="45"/>
        <v>0</v>
      </c>
      <c r="I147" s="8">
        <f t="shared" si="43"/>
        <v>0</v>
      </c>
      <c r="J147" s="22">
        <f t="shared" si="44"/>
        <v>0</v>
      </c>
    </row>
    <row r="148" spans="1:13">
      <c r="A148" s="21"/>
      <c r="B148" s="6" t="s">
        <v>112</v>
      </c>
      <c r="C148" s="86">
        <v>1</v>
      </c>
      <c r="D148" s="6">
        <v>9544</v>
      </c>
      <c r="E148" s="6">
        <v>250</v>
      </c>
      <c r="F148" s="6">
        <v>1974</v>
      </c>
      <c r="G148" s="7">
        <f t="shared" si="41"/>
        <v>1974</v>
      </c>
      <c r="H148" s="7">
        <f t="shared" si="45"/>
        <v>7.8959999999999999</v>
      </c>
      <c r="I148" s="8">
        <f t="shared" si="43"/>
        <v>75.539744680851072</v>
      </c>
      <c r="J148" s="22">
        <f t="shared" si="44"/>
        <v>596.46182400000009</v>
      </c>
    </row>
    <row r="149" spans="1:13">
      <c r="A149" s="21"/>
      <c r="B149" s="6" t="s">
        <v>113</v>
      </c>
      <c r="C149" s="86">
        <v>2.75</v>
      </c>
      <c r="D149" s="6">
        <v>9544</v>
      </c>
      <c r="E149" s="6">
        <v>250</v>
      </c>
      <c r="F149" s="6">
        <v>1974</v>
      </c>
      <c r="G149" s="7">
        <f t="shared" si="41"/>
        <v>5428.5</v>
      </c>
      <c r="H149" s="7">
        <f t="shared" si="45"/>
        <v>21.713999999999999</v>
      </c>
      <c r="I149" s="8">
        <f t="shared" si="43"/>
        <v>75.539744680851072</v>
      </c>
      <c r="J149" s="22">
        <f t="shared" si="44"/>
        <v>1640.2700160000002</v>
      </c>
    </row>
    <row r="150" spans="1:13">
      <c r="A150" s="21"/>
      <c r="B150" s="6" t="s">
        <v>50</v>
      </c>
      <c r="C150" s="86">
        <v>1</v>
      </c>
      <c r="D150" s="6">
        <v>9544</v>
      </c>
      <c r="E150" s="6">
        <v>250</v>
      </c>
      <c r="F150" s="6">
        <v>1974</v>
      </c>
      <c r="G150" s="7">
        <f t="shared" si="41"/>
        <v>1974</v>
      </c>
      <c r="H150" s="7">
        <f t="shared" si="45"/>
        <v>7.8959999999999999</v>
      </c>
      <c r="I150" s="8">
        <f t="shared" si="43"/>
        <v>75.539744680851072</v>
      </c>
      <c r="J150" s="22">
        <f t="shared" si="44"/>
        <v>596.46182400000009</v>
      </c>
    </row>
    <row r="151" spans="1:13">
      <c r="A151" s="21"/>
      <c r="B151" s="6" t="s">
        <v>119</v>
      </c>
      <c r="C151" s="86"/>
      <c r="D151" s="6"/>
      <c r="E151" s="6">
        <v>250</v>
      </c>
      <c r="F151" s="6">
        <v>1974</v>
      </c>
      <c r="G151" s="7">
        <f t="shared" si="41"/>
        <v>0</v>
      </c>
      <c r="H151" s="7">
        <f t="shared" si="45"/>
        <v>0</v>
      </c>
      <c r="I151" s="8">
        <f t="shared" si="43"/>
        <v>0</v>
      </c>
      <c r="J151" s="22">
        <f t="shared" si="44"/>
        <v>0</v>
      </c>
    </row>
    <row r="152" spans="1:13">
      <c r="A152" s="21"/>
      <c r="B152" s="6" t="s">
        <v>51</v>
      </c>
      <c r="C152" s="86">
        <v>3</v>
      </c>
      <c r="D152" s="93">
        <v>9544</v>
      </c>
      <c r="E152" s="6">
        <v>250</v>
      </c>
      <c r="F152" s="6">
        <v>1974</v>
      </c>
      <c r="G152" s="7">
        <f t="shared" si="41"/>
        <v>5922</v>
      </c>
      <c r="H152" s="7">
        <f t="shared" si="45"/>
        <v>23.687999999999999</v>
      </c>
      <c r="I152" s="8">
        <f t="shared" si="43"/>
        <v>75.539744680851072</v>
      </c>
      <c r="J152" s="22">
        <f t="shared" si="44"/>
        <v>1789.3854720000002</v>
      </c>
    </row>
    <row r="153" spans="1:13">
      <c r="A153" s="21"/>
      <c r="B153" s="6" t="s">
        <v>52</v>
      </c>
      <c r="C153" s="86">
        <v>2</v>
      </c>
      <c r="D153" s="6">
        <v>9544</v>
      </c>
      <c r="E153" s="6">
        <v>250</v>
      </c>
      <c r="F153" s="6">
        <v>1974</v>
      </c>
      <c r="G153" s="7">
        <f t="shared" si="41"/>
        <v>3948</v>
      </c>
      <c r="H153" s="7">
        <f t="shared" si="45"/>
        <v>15.792</v>
      </c>
      <c r="I153" s="8">
        <f t="shared" si="43"/>
        <v>75.539744680851072</v>
      </c>
      <c r="J153" s="22">
        <f t="shared" si="44"/>
        <v>1192.9236480000002</v>
      </c>
    </row>
    <row r="154" spans="1:13" ht="15.75" thickBot="1">
      <c r="A154" s="23"/>
      <c r="B154" s="24"/>
      <c r="C154" s="24">
        <f>SUM(C135:C153)</f>
        <v>37.5</v>
      </c>
      <c r="D154" s="24"/>
      <c r="E154" s="24"/>
      <c r="F154" s="24"/>
      <c r="G154" s="25"/>
      <c r="H154" s="25"/>
      <c r="I154" s="26"/>
      <c r="J154" s="27">
        <f>SUM(J135:J153)</f>
        <v>26795.191872960011</v>
      </c>
    </row>
    <row r="155" spans="1:13" ht="15.75" thickBot="1">
      <c r="A155" s="81"/>
      <c r="B155" s="82"/>
      <c r="C155" s="82"/>
      <c r="D155" s="82"/>
      <c r="E155" s="82"/>
      <c r="F155" s="82"/>
      <c r="G155" s="87"/>
      <c r="H155" s="97" t="s">
        <v>98</v>
      </c>
      <c r="I155" s="98"/>
      <c r="J155" s="84">
        <f>J135+J136+J137+J138+J141+J139+J140</f>
        <v>15262.75187136</v>
      </c>
      <c r="K155" s="77">
        <f>J155*250</f>
        <v>3815687.9678400001</v>
      </c>
      <c r="L155" s="77">
        <f>2930635+885052.92</f>
        <v>3815687.92</v>
      </c>
      <c r="M155" s="77">
        <f>L155-K155</f>
        <v>-4.7840000130236149E-2</v>
      </c>
    </row>
    <row r="156" spans="1:13" ht="15.75" thickBot="1">
      <c r="A156" s="81"/>
      <c r="B156" s="82"/>
      <c r="C156" s="82"/>
      <c r="D156" s="82"/>
      <c r="E156" s="82"/>
      <c r="F156" s="82"/>
      <c r="G156" s="87"/>
      <c r="H156" s="97" t="s">
        <v>95</v>
      </c>
      <c r="I156" s="98"/>
      <c r="J156" s="84">
        <f>J154-J155</f>
        <v>11532.440001600011</v>
      </c>
      <c r="K156" s="77">
        <f>J156*250</f>
        <v>2883110.0004000026</v>
      </c>
      <c r="L156" s="77">
        <f>2214370+668740</f>
        <v>2883110</v>
      </c>
      <c r="M156" s="77">
        <f>L156-K156</f>
        <v>-4.0000258013606071E-4</v>
      </c>
    </row>
    <row r="157" spans="1:13">
      <c r="A157" s="5" t="s">
        <v>69</v>
      </c>
      <c r="B157" s="17" t="s">
        <v>103</v>
      </c>
      <c r="C157" s="17">
        <v>1</v>
      </c>
      <c r="D157" s="17">
        <v>23974</v>
      </c>
      <c r="E157" s="17">
        <v>131</v>
      </c>
      <c r="F157" s="17">
        <v>1974</v>
      </c>
      <c r="G157" s="18">
        <f>C157*F157</f>
        <v>1974</v>
      </c>
      <c r="H157" s="18">
        <f>G157/E157</f>
        <v>15.068702290076336</v>
      </c>
      <c r="I157" s="19">
        <f>D157*12*1.302/1974</f>
        <v>189.75165957446808</v>
      </c>
      <c r="J157" s="20">
        <f>I157*H157</f>
        <v>2859.3112671755725</v>
      </c>
    </row>
    <row r="158" spans="1:13">
      <c r="A158" s="21"/>
      <c r="B158" s="6" t="s">
        <v>104</v>
      </c>
      <c r="C158" s="6"/>
      <c r="D158" s="8"/>
      <c r="E158" s="6">
        <v>131</v>
      </c>
      <c r="F158" s="6">
        <v>1974</v>
      </c>
      <c r="G158" s="7">
        <f t="shared" ref="G158:G175" si="46">C158*F158</f>
        <v>0</v>
      </c>
      <c r="H158" s="7">
        <f t="shared" ref="H158:H159" si="47">G158/E158</f>
        <v>0</v>
      </c>
      <c r="I158" s="8">
        <f t="shared" ref="I158:I175" si="48">D158*12*1.302/1974</f>
        <v>0</v>
      </c>
      <c r="J158" s="22">
        <f t="shared" ref="J158:J175" si="49">I158*H158</f>
        <v>0</v>
      </c>
    </row>
    <row r="159" spans="1:13">
      <c r="A159" s="21"/>
      <c r="B159" s="6" t="s">
        <v>106</v>
      </c>
      <c r="C159" s="6">
        <v>1</v>
      </c>
      <c r="D159" s="6">
        <f>9544+10000</f>
        <v>19544</v>
      </c>
      <c r="E159" s="6">
        <v>131</v>
      </c>
      <c r="F159" s="6">
        <v>1974</v>
      </c>
      <c r="G159" s="7">
        <f t="shared" si="46"/>
        <v>1974</v>
      </c>
      <c r="H159" s="7">
        <f t="shared" si="47"/>
        <v>15.068702290076336</v>
      </c>
      <c r="I159" s="8">
        <f t="shared" si="48"/>
        <v>154.68868085106382</v>
      </c>
      <c r="J159" s="22">
        <f t="shared" si="49"/>
        <v>2330.9576793893129</v>
      </c>
    </row>
    <row r="160" spans="1:13">
      <c r="A160" s="21"/>
      <c r="B160" s="6" t="s">
        <v>105</v>
      </c>
      <c r="C160" s="6">
        <v>6.25</v>
      </c>
      <c r="D160" s="8">
        <f>9544+3000+358.662</f>
        <v>12902.662</v>
      </c>
      <c r="E160" s="6">
        <v>131</v>
      </c>
      <c r="F160" s="6">
        <v>1974</v>
      </c>
      <c r="G160" s="7">
        <f t="shared" si="46"/>
        <v>12337.5</v>
      </c>
      <c r="H160" s="7">
        <f>G160/E160</f>
        <v>94.179389312977094</v>
      </c>
      <c r="I160" s="8">
        <f t="shared" si="48"/>
        <v>102.12319710638299</v>
      </c>
      <c r="J160" s="22">
        <f t="shared" si="49"/>
        <v>9617.9003381679395</v>
      </c>
    </row>
    <row r="161" spans="1:10">
      <c r="A161" s="21"/>
      <c r="B161" s="6" t="s">
        <v>118</v>
      </c>
      <c r="C161" s="6"/>
      <c r="D161" s="6"/>
      <c r="E161" s="6">
        <v>131</v>
      </c>
      <c r="F161" s="6">
        <v>1974</v>
      </c>
      <c r="G161" s="7">
        <f t="shared" si="46"/>
        <v>0</v>
      </c>
      <c r="H161" s="7">
        <f t="shared" ref="H161:H175" si="50">G161/E161</f>
        <v>0</v>
      </c>
      <c r="I161" s="8">
        <f t="shared" si="48"/>
        <v>0</v>
      </c>
      <c r="J161" s="22">
        <f t="shared" si="49"/>
        <v>0</v>
      </c>
    </row>
    <row r="162" spans="1:10">
      <c r="A162" s="21"/>
      <c r="B162" s="6" t="s">
        <v>117</v>
      </c>
      <c r="C162" s="6"/>
      <c r="D162" s="6"/>
      <c r="E162" s="6">
        <v>131</v>
      </c>
      <c r="F162" s="6">
        <v>1974</v>
      </c>
      <c r="G162" s="7">
        <f t="shared" si="46"/>
        <v>0</v>
      </c>
      <c r="H162" s="7">
        <f t="shared" si="50"/>
        <v>0</v>
      </c>
      <c r="I162" s="8">
        <f t="shared" si="48"/>
        <v>0</v>
      </c>
      <c r="J162" s="22">
        <f t="shared" si="49"/>
        <v>0</v>
      </c>
    </row>
    <row r="163" spans="1:10">
      <c r="A163" s="21"/>
      <c r="B163" s="6" t="s">
        <v>107</v>
      </c>
      <c r="C163" s="6">
        <v>0.5</v>
      </c>
      <c r="D163" s="6">
        <f>9544+1000</f>
        <v>10544</v>
      </c>
      <c r="E163" s="6">
        <v>131</v>
      </c>
      <c r="F163" s="6">
        <v>1974</v>
      </c>
      <c r="G163" s="7">
        <f t="shared" si="46"/>
        <v>987</v>
      </c>
      <c r="H163" s="7">
        <f t="shared" si="50"/>
        <v>7.5343511450381682</v>
      </c>
      <c r="I163" s="8">
        <f t="shared" si="48"/>
        <v>83.45463829787235</v>
      </c>
      <c r="J163" s="22">
        <f t="shared" si="49"/>
        <v>628.7765496183207</v>
      </c>
    </row>
    <row r="164" spans="1:10">
      <c r="A164" s="21"/>
      <c r="B164" s="6" t="s">
        <v>108</v>
      </c>
      <c r="C164" s="86">
        <v>2</v>
      </c>
      <c r="D164" s="6">
        <v>9544</v>
      </c>
      <c r="E164" s="6">
        <v>131</v>
      </c>
      <c r="F164" s="6">
        <v>1974</v>
      </c>
      <c r="G164" s="7">
        <f t="shared" si="46"/>
        <v>3948</v>
      </c>
      <c r="H164" s="7">
        <f t="shared" si="50"/>
        <v>30.137404580152673</v>
      </c>
      <c r="I164" s="8">
        <f t="shared" si="48"/>
        <v>75.539744680851072</v>
      </c>
      <c r="J164" s="22">
        <f t="shared" si="49"/>
        <v>2276.5718473282445</v>
      </c>
    </row>
    <row r="165" spans="1:10">
      <c r="A165" s="21"/>
      <c r="B165" s="6" t="s">
        <v>116</v>
      </c>
      <c r="C165" s="86"/>
      <c r="D165" s="6"/>
      <c r="E165" s="6">
        <v>131</v>
      </c>
      <c r="F165" s="6">
        <v>1974</v>
      </c>
      <c r="G165" s="7">
        <f t="shared" si="46"/>
        <v>0</v>
      </c>
      <c r="H165" s="7">
        <f t="shared" si="50"/>
        <v>0</v>
      </c>
      <c r="I165" s="8">
        <f t="shared" si="48"/>
        <v>0</v>
      </c>
      <c r="J165" s="22">
        <f t="shared" si="49"/>
        <v>0</v>
      </c>
    </row>
    <row r="166" spans="1:10">
      <c r="A166" s="21"/>
      <c r="B166" s="6" t="s">
        <v>109</v>
      </c>
      <c r="C166" s="86">
        <v>1</v>
      </c>
      <c r="D166" s="6">
        <v>9544</v>
      </c>
      <c r="E166" s="6">
        <v>131</v>
      </c>
      <c r="F166" s="6">
        <v>1974</v>
      </c>
      <c r="G166" s="7">
        <f t="shared" si="46"/>
        <v>1974</v>
      </c>
      <c r="H166" s="7">
        <f t="shared" si="50"/>
        <v>15.068702290076336</v>
      </c>
      <c r="I166" s="8">
        <f t="shared" si="48"/>
        <v>75.539744680851072</v>
      </c>
      <c r="J166" s="22">
        <f t="shared" si="49"/>
        <v>1138.2859236641223</v>
      </c>
    </row>
    <row r="167" spans="1:10">
      <c r="A167" s="21"/>
      <c r="B167" s="6" t="s">
        <v>114</v>
      </c>
      <c r="C167" s="86">
        <v>1</v>
      </c>
      <c r="D167" s="92">
        <f>9544-200</f>
        <v>9344</v>
      </c>
      <c r="E167" s="6">
        <v>131</v>
      </c>
      <c r="F167" s="6">
        <v>1974</v>
      </c>
      <c r="G167" s="7">
        <f t="shared" si="46"/>
        <v>1974</v>
      </c>
      <c r="H167" s="7">
        <f t="shared" si="50"/>
        <v>15.068702290076336</v>
      </c>
      <c r="I167" s="8">
        <f t="shared" si="48"/>
        <v>73.956765957446819</v>
      </c>
      <c r="J167" s="22">
        <f t="shared" si="49"/>
        <v>1114.4324885496185</v>
      </c>
    </row>
    <row r="168" spans="1:10">
      <c r="A168" s="21"/>
      <c r="B168" s="6" t="s">
        <v>110</v>
      </c>
      <c r="C168" s="86">
        <v>1</v>
      </c>
      <c r="D168" s="6">
        <v>9544</v>
      </c>
      <c r="E168" s="6">
        <v>131</v>
      </c>
      <c r="F168" s="6">
        <v>1974</v>
      </c>
      <c r="G168" s="7">
        <f t="shared" si="46"/>
        <v>1974</v>
      </c>
      <c r="H168" s="7">
        <f t="shared" si="50"/>
        <v>15.068702290076336</v>
      </c>
      <c r="I168" s="8">
        <f t="shared" si="48"/>
        <v>75.539744680851072</v>
      </c>
      <c r="J168" s="22">
        <f t="shared" si="49"/>
        <v>1138.2859236641223</v>
      </c>
    </row>
    <row r="169" spans="1:10">
      <c r="A169" s="21"/>
      <c r="B169" s="6" t="s">
        <v>111</v>
      </c>
      <c r="C169" s="86"/>
      <c r="D169" s="6"/>
      <c r="E169" s="6">
        <v>131</v>
      </c>
      <c r="F169" s="6">
        <v>1974</v>
      </c>
      <c r="G169" s="7">
        <f t="shared" si="46"/>
        <v>0</v>
      </c>
      <c r="H169" s="7">
        <f t="shared" si="50"/>
        <v>0</v>
      </c>
      <c r="I169" s="8">
        <f t="shared" si="48"/>
        <v>0</v>
      </c>
      <c r="J169" s="22">
        <f t="shared" si="49"/>
        <v>0</v>
      </c>
    </row>
    <row r="170" spans="1:10">
      <c r="A170" s="21"/>
      <c r="B170" s="6" t="s">
        <v>112</v>
      </c>
      <c r="C170" s="86">
        <v>0.5</v>
      </c>
      <c r="D170" s="6">
        <f>9544-328</f>
        <v>9216</v>
      </c>
      <c r="E170" s="6">
        <v>131</v>
      </c>
      <c r="F170" s="6">
        <v>1974</v>
      </c>
      <c r="G170" s="7">
        <f t="shared" si="46"/>
        <v>987</v>
      </c>
      <c r="H170" s="7">
        <f t="shared" si="50"/>
        <v>7.5343511450381682</v>
      </c>
      <c r="I170" s="8">
        <f t="shared" si="48"/>
        <v>72.943659574468086</v>
      </c>
      <c r="J170" s="22">
        <f t="shared" si="49"/>
        <v>549.58314503816791</v>
      </c>
    </row>
    <row r="171" spans="1:10">
      <c r="A171" s="21"/>
      <c r="B171" s="6" t="s">
        <v>113</v>
      </c>
      <c r="C171" s="86">
        <v>1</v>
      </c>
      <c r="D171" s="6">
        <v>9544</v>
      </c>
      <c r="E171" s="6">
        <v>131</v>
      </c>
      <c r="F171" s="6">
        <v>1974</v>
      </c>
      <c r="G171" s="7">
        <f t="shared" si="46"/>
        <v>1974</v>
      </c>
      <c r="H171" s="7">
        <f t="shared" si="50"/>
        <v>15.068702290076336</v>
      </c>
      <c r="I171" s="8">
        <f t="shared" si="48"/>
        <v>75.539744680851072</v>
      </c>
      <c r="J171" s="22">
        <f t="shared" si="49"/>
        <v>1138.2859236641223</v>
      </c>
    </row>
    <row r="172" spans="1:10">
      <c r="A172" s="21"/>
      <c r="B172" s="6" t="s">
        <v>50</v>
      </c>
      <c r="C172" s="86">
        <v>1</v>
      </c>
      <c r="D172" s="6">
        <v>9544</v>
      </c>
      <c r="E172" s="6">
        <v>131</v>
      </c>
      <c r="F172" s="6">
        <v>1974</v>
      </c>
      <c r="G172" s="7">
        <f t="shared" si="46"/>
        <v>1974</v>
      </c>
      <c r="H172" s="7">
        <f t="shared" si="50"/>
        <v>15.068702290076336</v>
      </c>
      <c r="I172" s="8">
        <f t="shared" si="48"/>
        <v>75.539744680851072</v>
      </c>
      <c r="J172" s="22">
        <f t="shared" si="49"/>
        <v>1138.2859236641223</v>
      </c>
    </row>
    <row r="173" spans="1:10">
      <c r="A173" s="21"/>
      <c r="B173" s="6" t="s">
        <v>119</v>
      </c>
      <c r="C173" s="86"/>
      <c r="D173" s="6"/>
      <c r="E173" s="6">
        <v>131</v>
      </c>
      <c r="F173" s="6">
        <v>1974</v>
      </c>
      <c r="G173" s="7">
        <f t="shared" si="46"/>
        <v>0</v>
      </c>
      <c r="H173" s="7">
        <f t="shared" si="50"/>
        <v>0</v>
      </c>
      <c r="I173" s="8">
        <f t="shared" si="48"/>
        <v>0</v>
      </c>
      <c r="J173" s="22">
        <f t="shared" si="49"/>
        <v>0</v>
      </c>
    </row>
    <row r="174" spans="1:10">
      <c r="A174" s="21"/>
      <c r="B174" s="6" t="s">
        <v>51</v>
      </c>
      <c r="C174" s="86">
        <v>3</v>
      </c>
      <c r="D174" s="93">
        <v>9544</v>
      </c>
      <c r="E174" s="6">
        <v>131</v>
      </c>
      <c r="F174" s="6">
        <v>1974</v>
      </c>
      <c r="G174" s="7">
        <f t="shared" si="46"/>
        <v>5922</v>
      </c>
      <c r="H174" s="7">
        <f t="shared" si="50"/>
        <v>45.206106870229007</v>
      </c>
      <c r="I174" s="8">
        <f t="shared" si="48"/>
        <v>75.539744680851072</v>
      </c>
      <c r="J174" s="22">
        <f t="shared" si="49"/>
        <v>3414.8577709923666</v>
      </c>
    </row>
    <row r="175" spans="1:10">
      <c r="A175" s="21"/>
      <c r="B175" s="6" t="s">
        <v>52</v>
      </c>
      <c r="C175" s="86">
        <v>1.25</v>
      </c>
      <c r="D175" s="6">
        <f>9544-348.06+119.82</f>
        <v>9315.76</v>
      </c>
      <c r="E175" s="6">
        <v>131</v>
      </c>
      <c r="F175" s="6">
        <v>1974</v>
      </c>
      <c r="G175" s="7">
        <f t="shared" si="46"/>
        <v>2467.5</v>
      </c>
      <c r="H175" s="7">
        <f t="shared" si="50"/>
        <v>18.835877862595421</v>
      </c>
      <c r="I175" s="8">
        <f t="shared" si="48"/>
        <v>73.733249361702136</v>
      </c>
      <c r="J175" s="22">
        <f t="shared" si="49"/>
        <v>1388.8304793893133</v>
      </c>
    </row>
    <row r="176" spans="1:10" ht="15.75" thickBot="1">
      <c r="A176" s="23"/>
      <c r="B176" s="24"/>
      <c r="C176" s="24">
        <f>SUM(C157:C175)</f>
        <v>20.5</v>
      </c>
      <c r="D176" s="24"/>
      <c r="E176" s="24"/>
      <c r="F176" s="24"/>
      <c r="G176" s="25"/>
      <c r="H176" s="25"/>
      <c r="I176" s="26"/>
      <c r="J176" s="27">
        <f>SUM(J157:J175)</f>
        <v>28734.365260305349</v>
      </c>
    </row>
    <row r="177" spans="1:13" ht="15.75" thickBot="1">
      <c r="A177" s="81"/>
      <c r="B177" s="82"/>
      <c r="C177" s="82"/>
      <c r="D177" s="82"/>
      <c r="E177" s="82"/>
      <c r="F177" s="82"/>
      <c r="G177" s="87"/>
      <c r="H177" s="97" t="s">
        <v>98</v>
      </c>
      <c r="I177" s="98"/>
      <c r="J177" s="84">
        <f>J157+J158+J159+J160+J163+J161+J162</f>
        <v>15436.945834351145</v>
      </c>
      <c r="K177" s="77">
        <f>J177*131</f>
        <v>2022239.9043000001</v>
      </c>
      <c r="L177" s="77">
        <f>1553179+469061</f>
        <v>2022240</v>
      </c>
      <c r="M177" s="77">
        <f>L177-K177</f>
        <v>9.5699999947100878E-2</v>
      </c>
    </row>
    <row r="178" spans="1:13" ht="15.75" thickBot="1">
      <c r="A178" s="81"/>
      <c r="B178" s="82"/>
      <c r="C178" s="82"/>
      <c r="D178" s="82"/>
      <c r="E178" s="82"/>
      <c r="F178" s="82"/>
      <c r="G178" s="87"/>
      <c r="H178" s="97" t="s">
        <v>95</v>
      </c>
      <c r="I178" s="98"/>
      <c r="J178" s="84">
        <f>J176-J177</f>
        <v>13297.419425954204</v>
      </c>
      <c r="K178" s="77">
        <f>J178*131</f>
        <v>1741961.9448000006</v>
      </c>
      <c r="L178" s="77">
        <f>1336115+403507+2340</f>
        <v>1741962</v>
      </c>
      <c r="M178" s="77">
        <f>L178-K178</f>
        <v>5.5199999362230301E-2</v>
      </c>
    </row>
    <row r="179" spans="1:13">
      <c r="A179" s="5" t="s">
        <v>70</v>
      </c>
      <c r="B179" s="17" t="s">
        <v>103</v>
      </c>
      <c r="C179" s="17">
        <v>1</v>
      </c>
      <c r="D179" s="17">
        <v>27218</v>
      </c>
      <c r="E179" s="17">
        <v>126</v>
      </c>
      <c r="F179" s="17">
        <v>1974</v>
      </c>
      <c r="G179" s="18">
        <f>C179*F179</f>
        <v>1974</v>
      </c>
      <c r="H179" s="18">
        <f>G179/E179</f>
        <v>15.666666666666666</v>
      </c>
      <c r="I179" s="19">
        <f>D179*12*1.302/1974</f>
        <v>215.42757446808511</v>
      </c>
      <c r="J179" s="20">
        <f>I179*H179</f>
        <v>3375.0320000000002</v>
      </c>
    </row>
    <row r="180" spans="1:13">
      <c r="A180" s="21"/>
      <c r="B180" s="6" t="s">
        <v>104</v>
      </c>
      <c r="C180" s="6"/>
      <c r="D180" s="8"/>
      <c r="E180" s="6">
        <v>126</v>
      </c>
      <c r="F180" s="6">
        <v>1974</v>
      </c>
      <c r="G180" s="7">
        <f t="shared" ref="G180:G197" si="51">C180*F180</f>
        <v>0</v>
      </c>
      <c r="H180" s="7">
        <f t="shared" ref="H180:H181" si="52">G180/E180</f>
        <v>0</v>
      </c>
      <c r="I180" s="8">
        <f t="shared" ref="I180:I197" si="53">D180*12*1.302/1974</f>
        <v>0</v>
      </c>
      <c r="J180" s="22">
        <f t="shared" ref="J180:J197" si="54">I180*H180</f>
        <v>0</v>
      </c>
    </row>
    <row r="181" spans="1:13">
      <c r="A181" s="21"/>
      <c r="B181" s="6" t="s">
        <v>106</v>
      </c>
      <c r="C181" s="6">
        <v>1</v>
      </c>
      <c r="D181" s="6">
        <f>9544+3106.7</f>
        <v>12650.7</v>
      </c>
      <c r="E181" s="6">
        <v>126</v>
      </c>
      <c r="F181" s="6">
        <v>1974</v>
      </c>
      <c r="G181" s="7">
        <f t="shared" si="51"/>
        <v>1974</v>
      </c>
      <c r="H181" s="7">
        <f t="shared" si="52"/>
        <v>15.666666666666666</v>
      </c>
      <c r="I181" s="8">
        <f t="shared" si="53"/>
        <v>100.12894468085108</v>
      </c>
      <c r="J181" s="22">
        <f t="shared" si="54"/>
        <v>1568.6868000000002</v>
      </c>
    </row>
    <row r="182" spans="1:13">
      <c r="A182" s="21"/>
      <c r="B182" s="6" t="s">
        <v>105</v>
      </c>
      <c r="C182" s="6">
        <v>6.25</v>
      </c>
      <c r="D182" s="8">
        <f>9544+3000</f>
        <v>12544</v>
      </c>
      <c r="E182" s="6">
        <v>126</v>
      </c>
      <c r="F182" s="6">
        <v>1974</v>
      </c>
      <c r="G182" s="7">
        <f t="shared" si="51"/>
        <v>12337.5</v>
      </c>
      <c r="H182" s="7">
        <f>G182/E182</f>
        <v>97.916666666666671</v>
      </c>
      <c r="I182" s="8">
        <f t="shared" si="53"/>
        <v>99.284425531914891</v>
      </c>
      <c r="J182" s="22">
        <f t="shared" si="54"/>
        <v>9721.6</v>
      </c>
    </row>
    <row r="183" spans="1:13">
      <c r="A183" s="21"/>
      <c r="B183" s="6" t="s">
        <v>118</v>
      </c>
      <c r="C183" s="6"/>
      <c r="D183" s="6"/>
      <c r="E183" s="6">
        <v>126</v>
      </c>
      <c r="F183" s="6">
        <v>1974</v>
      </c>
      <c r="G183" s="7">
        <f t="shared" si="51"/>
        <v>0</v>
      </c>
      <c r="H183" s="7">
        <f t="shared" ref="H183:H197" si="55">G183/E183</f>
        <v>0</v>
      </c>
      <c r="I183" s="8">
        <f t="shared" si="53"/>
        <v>0</v>
      </c>
      <c r="J183" s="22">
        <f t="shared" si="54"/>
        <v>0</v>
      </c>
    </row>
    <row r="184" spans="1:13">
      <c r="A184" s="21"/>
      <c r="B184" s="6" t="s">
        <v>117</v>
      </c>
      <c r="C184" s="6"/>
      <c r="D184" s="6"/>
      <c r="E184" s="6">
        <v>126</v>
      </c>
      <c r="F184" s="6">
        <v>1974</v>
      </c>
      <c r="G184" s="7">
        <f t="shared" si="51"/>
        <v>0</v>
      </c>
      <c r="H184" s="7">
        <f t="shared" si="55"/>
        <v>0</v>
      </c>
      <c r="I184" s="8">
        <f t="shared" si="53"/>
        <v>0</v>
      </c>
      <c r="J184" s="22">
        <f t="shared" si="54"/>
        <v>0</v>
      </c>
    </row>
    <row r="185" spans="1:13">
      <c r="A185" s="21"/>
      <c r="B185" s="6" t="s">
        <v>107</v>
      </c>
      <c r="C185" s="6">
        <v>0.5</v>
      </c>
      <c r="D185" s="6">
        <f>9544+1000</f>
        <v>10544</v>
      </c>
      <c r="E185" s="6">
        <v>126</v>
      </c>
      <c r="F185" s="6">
        <v>1974</v>
      </c>
      <c r="G185" s="7">
        <f t="shared" si="51"/>
        <v>987</v>
      </c>
      <c r="H185" s="7">
        <f t="shared" si="55"/>
        <v>7.833333333333333</v>
      </c>
      <c r="I185" s="8">
        <f t="shared" si="53"/>
        <v>83.45463829787235</v>
      </c>
      <c r="J185" s="22">
        <f t="shared" si="54"/>
        <v>653.72800000000007</v>
      </c>
    </row>
    <row r="186" spans="1:13">
      <c r="A186" s="21"/>
      <c r="B186" s="6" t="s">
        <v>108</v>
      </c>
      <c r="C186" s="86">
        <v>2</v>
      </c>
      <c r="D186" s="6">
        <v>9544</v>
      </c>
      <c r="E186" s="6">
        <v>126</v>
      </c>
      <c r="F186" s="6">
        <v>1974</v>
      </c>
      <c r="G186" s="7">
        <f t="shared" si="51"/>
        <v>3948</v>
      </c>
      <c r="H186" s="7">
        <f t="shared" si="55"/>
        <v>31.333333333333332</v>
      </c>
      <c r="I186" s="8">
        <f t="shared" si="53"/>
        <v>75.539744680851072</v>
      </c>
      <c r="J186" s="22">
        <f t="shared" si="54"/>
        <v>2366.9120000000003</v>
      </c>
    </row>
    <row r="187" spans="1:13">
      <c r="A187" s="21"/>
      <c r="B187" s="6" t="s">
        <v>116</v>
      </c>
      <c r="C187" s="86"/>
      <c r="D187" s="6"/>
      <c r="E187" s="6">
        <v>126</v>
      </c>
      <c r="F187" s="6">
        <v>1974</v>
      </c>
      <c r="G187" s="7">
        <f t="shared" si="51"/>
        <v>0</v>
      </c>
      <c r="H187" s="7">
        <f t="shared" si="55"/>
        <v>0</v>
      </c>
      <c r="I187" s="8">
        <f t="shared" si="53"/>
        <v>0</v>
      </c>
      <c r="J187" s="22">
        <f t="shared" si="54"/>
        <v>0</v>
      </c>
    </row>
    <row r="188" spans="1:13">
      <c r="A188" s="21"/>
      <c r="B188" s="6" t="s">
        <v>109</v>
      </c>
      <c r="C188" s="86">
        <v>1</v>
      </c>
      <c r="D188" s="6">
        <v>9544</v>
      </c>
      <c r="E188" s="6">
        <v>126</v>
      </c>
      <c r="F188" s="6">
        <v>1974</v>
      </c>
      <c r="G188" s="7">
        <f t="shared" si="51"/>
        <v>1974</v>
      </c>
      <c r="H188" s="7">
        <f t="shared" si="55"/>
        <v>15.666666666666666</v>
      </c>
      <c r="I188" s="8">
        <f t="shared" si="53"/>
        <v>75.539744680851072</v>
      </c>
      <c r="J188" s="22">
        <f t="shared" si="54"/>
        <v>1183.4560000000001</v>
      </c>
    </row>
    <row r="189" spans="1:13">
      <c r="A189" s="21"/>
      <c r="B189" s="6" t="s">
        <v>114</v>
      </c>
      <c r="C189" s="86">
        <v>1.5</v>
      </c>
      <c r="D189" s="92">
        <f>9544</f>
        <v>9544</v>
      </c>
      <c r="E189" s="6">
        <v>126</v>
      </c>
      <c r="F189" s="6">
        <v>1974</v>
      </c>
      <c r="G189" s="7">
        <f t="shared" si="51"/>
        <v>2961</v>
      </c>
      <c r="H189" s="7">
        <f t="shared" si="55"/>
        <v>23.5</v>
      </c>
      <c r="I189" s="8">
        <f t="shared" si="53"/>
        <v>75.539744680851072</v>
      </c>
      <c r="J189" s="22">
        <f t="shared" si="54"/>
        <v>1775.1840000000002</v>
      </c>
    </row>
    <row r="190" spans="1:13">
      <c r="A190" s="21"/>
      <c r="B190" s="6" t="s">
        <v>110</v>
      </c>
      <c r="C190" s="86">
        <v>1</v>
      </c>
      <c r="D190" s="6">
        <v>9544</v>
      </c>
      <c r="E190" s="6">
        <v>126</v>
      </c>
      <c r="F190" s="6">
        <v>1974</v>
      </c>
      <c r="G190" s="7">
        <f t="shared" si="51"/>
        <v>1974</v>
      </c>
      <c r="H190" s="7">
        <f t="shared" si="55"/>
        <v>15.666666666666666</v>
      </c>
      <c r="I190" s="8">
        <f t="shared" si="53"/>
        <v>75.539744680851072</v>
      </c>
      <c r="J190" s="22">
        <f t="shared" si="54"/>
        <v>1183.4560000000001</v>
      </c>
    </row>
    <row r="191" spans="1:13">
      <c r="A191" s="21"/>
      <c r="B191" s="6" t="s">
        <v>111</v>
      </c>
      <c r="C191" s="86"/>
      <c r="D191" s="6"/>
      <c r="E191" s="6">
        <v>126</v>
      </c>
      <c r="F191" s="6">
        <v>1974</v>
      </c>
      <c r="G191" s="7">
        <f t="shared" si="51"/>
        <v>0</v>
      </c>
      <c r="H191" s="7">
        <f t="shared" si="55"/>
        <v>0</v>
      </c>
      <c r="I191" s="8">
        <f t="shared" si="53"/>
        <v>0</v>
      </c>
      <c r="J191" s="22">
        <f t="shared" si="54"/>
        <v>0</v>
      </c>
    </row>
    <row r="192" spans="1:13">
      <c r="A192" s="21"/>
      <c r="B192" s="6" t="s">
        <v>112</v>
      </c>
      <c r="C192" s="86">
        <v>0.5</v>
      </c>
      <c r="D192" s="6">
        <f>9544-328</f>
        <v>9216</v>
      </c>
      <c r="E192" s="6">
        <v>126</v>
      </c>
      <c r="F192" s="6">
        <v>1974</v>
      </c>
      <c r="G192" s="7">
        <f t="shared" si="51"/>
        <v>987</v>
      </c>
      <c r="H192" s="7">
        <f t="shared" si="55"/>
        <v>7.833333333333333</v>
      </c>
      <c r="I192" s="8">
        <f t="shared" si="53"/>
        <v>72.943659574468086</v>
      </c>
      <c r="J192" s="22">
        <f t="shared" si="54"/>
        <v>571.39199999999994</v>
      </c>
    </row>
    <row r="193" spans="1:13">
      <c r="A193" s="21"/>
      <c r="B193" s="6" t="s">
        <v>113</v>
      </c>
      <c r="C193" s="86">
        <v>1.5</v>
      </c>
      <c r="D193" s="6">
        <v>9544</v>
      </c>
      <c r="E193" s="6">
        <v>126</v>
      </c>
      <c r="F193" s="6">
        <v>1974</v>
      </c>
      <c r="G193" s="7">
        <f t="shared" si="51"/>
        <v>2961</v>
      </c>
      <c r="H193" s="7">
        <f t="shared" si="55"/>
        <v>23.5</v>
      </c>
      <c r="I193" s="8">
        <f t="shared" si="53"/>
        <v>75.539744680851072</v>
      </c>
      <c r="J193" s="22">
        <f t="shared" si="54"/>
        <v>1775.1840000000002</v>
      </c>
    </row>
    <row r="194" spans="1:13">
      <c r="A194" s="21"/>
      <c r="B194" s="6" t="s">
        <v>50</v>
      </c>
      <c r="C194" s="86">
        <v>0.5</v>
      </c>
      <c r="D194" s="6">
        <v>9544</v>
      </c>
      <c r="E194" s="6">
        <v>126</v>
      </c>
      <c r="F194" s="6">
        <v>1974</v>
      </c>
      <c r="G194" s="7">
        <f t="shared" si="51"/>
        <v>987</v>
      </c>
      <c r="H194" s="7">
        <f t="shared" si="55"/>
        <v>7.833333333333333</v>
      </c>
      <c r="I194" s="8">
        <f t="shared" si="53"/>
        <v>75.539744680851072</v>
      </c>
      <c r="J194" s="22">
        <f t="shared" si="54"/>
        <v>591.72800000000007</v>
      </c>
    </row>
    <row r="195" spans="1:13">
      <c r="A195" s="21"/>
      <c r="B195" s="6" t="s">
        <v>119</v>
      </c>
      <c r="C195" s="86"/>
      <c r="D195" s="6"/>
      <c r="E195" s="6">
        <v>126</v>
      </c>
      <c r="F195" s="6">
        <v>1974</v>
      </c>
      <c r="G195" s="7">
        <f t="shared" si="51"/>
        <v>0</v>
      </c>
      <c r="H195" s="7">
        <f t="shared" si="55"/>
        <v>0</v>
      </c>
      <c r="I195" s="8">
        <f t="shared" si="53"/>
        <v>0</v>
      </c>
      <c r="J195" s="22">
        <f t="shared" si="54"/>
        <v>0</v>
      </c>
    </row>
    <row r="196" spans="1:13">
      <c r="A196" s="21"/>
      <c r="B196" s="6" t="s">
        <v>51</v>
      </c>
      <c r="C196" s="86">
        <v>6</v>
      </c>
      <c r="D196" s="93">
        <v>9544</v>
      </c>
      <c r="E196" s="6">
        <v>126</v>
      </c>
      <c r="F196" s="6">
        <v>1974</v>
      </c>
      <c r="G196" s="7">
        <f t="shared" si="51"/>
        <v>11844</v>
      </c>
      <c r="H196" s="7">
        <f t="shared" si="55"/>
        <v>94</v>
      </c>
      <c r="I196" s="8">
        <f t="shared" si="53"/>
        <v>75.539744680851072</v>
      </c>
      <c r="J196" s="22">
        <f t="shared" si="54"/>
        <v>7100.7360000000008</v>
      </c>
    </row>
    <row r="197" spans="1:13">
      <c r="A197" s="21"/>
      <c r="B197" s="6" t="s">
        <v>52</v>
      </c>
      <c r="C197" s="86">
        <v>1.75</v>
      </c>
      <c r="D197" s="6">
        <f>9544-200+20.09</f>
        <v>9364.09</v>
      </c>
      <c r="E197" s="6">
        <v>126</v>
      </c>
      <c r="F197" s="6">
        <v>1974</v>
      </c>
      <c r="G197" s="7">
        <f t="shared" si="51"/>
        <v>3454.5</v>
      </c>
      <c r="H197" s="7">
        <f t="shared" si="55"/>
        <v>27.416666666666668</v>
      </c>
      <c r="I197" s="8">
        <f t="shared" si="53"/>
        <v>74.115776170212769</v>
      </c>
      <c r="J197" s="22">
        <f t="shared" si="54"/>
        <v>2032.0075300000001</v>
      </c>
    </row>
    <row r="198" spans="1:13" ht="15.75" thickBot="1">
      <c r="A198" s="23"/>
      <c r="B198" s="24"/>
      <c r="C198" s="24">
        <f>SUM(C179:C197)</f>
        <v>24.5</v>
      </c>
      <c r="D198" s="24"/>
      <c r="E198" s="24"/>
      <c r="F198" s="24"/>
      <c r="G198" s="25"/>
      <c r="H198" s="25"/>
      <c r="I198" s="26"/>
      <c r="J198" s="27">
        <f>SUM(J179:J197)</f>
        <v>33899.102330000002</v>
      </c>
    </row>
    <row r="199" spans="1:13" ht="15.75" thickBot="1">
      <c r="A199" s="81"/>
      <c r="B199" s="82"/>
      <c r="C199" s="82"/>
      <c r="D199" s="82"/>
      <c r="E199" s="82"/>
      <c r="F199" s="82"/>
      <c r="G199" s="87"/>
      <c r="H199" s="97" t="s">
        <v>98</v>
      </c>
      <c r="I199" s="98"/>
      <c r="J199" s="84">
        <f>J179+J180+J181+J182+J185+J183+J184</f>
        <v>15319.0468</v>
      </c>
      <c r="K199" s="77">
        <f>J199*126</f>
        <v>1930199.8968</v>
      </c>
      <c r="L199" s="77">
        <f>1482488+447712</f>
        <v>1930200</v>
      </c>
      <c r="M199" s="77">
        <f>L199-K199</f>
        <v>0.10320000001229346</v>
      </c>
    </row>
    <row r="200" spans="1:13" ht="15.75" thickBot="1">
      <c r="A200" s="81"/>
      <c r="B200" s="82"/>
      <c r="C200" s="82"/>
      <c r="D200" s="82"/>
      <c r="E200" s="82"/>
      <c r="F200" s="82"/>
      <c r="G200" s="87"/>
      <c r="H200" s="97" t="s">
        <v>95</v>
      </c>
      <c r="I200" s="98"/>
      <c r="J200" s="84">
        <f>J198-J199</f>
        <v>18580.055530000001</v>
      </c>
      <c r="K200" s="77">
        <f>J200*126</f>
        <v>2341086.9967800002</v>
      </c>
      <c r="L200" s="77">
        <f>1798070+543017</f>
        <v>2341087</v>
      </c>
      <c r="M200" s="77">
        <f>L200-K200</f>
        <v>3.2199998386204243E-3</v>
      </c>
    </row>
    <row r="201" spans="1:13">
      <c r="A201" s="5" t="s">
        <v>71</v>
      </c>
      <c r="B201" s="17" t="s">
        <v>103</v>
      </c>
      <c r="C201" s="17">
        <v>1</v>
      </c>
      <c r="D201" s="17">
        <v>37509</v>
      </c>
      <c r="E201" s="17">
        <v>275</v>
      </c>
      <c r="F201" s="17">
        <v>1974</v>
      </c>
      <c r="G201" s="18">
        <f>C201*F201</f>
        <v>1974</v>
      </c>
      <c r="H201" s="18">
        <f>G201/E201</f>
        <v>7.1781818181818178</v>
      </c>
      <c r="I201" s="19">
        <f>D201*12*1.302/1974</f>
        <v>296.8797446808511</v>
      </c>
      <c r="J201" s="20">
        <f>I201*H201</f>
        <v>2131.0567854545457</v>
      </c>
    </row>
    <row r="202" spans="1:13">
      <c r="A202" s="21"/>
      <c r="B202" s="6" t="s">
        <v>104</v>
      </c>
      <c r="C202" s="6">
        <v>1</v>
      </c>
      <c r="D202" s="8">
        <f>20113+2370.38</f>
        <v>22483.38</v>
      </c>
      <c r="E202" s="6">
        <v>275</v>
      </c>
      <c r="F202" s="6">
        <v>1974</v>
      </c>
      <c r="G202" s="7">
        <f t="shared" ref="G202:G219" si="56">C202*F202</f>
        <v>1974</v>
      </c>
      <c r="H202" s="7">
        <f t="shared" ref="H202:H203" si="57">G202/E202</f>
        <v>7.1781818181818178</v>
      </c>
      <c r="I202" s="8">
        <f t="shared" ref="I202:I219" si="58">D202*12*1.302/1974</f>
        <v>177.95356085106383</v>
      </c>
      <c r="J202" s="22">
        <f t="shared" ref="J202:J219" si="59">I202*H202</f>
        <v>1277.3830149818182</v>
      </c>
    </row>
    <row r="203" spans="1:13">
      <c r="A203" s="21"/>
      <c r="B203" s="6" t="s">
        <v>106</v>
      </c>
      <c r="C203" s="6"/>
      <c r="D203" s="6"/>
      <c r="E203" s="6">
        <v>275</v>
      </c>
      <c r="F203" s="6">
        <v>1974</v>
      </c>
      <c r="G203" s="7">
        <f t="shared" si="56"/>
        <v>0</v>
      </c>
      <c r="H203" s="7">
        <f t="shared" si="57"/>
        <v>0</v>
      </c>
      <c r="I203" s="8">
        <f t="shared" si="58"/>
        <v>0</v>
      </c>
      <c r="J203" s="22">
        <f t="shared" si="59"/>
        <v>0</v>
      </c>
    </row>
    <row r="204" spans="1:13">
      <c r="A204" s="21"/>
      <c r="B204" s="6" t="s">
        <v>105</v>
      </c>
      <c r="C204" s="6">
        <v>15</v>
      </c>
      <c r="D204" s="8">
        <f>9544+3000</f>
        <v>12544</v>
      </c>
      <c r="E204" s="6">
        <v>275</v>
      </c>
      <c r="F204" s="6">
        <v>1974</v>
      </c>
      <c r="G204" s="7">
        <f t="shared" si="56"/>
        <v>29610</v>
      </c>
      <c r="H204" s="7">
        <f>G204/E204</f>
        <v>107.67272727272727</v>
      </c>
      <c r="I204" s="8">
        <f t="shared" si="58"/>
        <v>99.284425531914891</v>
      </c>
      <c r="J204" s="22">
        <f t="shared" si="59"/>
        <v>10690.224872727273</v>
      </c>
    </row>
    <row r="205" spans="1:13">
      <c r="A205" s="21"/>
      <c r="B205" s="6" t="s">
        <v>118</v>
      </c>
      <c r="C205" s="6"/>
      <c r="D205" s="6"/>
      <c r="E205" s="6">
        <v>275</v>
      </c>
      <c r="F205" s="6">
        <v>1974</v>
      </c>
      <c r="G205" s="7">
        <f t="shared" si="56"/>
        <v>0</v>
      </c>
      <c r="H205" s="7">
        <f t="shared" ref="H205:H219" si="60">G205/E205</f>
        <v>0</v>
      </c>
      <c r="I205" s="8">
        <f t="shared" si="58"/>
        <v>0</v>
      </c>
      <c r="J205" s="22">
        <f t="shared" si="59"/>
        <v>0</v>
      </c>
    </row>
    <row r="206" spans="1:13">
      <c r="A206" s="21"/>
      <c r="B206" s="6" t="s">
        <v>117</v>
      </c>
      <c r="C206" s="6">
        <v>0.5</v>
      </c>
      <c r="D206" s="6">
        <v>9544</v>
      </c>
      <c r="E206" s="6">
        <v>275</v>
      </c>
      <c r="F206" s="6">
        <v>1974</v>
      </c>
      <c r="G206" s="7">
        <f t="shared" si="56"/>
        <v>987</v>
      </c>
      <c r="H206" s="7">
        <f t="shared" si="60"/>
        <v>3.5890909090909089</v>
      </c>
      <c r="I206" s="8">
        <f t="shared" si="58"/>
        <v>75.539744680851072</v>
      </c>
      <c r="J206" s="22">
        <f t="shared" si="59"/>
        <v>271.11901090909095</v>
      </c>
    </row>
    <row r="207" spans="1:13">
      <c r="A207" s="21"/>
      <c r="B207" s="6" t="s">
        <v>107</v>
      </c>
      <c r="C207" s="6">
        <v>1</v>
      </c>
      <c r="D207" s="6">
        <f>9544+1000</f>
        <v>10544</v>
      </c>
      <c r="E207" s="6">
        <v>275</v>
      </c>
      <c r="F207" s="6">
        <v>1974</v>
      </c>
      <c r="G207" s="7">
        <f t="shared" si="56"/>
        <v>1974</v>
      </c>
      <c r="H207" s="7">
        <f t="shared" si="60"/>
        <v>7.1781818181818178</v>
      </c>
      <c r="I207" s="8">
        <f t="shared" si="58"/>
        <v>83.45463829787235</v>
      </c>
      <c r="J207" s="22">
        <f t="shared" si="59"/>
        <v>599.05256727272729</v>
      </c>
    </row>
    <row r="208" spans="1:13">
      <c r="A208" s="21"/>
      <c r="B208" s="6" t="s">
        <v>108</v>
      </c>
      <c r="C208" s="86">
        <v>3</v>
      </c>
      <c r="D208" s="6">
        <v>9544</v>
      </c>
      <c r="E208" s="6">
        <v>275</v>
      </c>
      <c r="F208" s="6">
        <v>1974</v>
      </c>
      <c r="G208" s="7">
        <f t="shared" si="56"/>
        <v>5922</v>
      </c>
      <c r="H208" s="7">
        <f t="shared" si="60"/>
        <v>21.534545454545455</v>
      </c>
      <c r="I208" s="8">
        <f t="shared" si="58"/>
        <v>75.539744680851072</v>
      </c>
      <c r="J208" s="22">
        <f t="shared" si="59"/>
        <v>1626.7140654545458</v>
      </c>
    </row>
    <row r="209" spans="1:13">
      <c r="A209" s="21"/>
      <c r="B209" s="6" t="s">
        <v>116</v>
      </c>
      <c r="C209" s="86">
        <v>1</v>
      </c>
      <c r="D209" s="6">
        <v>9544</v>
      </c>
      <c r="E209" s="6">
        <v>275</v>
      </c>
      <c r="F209" s="6">
        <v>1974</v>
      </c>
      <c r="G209" s="7">
        <f t="shared" si="56"/>
        <v>1974</v>
      </c>
      <c r="H209" s="7">
        <f t="shared" si="60"/>
        <v>7.1781818181818178</v>
      </c>
      <c r="I209" s="8">
        <f t="shared" si="58"/>
        <v>75.539744680851072</v>
      </c>
      <c r="J209" s="22">
        <f t="shared" si="59"/>
        <v>542.23802181818189</v>
      </c>
    </row>
    <row r="210" spans="1:13">
      <c r="A210" s="21"/>
      <c r="B210" s="6" t="s">
        <v>109</v>
      </c>
      <c r="C210" s="86">
        <v>3</v>
      </c>
      <c r="D210" s="6">
        <v>9544</v>
      </c>
      <c r="E210" s="6">
        <v>275</v>
      </c>
      <c r="F210" s="6">
        <v>1974</v>
      </c>
      <c r="G210" s="7">
        <f t="shared" si="56"/>
        <v>5922</v>
      </c>
      <c r="H210" s="7">
        <f t="shared" si="60"/>
        <v>21.534545454545455</v>
      </c>
      <c r="I210" s="8">
        <f t="shared" si="58"/>
        <v>75.539744680851072</v>
      </c>
      <c r="J210" s="22">
        <f t="shared" si="59"/>
        <v>1626.7140654545458</v>
      </c>
    </row>
    <row r="211" spans="1:13">
      <c r="A211" s="21"/>
      <c r="B211" s="6" t="s">
        <v>114</v>
      </c>
      <c r="C211" s="86">
        <v>2</v>
      </c>
      <c r="D211" s="92">
        <f>9544-700</f>
        <v>8844</v>
      </c>
      <c r="E211" s="6">
        <v>275</v>
      </c>
      <c r="F211" s="6">
        <v>1974</v>
      </c>
      <c r="G211" s="7">
        <f t="shared" si="56"/>
        <v>3948</v>
      </c>
      <c r="H211" s="7">
        <f t="shared" si="60"/>
        <v>14.356363636363636</v>
      </c>
      <c r="I211" s="8">
        <f t="shared" si="58"/>
        <v>69.999319148936181</v>
      </c>
      <c r="J211" s="22">
        <f t="shared" si="59"/>
        <v>1004.93568</v>
      </c>
    </row>
    <row r="212" spans="1:13">
      <c r="A212" s="21"/>
      <c r="B212" s="6" t="s">
        <v>110</v>
      </c>
      <c r="C212" s="86">
        <v>1</v>
      </c>
      <c r="D212" s="6">
        <v>9544</v>
      </c>
      <c r="E212" s="6">
        <v>275</v>
      </c>
      <c r="F212" s="6">
        <v>1974</v>
      </c>
      <c r="G212" s="7">
        <f t="shared" si="56"/>
        <v>1974</v>
      </c>
      <c r="H212" s="7">
        <f t="shared" si="60"/>
        <v>7.1781818181818178</v>
      </c>
      <c r="I212" s="8">
        <f t="shared" si="58"/>
        <v>75.539744680851072</v>
      </c>
      <c r="J212" s="22">
        <f t="shared" si="59"/>
        <v>542.23802181818189</v>
      </c>
    </row>
    <row r="213" spans="1:13">
      <c r="A213" s="21"/>
      <c r="B213" s="6" t="s">
        <v>111</v>
      </c>
      <c r="C213" s="86"/>
      <c r="D213" s="6"/>
      <c r="E213" s="6">
        <v>275</v>
      </c>
      <c r="F213" s="6">
        <v>1974</v>
      </c>
      <c r="G213" s="7">
        <f t="shared" si="56"/>
        <v>0</v>
      </c>
      <c r="H213" s="7">
        <f t="shared" si="60"/>
        <v>0</v>
      </c>
      <c r="I213" s="8">
        <f t="shared" si="58"/>
        <v>0</v>
      </c>
      <c r="J213" s="22">
        <f t="shared" si="59"/>
        <v>0</v>
      </c>
    </row>
    <row r="214" spans="1:13">
      <c r="A214" s="21"/>
      <c r="B214" s="6" t="s">
        <v>112</v>
      </c>
      <c r="C214" s="86">
        <v>1.5</v>
      </c>
      <c r="D214" s="6">
        <v>9544</v>
      </c>
      <c r="E214" s="6">
        <v>275</v>
      </c>
      <c r="F214" s="6">
        <v>1974</v>
      </c>
      <c r="G214" s="7">
        <f t="shared" si="56"/>
        <v>2961</v>
      </c>
      <c r="H214" s="7">
        <f t="shared" si="60"/>
        <v>10.767272727272728</v>
      </c>
      <c r="I214" s="8">
        <f t="shared" si="58"/>
        <v>75.539744680851072</v>
      </c>
      <c r="J214" s="22">
        <f t="shared" si="59"/>
        <v>813.35703272727289</v>
      </c>
    </row>
    <row r="215" spans="1:13">
      <c r="A215" s="21"/>
      <c r="B215" s="6" t="s">
        <v>113</v>
      </c>
      <c r="C215" s="86">
        <v>3</v>
      </c>
      <c r="D215" s="6">
        <v>9544</v>
      </c>
      <c r="E215" s="6">
        <v>275</v>
      </c>
      <c r="F215" s="6">
        <v>1974</v>
      </c>
      <c r="G215" s="7">
        <f t="shared" si="56"/>
        <v>5922</v>
      </c>
      <c r="H215" s="7">
        <f t="shared" si="60"/>
        <v>21.534545454545455</v>
      </c>
      <c r="I215" s="8">
        <f t="shared" si="58"/>
        <v>75.539744680851072</v>
      </c>
      <c r="J215" s="22">
        <f t="shared" si="59"/>
        <v>1626.7140654545458</v>
      </c>
    </row>
    <row r="216" spans="1:13">
      <c r="A216" s="21"/>
      <c r="B216" s="6" t="s">
        <v>50</v>
      </c>
      <c r="C216" s="86">
        <v>3.7</v>
      </c>
      <c r="D216" s="8">
        <f>9544-100+49.055</f>
        <v>9493.0550000000003</v>
      </c>
      <c r="E216" s="6">
        <v>275</v>
      </c>
      <c r="F216" s="6">
        <v>1974</v>
      </c>
      <c r="G216" s="7">
        <f t="shared" si="56"/>
        <v>7303.8</v>
      </c>
      <c r="H216" s="7">
        <f t="shared" si="60"/>
        <v>26.559272727272727</v>
      </c>
      <c r="I216" s="8">
        <f t="shared" si="58"/>
        <v>75.136520425531913</v>
      </c>
      <c r="J216" s="22">
        <f t="shared" si="59"/>
        <v>1995.57133776</v>
      </c>
    </row>
    <row r="217" spans="1:13">
      <c r="A217" s="21"/>
      <c r="B217" s="6" t="s">
        <v>119</v>
      </c>
      <c r="C217" s="86"/>
      <c r="D217" s="6"/>
      <c r="E217" s="6">
        <v>275</v>
      </c>
      <c r="F217" s="6">
        <v>1974</v>
      </c>
      <c r="G217" s="7">
        <f t="shared" si="56"/>
        <v>0</v>
      </c>
      <c r="H217" s="7">
        <f t="shared" si="60"/>
        <v>0</v>
      </c>
      <c r="I217" s="8">
        <f t="shared" si="58"/>
        <v>0</v>
      </c>
      <c r="J217" s="22">
        <f t="shared" si="59"/>
        <v>0</v>
      </c>
    </row>
    <row r="218" spans="1:13">
      <c r="A218" s="21"/>
      <c r="B218" s="6" t="s">
        <v>51</v>
      </c>
      <c r="C218" s="86">
        <v>3</v>
      </c>
      <c r="D218" s="93">
        <v>9544</v>
      </c>
      <c r="E218" s="6">
        <v>275</v>
      </c>
      <c r="F218" s="6">
        <v>1974</v>
      </c>
      <c r="G218" s="7">
        <f t="shared" si="56"/>
        <v>5922</v>
      </c>
      <c r="H218" s="7">
        <f t="shared" si="60"/>
        <v>21.534545454545455</v>
      </c>
      <c r="I218" s="8">
        <f t="shared" si="58"/>
        <v>75.539744680851072</v>
      </c>
      <c r="J218" s="22">
        <f t="shared" si="59"/>
        <v>1626.7140654545458</v>
      </c>
    </row>
    <row r="219" spans="1:13">
      <c r="A219" s="21"/>
      <c r="B219" s="6" t="s">
        <v>52</v>
      </c>
      <c r="C219" s="86">
        <v>4</v>
      </c>
      <c r="D219" s="6">
        <f>9544-500</f>
        <v>9044</v>
      </c>
      <c r="E219" s="6">
        <v>275</v>
      </c>
      <c r="F219" s="6">
        <v>1974</v>
      </c>
      <c r="G219" s="7">
        <f t="shared" si="56"/>
        <v>7896</v>
      </c>
      <c r="H219" s="7">
        <f t="shared" si="60"/>
        <v>28.712727272727271</v>
      </c>
      <c r="I219" s="8">
        <f t="shared" si="58"/>
        <v>71.582297872340433</v>
      </c>
      <c r="J219" s="22">
        <f t="shared" si="59"/>
        <v>2055.3229963636363</v>
      </c>
    </row>
    <row r="220" spans="1:13" ht="15.75" thickBot="1">
      <c r="A220" s="23"/>
      <c r="B220" s="24"/>
      <c r="C220" s="24">
        <f>SUM(C201:C219)</f>
        <v>43.7</v>
      </c>
      <c r="D220" s="24"/>
      <c r="E220" s="24"/>
      <c r="F220" s="24"/>
      <c r="G220" s="25"/>
      <c r="H220" s="25"/>
      <c r="I220" s="26"/>
      <c r="J220" s="27">
        <f>SUM(J201:J219)</f>
        <v>28429.355603650914</v>
      </c>
    </row>
    <row r="221" spans="1:13" ht="15.75" thickBot="1">
      <c r="A221" s="81"/>
      <c r="B221" s="82"/>
      <c r="C221" s="82"/>
      <c r="D221" s="82"/>
      <c r="E221" s="82"/>
      <c r="F221" s="82"/>
      <c r="G221" s="87"/>
      <c r="H221" s="97" t="s">
        <v>98</v>
      </c>
      <c r="I221" s="98"/>
      <c r="J221" s="84">
        <f>J201+J202+J203+J204+J207+J205+J206</f>
        <v>14968.836251345454</v>
      </c>
      <c r="K221" s="77">
        <f>J221*275</f>
        <v>4116429.96912</v>
      </c>
      <c r="L221" s="77">
        <f>3161620+954810</f>
        <v>4116430</v>
      </c>
      <c r="M221" s="77">
        <f>L221-K221</f>
        <v>3.0879999976605177E-2</v>
      </c>
    </row>
    <row r="222" spans="1:13" ht="15.75" thickBot="1">
      <c r="A222" s="81"/>
      <c r="B222" s="82"/>
      <c r="C222" s="82"/>
      <c r="D222" s="82"/>
      <c r="E222" s="82"/>
      <c r="F222" s="82"/>
      <c r="G222" s="87"/>
      <c r="H222" s="97" t="s">
        <v>95</v>
      </c>
      <c r="I222" s="98"/>
      <c r="J222" s="84">
        <f>J220-J221</f>
        <v>13460.51935230546</v>
      </c>
      <c r="K222" s="77">
        <f>J222*275</f>
        <v>3701642.8218840016</v>
      </c>
      <c r="L222" s="77">
        <f>2842445+858418+780</f>
        <v>3701643</v>
      </c>
      <c r="M222" s="77">
        <f>L222-K222</f>
        <v>0.17811599839478731</v>
      </c>
    </row>
    <row r="223" spans="1:13">
      <c r="A223" s="5" t="s">
        <v>72</v>
      </c>
      <c r="B223" s="17" t="s">
        <v>103</v>
      </c>
      <c r="C223" s="17">
        <v>1</v>
      </c>
      <c r="D223" s="17">
        <v>37587</v>
      </c>
      <c r="E223" s="17">
        <v>206</v>
      </c>
      <c r="F223" s="17">
        <v>1974</v>
      </c>
      <c r="G223" s="18">
        <f>C223*F223</f>
        <v>1974</v>
      </c>
      <c r="H223" s="18">
        <f>G223/E223</f>
        <v>9.5825242718446599</v>
      </c>
      <c r="I223" s="19">
        <f>D223*12*1.302/1974</f>
        <v>297.49710638297876</v>
      </c>
      <c r="J223" s="20">
        <f>I223*H223</f>
        <v>2850.7732427184469</v>
      </c>
    </row>
    <row r="224" spans="1:13">
      <c r="A224" s="21"/>
      <c r="B224" s="6" t="s">
        <v>104</v>
      </c>
      <c r="C224" s="6">
        <v>1</v>
      </c>
      <c r="D224" s="8">
        <f>20415-2000</f>
        <v>18415</v>
      </c>
      <c r="E224" s="6">
        <v>206</v>
      </c>
      <c r="F224" s="6">
        <v>1974</v>
      </c>
      <c r="G224" s="7">
        <f t="shared" ref="G224:G242" si="61">C224*F224</f>
        <v>1974</v>
      </c>
      <c r="H224" s="7">
        <f t="shared" ref="H224:H225" si="62">G224/E224</f>
        <v>9.5825242718446599</v>
      </c>
      <c r="I224" s="8">
        <f t="shared" ref="I224:I242" si="63">D224*12*1.302/1974</f>
        <v>145.75276595744683</v>
      </c>
      <c r="J224" s="22">
        <f t="shared" ref="J224:J242" si="64">I224*H224</f>
        <v>1396.6794174757283</v>
      </c>
    </row>
    <row r="225" spans="1:10">
      <c r="A225" s="21"/>
      <c r="B225" s="6" t="s">
        <v>106</v>
      </c>
      <c r="C225" s="6"/>
      <c r="D225" s="6"/>
      <c r="E225" s="6">
        <v>206</v>
      </c>
      <c r="F225" s="6">
        <v>1974</v>
      </c>
      <c r="G225" s="7">
        <f t="shared" si="61"/>
        <v>0</v>
      </c>
      <c r="H225" s="7">
        <f t="shared" si="62"/>
        <v>0</v>
      </c>
      <c r="I225" s="8">
        <f t="shared" si="63"/>
        <v>0</v>
      </c>
      <c r="J225" s="22">
        <f t="shared" si="64"/>
        <v>0</v>
      </c>
    </row>
    <row r="226" spans="1:10">
      <c r="A226" s="21"/>
      <c r="B226" s="6" t="s">
        <v>105</v>
      </c>
      <c r="C226" s="6">
        <v>12</v>
      </c>
      <c r="D226" s="8">
        <f>9544+3000-3000+596.68</f>
        <v>10140.68</v>
      </c>
      <c r="E226" s="6">
        <v>206</v>
      </c>
      <c r="F226" s="6">
        <v>1974</v>
      </c>
      <c r="G226" s="7">
        <f t="shared" si="61"/>
        <v>23688</v>
      </c>
      <c r="H226" s="7">
        <f>G226/E226</f>
        <v>114.99029126213593</v>
      </c>
      <c r="I226" s="8">
        <f t="shared" si="63"/>
        <v>80.262403404255323</v>
      </c>
      <c r="J226" s="22">
        <f t="shared" si="64"/>
        <v>9229.3971448543689</v>
      </c>
    </row>
    <row r="227" spans="1:10">
      <c r="A227" s="21"/>
      <c r="B227" s="6" t="s">
        <v>118</v>
      </c>
      <c r="C227" s="6">
        <v>1</v>
      </c>
      <c r="D227" s="6">
        <f>9544-200</f>
        <v>9344</v>
      </c>
      <c r="E227" s="6">
        <v>206</v>
      </c>
      <c r="F227" s="6">
        <v>1974</v>
      </c>
      <c r="G227" s="7">
        <f t="shared" si="61"/>
        <v>1974</v>
      </c>
      <c r="H227" s="7">
        <f t="shared" ref="H227:H242" si="65">G227/E227</f>
        <v>9.5825242718446599</v>
      </c>
      <c r="I227" s="8">
        <f t="shared" si="63"/>
        <v>73.956765957446819</v>
      </c>
      <c r="J227" s="22">
        <f t="shared" si="64"/>
        <v>708.69250485436896</v>
      </c>
    </row>
    <row r="228" spans="1:10">
      <c r="A228" s="21"/>
      <c r="B228" s="6" t="s">
        <v>117</v>
      </c>
      <c r="C228" s="6"/>
      <c r="D228" s="6"/>
      <c r="E228" s="6">
        <v>206</v>
      </c>
      <c r="F228" s="6">
        <v>1974</v>
      </c>
      <c r="G228" s="7">
        <f t="shared" si="61"/>
        <v>0</v>
      </c>
      <c r="H228" s="7">
        <f t="shared" si="65"/>
        <v>0</v>
      </c>
      <c r="I228" s="8">
        <f t="shared" si="63"/>
        <v>0</v>
      </c>
      <c r="J228" s="22">
        <f t="shared" si="64"/>
        <v>0</v>
      </c>
    </row>
    <row r="229" spans="1:10">
      <c r="A229" s="21"/>
      <c r="B229" s="6" t="s">
        <v>107</v>
      </c>
      <c r="C229" s="6">
        <v>1</v>
      </c>
      <c r="D229" s="6">
        <f>9544-300</f>
        <v>9244</v>
      </c>
      <c r="E229" s="6">
        <v>206</v>
      </c>
      <c r="F229" s="6">
        <v>1974</v>
      </c>
      <c r="G229" s="7">
        <f t="shared" si="61"/>
        <v>1974</v>
      </c>
      <c r="H229" s="7">
        <f t="shared" si="65"/>
        <v>9.5825242718446599</v>
      </c>
      <c r="I229" s="8">
        <f t="shared" si="63"/>
        <v>73.165276595744672</v>
      </c>
      <c r="J229" s="22">
        <f t="shared" si="64"/>
        <v>701.10803883495134</v>
      </c>
    </row>
    <row r="230" spans="1:10">
      <c r="A230" s="21"/>
      <c r="B230" s="6" t="s">
        <v>108</v>
      </c>
      <c r="C230" s="86">
        <v>2</v>
      </c>
      <c r="D230" s="6">
        <v>9544</v>
      </c>
      <c r="E230" s="6">
        <v>206</v>
      </c>
      <c r="F230" s="6">
        <v>1974</v>
      </c>
      <c r="G230" s="7">
        <f t="shared" si="61"/>
        <v>3948</v>
      </c>
      <c r="H230" s="7">
        <f t="shared" si="65"/>
        <v>19.16504854368932</v>
      </c>
      <c r="I230" s="8">
        <f t="shared" si="63"/>
        <v>75.539744680851072</v>
      </c>
      <c r="J230" s="22">
        <f t="shared" si="64"/>
        <v>1447.7228737864079</v>
      </c>
    </row>
    <row r="231" spans="1:10">
      <c r="A231" s="21"/>
      <c r="B231" s="6" t="s">
        <v>116</v>
      </c>
      <c r="C231" s="86">
        <v>1</v>
      </c>
      <c r="D231" s="6">
        <v>9544</v>
      </c>
      <c r="E231" s="6">
        <v>206</v>
      </c>
      <c r="F231" s="6">
        <v>1974</v>
      </c>
      <c r="G231" s="7">
        <f t="shared" si="61"/>
        <v>1974</v>
      </c>
      <c r="H231" s="7">
        <f t="shared" si="65"/>
        <v>9.5825242718446599</v>
      </c>
      <c r="I231" s="8">
        <f t="shared" si="63"/>
        <v>75.539744680851072</v>
      </c>
      <c r="J231" s="22">
        <f t="shared" si="64"/>
        <v>723.86143689320397</v>
      </c>
    </row>
    <row r="232" spans="1:10">
      <c r="A232" s="21"/>
      <c r="B232" s="6" t="s">
        <v>109</v>
      </c>
      <c r="C232" s="86">
        <v>2</v>
      </c>
      <c r="D232" s="6">
        <v>9544</v>
      </c>
      <c r="E232" s="6">
        <v>206</v>
      </c>
      <c r="F232" s="6">
        <v>1974</v>
      </c>
      <c r="G232" s="7">
        <f t="shared" si="61"/>
        <v>3948</v>
      </c>
      <c r="H232" s="7">
        <f t="shared" si="65"/>
        <v>19.16504854368932</v>
      </c>
      <c r="I232" s="8">
        <f t="shared" si="63"/>
        <v>75.539744680851072</v>
      </c>
      <c r="J232" s="22">
        <f t="shared" si="64"/>
        <v>1447.7228737864079</v>
      </c>
    </row>
    <row r="233" spans="1:10">
      <c r="A233" s="21"/>
      <c r="B233" s="6" t="s">
        <v>114</v>
      </c>
      <c r="C233" s="86">
        <v>2</v>
      </c>
      <c r="D233" s="92">
        <f>9544-400+31.19</f>
        <v>9175.19</v>
      </c>
      <c r="E233" s="6">
        <v>206</v>
      </c>
      <c r="F233" s="6">
        <v>1974</v>
      </c>
      <c r="G233" s="7">
        <f t="shared" si="61"/>
        <v>3948</v>
      </c>
      <c r="H233" s="7">
        <f t="shared" si="65"/>
        <v>19.16504854368932</v>
      </c>
      <c r="I233" s="8">
        <f t="shared" si="63"/>
        <v>72.620652765957445</v>
      </c>
      <c r="J233" s="22">
        <f t="shared" si="64"/>
        <v>1391.7783355339805</v>
      </c>
    </row>
    <row r="234" spans="1:10">
      <c r="A234" s="21"/>
      <c r="B234" s="6" t="s">
        <v>110</v>
      </c>
      <c r="C234" s="86">
        <v>1</v>
      </c>
      <c r="D234" s="6">
        <v>9544</v>
      </c>
      <c r="E234" s="6">
        <v>206</v>
      </c>
      <c r="F234" s="6">
        <v>1974</v>
      </c>
      <c r="G234" s="7">
        <f t="shared" si="61"/>
        <v>1974</v>
      </c>
      <c r="H234" s="7">
        <f t="shared" si="65"/>
        <v>9.5825242718446599</v>
      </c>
      <c r="I234" s="8">
        <f t="shared" si="63"/>
        <v>75.539744680851072</v>
      </c>
      <c r="J234" s="22">
        <f t="shared" si="64"/>
        <v>723.86143689320397</v>
      </c>
    </row>
    <row r="235" spans="1:10">
      <c r="A235" s="21"/>
      <c r="B235" s="6" t="s">
        <v>111</v>
      </c>
      <c r="C235" s="86"/>
      <c r="D235" s="6"/>
      <c r="E235" s="6">
        <v>206</v>
      </c>
      <c r="F235" s="6">
        <v>1974</v>
      </c>
      <c r="G235" s="7">
        <f t="shared" si="61"/>
        <v>0</v>
      </c>
      <c r="H235" s="7">
        <f t="shared" si="65"/>
        <v>0</v>
      </c>
      <c r="I235" s="8">
        <f t="shared" si="63"/>
        <v>0</v>
      </c>
      <c r="J235" s="22">
        <f t="shared" si="64"/>
        <v>0</v>
      </c>
    </row>
    <row r="236" spans="1:10">
      <c r="A236" s="21"/>
      <c r="B236" s="6" t="s">
        <v>112</v>
      </c>
      <c r="C236" s="86">
        <v>1</v>
      </c>
      <c r="D236" s="6">
        <f>9544</f>
        <v>9544</v>
      </c>
      <c r="E236" s="6">
        <v>206</v>
      </c>
      <c r="F236" s="6">
        <v>1974</v>
      </c>
      <c r="G236" s="7">
        <f t="shared" si="61"/>
        <v>1974</v>
      </c>
      <c r="H236" s="7">
        <f t="shared" si="65"/>
        <v>9.5825242718446599</v>
      </c>
      <c r="I236" s="8">
        <f t="shared" si="63"/>
        <v>75.539744680851072</v>
      </c>
      <c r="J236" s="22">
        <f t="shared" si="64"/>
        <v>723.86143689320397</v>
      </c>
    </row>
    <row r="237" spans="1:10">
      <c r="A237" s="21"/>
      <c r="B237" s="6" t="s">
        <v>113</v>
      </c>
      <c r="C237" s="86">
        <v>2.5</v>
      </c>
      <c r="D237" s="6">
        <f>9544-300</f>
        <v>9244</v>
      </c>
      <c r="E237" s="6">
        <v>206</v>
      </c>
      <c r="F237" s="6">
        <v>1974</v>
      </c>
      <c r="G237" s="7">
        <f t="shared" si="61"/>
        <v>4935</v>
      </c>
      <c r="H237" s="7">
        <f t="shared" si="65"/>
        <v>23.956310679611651</v>
      </c>
      <c r="I237" s="8">
        <f t="shared" si="63"/>
        <v>73.165276595744672</v>
      </c>
      <c r="J237" s="22">
        <f t="shared" si="64"/>
        <v>1752.7700970873784</v>
      </c>
    </row>
    <row r="238" spans="1:10">
      <c r="A238" s="21"/>
      <c r="B238" s="6" t="s">
        <v>50</v>
      </c>
      <c r="C238" s="86">
        <v>2</v>
      </c>
      <c r="D238" s="6">
        <v>9544</v>
      </c>
      <c r="E238" s="6">
        <v>206</v>
      </c>
      <c r="F238" s="6">
        <v>1974</v>
      </c>
      <c r="G238" s="7">
        <f t="shared" si="61"/>
        <v>3948</v>
      </c>
      <c r="H238" s="7">
        <f t="shared" si="65"/>
        <v>19.16504854368932</v>
      </c>
      <c r="I238" s="8">
        <f t="shared" si="63"/>
        <v>75.539744680851072</v>
      </c>
      <c r="J238" s="22">
        <f t="shared" si="64"/>
        <v>1447.7228737864079</v>
      </c>
    </row>
    <row r="239" spans="1:10">
      <c r="A239" s="21"/>
      <c r="B239" s="6" t="s">
        <v>119</v>
      </c>
      <c r="C239" s="86">
        <v>1</v>
      </c>
      <c r="D239" s="6">
        <v>9544</v>
      </c>
      <c r="E239" s="6">
        <v>206</v>
      </c>
      <c r="F239" s="6">
        <v>1974</v>
      </c>
      <c r="G239" s="7">
        <f t="shared" si="61"/>
        <v>1974</v>
      </c>
      <c r="H239" s="7">
        <f t="shared" si="65"/>
        <v>9.5825242718446599</v>
      </c>
      <c r="I239" s="8">
        <f t="shared" si="63"/>
        <v>75.539744680851072</v>
      </c>
      <c r="J239" s="22">
        <f t="shared" si="64"/>
        <v>723.86143689320397</v>
      </c>
    </row>
    <row r="240" spans="1:10">
      <c r="A240" s="21"/>
      <c r="B240" s="6" t="s">
        <v>120</v>
      </c>
      <c r="C240" s="86">
        <v>0.5</v>
      </c>
      <c r="D240" s="6">
        <f>9544-700</f>
        <v>8844</v>
      </c>
      <c r="E240" s="6">
        <v>206</v>
      </c>
      <c r="F240" s="6">
        <v>1974</v>
      </c>
      <c r="G240" s="7">
        <f t="shared" ref="G240" si="66">C240*F240</f>
        <v>987</v>
      </c>
      <c r="H240" s="7">
        <f t="shared" ref="H240" si="67">G240/E240</f>
        <v>4.79126213592233</v>
      </c>
      <c r="I240" s="8">
        <f t="shared" ref="I240" si="68">D240*12*1.302/1974</f>
        <v>69.999319148936181</v>
      </c>
      <c r="J240" s="22">
        <f t="shared" ref="J240" si="69">I240*H240</f>
        <v>335.38508737864083</v>
      </c>
    </row>
    <row r="241" spans="1:13">
      <c r="A241" s="21"/>
      <c r="B241" s="6" t="s">
        <v>51</v>
      </c>
      <c r="C241" s="86">
        <v>3</v>
      </c>
      <c r="D241" s="93">
        <v>9544</v>
      </c>
      <c r="E241" s="6">
        <v>206</v>
      </c>
      <c r="F241" s="6">
        <v>1974</v>
      </c>
      <c r="G241" s="7">
        <f t="shared" si="61"/>
        <v>5922</v>
      </c>
      <c r="H241" s="7">
        <f t="shared" si="65"/>
        <v>28.747572815533982</v>
      </c>
      <c r="I241" s="8">
        <f t="shared" si="63"/>
        <v>75.539744680851072</v>
      </c>
      <c r="J241" s="22">
        <f t="shared" si="64"/>
        <v>2171.5843106796119</v>
      </c>
    </row>
    <row r="242" spans="1:13">
      <c r="A242" s="21"/>
      <c r="B242" s="6" t="s">
        <v>52</v>
      </c>
      <c r="C242" s="86">
        <v>2.5</v>
      </c>
      <c r="D242" s="6">
        <f>9544-300</f>
        <v>9244</v>
      </c>
      <c r="E242" s="6">
        <v>206</v>
      </c>
      <c r="F242" s="6">
        <v>1974</v>
      </c>
      <c r="G242" s="7">
        <f t="shared" si="61"/>
        <v>4935</v>
      </c>
      <c r="H242" s="7">
        <f t="shared" si="65"/>
        <v>23.956310679611651</v>
      </c>
      <c r="I242" s="8">
        <f t="shared" si="63"/>
        <v>73.165276595744672</v>
      </c>
      <c r="J242" s="22">
        <f t="shared" si="64"/>
        <v>1752.7700970873784</v>
      </c>
    </row>
    <row r="243" spans="1:13" ht="15.75" thickBot="1">
      <c r="A243" s="23"/>
      <c r="B243" s="24"/>
      <c r="C243" s="24">
        <f>SUM(C223:C242)</f>
        <v>36.5</v>
      </c>
      <c r="D243" s="24"/>
      <c r="E243" s="24"/>
      <c r="F243" s="24"/>
      <c r="G243" s="25"/>
      <c r="H243" s="25"/>
      <c r="I243" s="26"/>
      <c r="J243" s="27">
        <f>SUM(J223:J242)</f>
        <v>29529.552645436888</v>
      </c>
    </row>
    <row r="244" spans="1:13" ht="15.75" thickBot="1">
      <c r="A244" s="81"/>
      <c r="B244" s="82"/>
      <c r="C244" s="82"/>
      <c r="D244" s="82"/>
      <c r="E244" s="82"/>
      <c r="F244" s="82"/>
      <c r="G244" s="87"/>
      <c r="H244" s="97" t="s">
        <v>98</v>
      </c>
      <c r="I244" s="98"/>
      <c r="J244" s="84">
        <f>J223+J224+J225+J226+J229+J227+J228</f>
        <v>14886.650348737863</v>
      </c>
      <c r="K244" s="77">
        <f>J244*206</f>
        <v>3066649.9718399998</v>
      </c>
      <c r="L244" s="77">
        <f>2355337+711313</f>
        <v>3066650</v>
      </c>
      <c r="M244" s="77">
        <f>L244-K244</f>
        <v>2.8160000219941139E-2</v>
      </c>
    </row>
    <row r="245" spans="1:13" ht="15.75" thickBot="1">
      <c r="A245" s="81"/>
      <c r="B245" s="82"/>
      <c r="C245" s="82"/>
      <c r="D245" s="82"/>
      <c r="E245" s="82"/>
      <c r="F245" s="82"/>
      <c r="G245" s="87"/>
      <c r="H245" s="97" t="s">
        <v>95</v>
      </c>
      <c r="I245" s="98"/>
      <c r="J245" s="84">
        <f>J243-J244</f>
        <v>14642.902296699025</v>
      </c>
      <c r="K245" s="77">
        <f>J245*206</f>
        <v>3016437.8731199992</v>
      </c>
      <c r="L245" s="77">
        <f>2316773+699665</f>
        <v>3016438</v>
      </c>
      <c r="M245" s="77">
        <f>L245-K245</f>
        <v>0.1268800008110702</v>
      </c>
    </row>
    <row r="246" spans="1:13">
      <c r="A246" s="5" t="s">
        <v>73</v>
      </c>
      <c r="B246" s="17" t="s">
        <v>103</v>
      </c>
      <c r="C246" s="17">
        <v>1</v>
      </c>
      <c r="D246" s="17">
        <v>46174</v>
      </c>
      <c r="E246" s="17">
        <v>347</v>
      </c>
      <c r="F246" s="17">
        <v>1974</v>
      </c>
      <c r="G246" s="18">
        <f>C246*F246</f>
        <v>1974</v>
      </c>
      <c r="H246" s="18">
        <f>G246/E246</f>
        <v>5.6887608069164264</v>
      </c>
      <c r="I246" s="19">
        <f>D246*12*1.302/1974</f>
        <v>365.4622978723404</v>
      </c>
      <c r="J246" s="20">
        <f>I246*H246</f>
        <v>2079.0275965417864</v>
      </c>
    </row>
    <row r="247" spans="1:13">
      <c r="A247" s="21"/>
      <c r="B247" s="6" t="s">
        <v>104</v>
      </c>
      <c r="C247" s="6">
        <v>2</v>
      </c>
      <c r="D247" s="8">
        <f>20415-2000</f>
        <v>18415</v>
      </c>
      <c r="E247" s="6">
        <v>347</v>
      </c>
      <c r="F247" s="6">
        <v>1974</v>
      </c>
      <c r="G247" s="7">
        <f t="shared" ref="G247:G265" si="70">C247*F247</f>
        <v>3948</v>
      </c>
      <c r="H247" s="7">
        <f t="shared" ref="H247:H248" si="71">G247/E247</f>
        <v>11.377521613832853</v>
      </c>
      <c r="I247" s="8">
        <f t="shared" ref="I247:I265" si="72">D247*12*1.302/1974</f>
        <v>145.75276595744683</v>
      </c>
      <c r="J247" s="22">
        <f t="shared" ref="J247:J265" si="73">I247*H247</f>
        <v>1658.3052449567724</v>
      </c>
    </row>
    <row r="248" spans="1:13">
      <c r="A248" s="21"/>
      <c r="B248" s="6" t="s">
        <v>106</v>
      </c>
      <c r="C248" s="6"/>
      <c r="D248" s="6"/>
      <c r="E248" s="6">
        <v>347</v>
      </c>
      <c r="F248" s="6">
        <v>1974</v>
      </c>
      <c r="G248" s="7">
        <f t="shared" si="70"/>
        <v>0</v>
      </c>
      <c r="H248" s="7">
        <f t="shared" si="71"/>
        <v>0</v>
      </c>
      <c r="I248" s="8">
        <f t="shared" si="72"/>
        <v>0</v>
      </c>
      <c r="J248" s="22">
        <f t="shared" si="73"/>
        <v>0</v>
      </c>
    </row>
    <row r="249" spans="1:13">
      <c r="A249" s="21"/>
      <c r="B249" s="6" t="s">
        <v>105</v>
      </c>
      <c r="C249" s="6">
        <v>20</v>
      </c>
      <c r="D249" s="8">
        <f>9544+3000-1020+10.193</f>
        <v>11534.192999999999</v>
      </c>
      <c r="E249" s="6">
        <v>347</v>
      </c>
      <c r="F249" s="6">
        <v>1974</v>
      </c>
      <c r="G249" s="7">
        <f t="shared" si="70"/>
        <v>39480</v>
      </c>
      <c r="H249" s="7">
        <f>G249/E249</f>
        <v>113.77521613832853</v>
      </c>
      <c r="I249" s="8">
        <f t="shared" si="72"/>
        <v>91.291910553191485</v>
      </c>
      <c r="J249" s="22">
        <f t="shared" si="73"/>
        <v>10386.756854870317</v>
      </c>
    </row>
    <row r="250" spans="1:13">
      <c r="A250" s="21"/>
      <c r="B250" s="6" t="s">
        <v>118</v>
      </c>
      <c r="C250" s="6">
        <v>1</v>
      </c>
      <c r="D250" s="6">
        <v>9544</v>
      </c>
      <c r="E250" s="6">
        <v>347</v>
      </c>
      <c r="F250" s="6">
        <v>1974</v>
      </c>
      <c r="G250" s="7">
        <f t="shared" si="70"/>
        <v>1974</v>
      </c>
      <c r="H250" s="7">
        <f t="shared" ref="H250:H265" si="74">G250/E250</f>
        <v>5.6887608069164264</v>
      </c>
      <c r="I250" s="8">
        <f t="shared" si="72"/>
        <v>75.539744680851072</v>
      </c>
      <c r="J250" s="22">
        <f t="shared" si="73"/>
        <v>429.72753890489918</v>
      </c>
    </row>
    <row r="251" spans="1:13">
      <c r="A251" s="21"/>
      <c r="B251" s="6" t="s">
        <v>117</v>
      </c>
      <c r="C251" s="6"/>
      <c r="D251" s="6"/>
      <c r="E251" s="6">
        <v>347</v>
      </c>
      <c r="F251" s="6">
        <v>1974</v>
      </c>
      <c r="G251" s="7">
        <f t="shared" si="70"/>
        <v>0</v>
      </c>
      <c r="H251" s="7">
        <f t="shared" si="74"/>
        <v>0</v>
      </c>
      <c r="I251" s="8">
        <f t="shared" si="72"/>
        <v>0</v>
      </c>
      <c r="J251" s="22">
        <f t="shared" si="73"/>
        <v>0</v>
      </c>
    </row>
    <row r="252" spans="1:13">
      <c r="A252" s="21"/>
      <c r="B252" s="6" t="s">
        <v>107</v>
      </c>
      <c r="C252" s="6">
        <v>1</v>
      </c>
      <c r="D252" s="6">
        <v>9544</v>
      </c>
      <c r="E252" s="6">
        <v>347</v>
      </c>
      <c r="F252" s="6">
        <v>1974</v>
      </c>
      <c r="G252" s="7">
        <f t="shared" si="70"/>
        <v>1974</v>
      </c>
      <c r="H252" s="7">
        <f t="shared" si="74"/>
        <v>5.6887608069164264</v>
      </c>
      <c r="I252" s="8">
        <f t="shared" si="72"/>
        <v>75.539744680851072</v>
      </c>
      <c r="J252" s="22">
        <f t="shared" si="73"/>
        <v>429.72753890489918</v>
      </c>
    </row>
    <row r="253" spans="1:13">
      <c r="A253" s="21"/>
      <c r="B253" s="6" t="s">
        <v>108</v>
      </c>
      <c r="C253" s="86">
        <v>6</v>
      </c>
      <c r="D253" s="6">
        <v>9544</v>
      </c>
      <c r="E253" s="6">
        <v>347</v>
      </c>
      <c r="F253" s="6">
        <v>1974</v>
      </c>
      <c r="G253" s="7">
        <f t="shared" si="70"/>
        <v>11844</v>
      </c>
      <c r="H253" s="7">
        <f t="shared" si="74"/>
        <v>34.132564841498557</v>
      </c>
      <c r="I253" s="8">
        <f t="shared" si="72"/>
        <v>75.539744680851072</v>
      </c>
      <c r="J253" s="22">
        <f t="shared" si="73"/>
        <v>2578.3652334293947</v>
      </c>
    </row>
    <row r="254" spans="1:13">
      <c r="A254" s="21"/>
      <c r="B254" s="6" t="s">
        <v>116</v>
      </c>
      <c r="C254" s="86">
        <v>1</v>
      </c>
      <c r="D254" s="6">
        <f>9544+325.55</f>
        <v>9869.5499999999993</v>
      </c>
      <c r="E254" s="6">
        <v>347</v>
      </c>
      <c r="F254" s="6">
        <v>1974</v>
      </c>
      <c r="G254" s="7">
        <f t="shared" si="70"/>
        <v>1974</v>
      </c>
      <c r="H254" s="7">
        <f t="shared" si="74"/>
        <v>5.6887608069164264</v>
      </c>
      <c r="I254" s="8">
        <f t="shared" si="72"/>
        <v>78.116438297872335</v>
      </c>
      <c r="J254" s="22">
        <f t="shared" si="73"/>
        <v>444.38573256484148</v>
      </c>
    </row>
    <row r="255" spans="1:13">
      <c r="A255" s="21"/>
      <c r="B255" s="6" t="s">
        <v>109</v>
      </c>
      <c r="C255" s="86">
        <v>5</v>
      </c>
      <c r="D255" s="6">
        <v>9544</v>
      </c>
      <c r="E255" s="6">
        <v>347</v>
      </c>
      <c r="F255" s="6">
        <v>1974</v>
      </c>
      <c r="G255" s="7">
        <f t="shared" si="70"/>
        <v>9870</v>
      </c>
      <c r="H255" s="7">
        <f t="shared" si="74"/>
        <v>28.443804034582133</v>
      </c>
      <c r="I255" s="8">
        <f t="shared" si="72"/>
        <v>75.539744680851072</v>
      </c>
      <c r="J255" s="22">
        <f t="shared" si="73"/>
        <v>2148.6376945244961</v>
      </c>
    </row>
    <row r="256" spans="1:13">
      <c r="A256" s="21"/>
      <c r="B256" s="6" t="s">
        <v>114</v>
      </c>
      <c r="C256" s="86">
        <v>2</v>
      </c>
      <c r="D256" s="92">
        <f>9544</f>
        <v>9544</v>
      </c>
      <c r="E256" s="6">
        <v>347</v>
      </c>
      <c r="F256" s="6">
        <v>1974</v>
      </c>
      <c r="G256" s="7">
        <f t="shared" si="70"/>
        <v>3948</v>
      </c>
      <c r="H256" s="7">
        <f t="shared" si="74"/>
        <v>11.377521613832853</v>
      </c>
      <c r="I256" s="8">
        <f t="shared" si="72"/>
        <v>75.539744680851072</v>
      </c>
      <c r="J256" s="22">
        <f t="shared" si="73"/>
        <v>859.45507780979835</v>
      </c>
    </row>
    <row r="257" spans="1:13">
      <c r="A257" s="21"/>
      <c r="B257" s="6" t="s">
        <v>110</v>
      </c>
      <c r="C257" s="86">
        <v>2</v>
      </c>
      <c r="D257" s="6">
        <v>9544</v>
      </c>
      <c r="E257" s="6">
        <v>347</v>
      </c>
      <c r="F257" s="6">
        <v>1974</v>
      </c>
      <c r="G257" s="7">
        <f t="shared" si="70"/>
        <v>3948</v>
      </c>
      <c r="H257" s="7">
        <f t="shared" si="74"/>
        <v>11.377521613832853</v>
      </c>
      <c r="I257" s="8">
        <f t="shared" si="72"/>
        <v>75.539744680851072</v>
      </c>
      <c r="J257" s="22">
        <f t="shared" si="73"/>
        <v>859.45507780979835</v>
      </c>
    </row>
    <row r="258" spans="1:13">
      <c r="A258" s="21"/>
      <c r="B258" s="6" t="s">
        <v>111</v>
      </c>
      <c r="C258" s="86"/>
      <c r="D258" s="6"/>
      <c r="E258" s="6">
        <v>347</v>
      </c>
      <c r="F258" s="6">
        <v>1974</v>
      </c>
      <c r="G258" s="7">
        <f t="shared" si="70"/>
        <v>0</v>
      </c>
      <c r="H258" s="7">
        <f t="shared" si="74"/>
        <v>0</v>
      </c>
      <c r="I258" s="8">
        <f t="shared" si="72"/>
        <v>0</v>
      </c>
      <c r="J258" s="22">
        <f t="shared" si="73"/>
        <v>0</v>
      </c>
    </row>
    <row r="259" spans="1:13">
      <c r="A259" s="21"/>
      <c r="B259" s="6" t="s">
        <v>112</v>
      </c>
      <c r="C259" s="86">
        <v>2</v>
      </c>
      <c r="D259" s="6">
        <f>9544</f>
        <v>9544</v>
      </c>
      <c r="E259" s="6">
        <v>347</v>
      </c>
      <c r="F259" s="6">
        <v>1974</v>
      </c>
      <c r="G259" s="7">
        <f t="shared" si="70"/>
        <v>3948</v>
      </c>
      <c r="H259" s="7">
        <f t="shared" si="74"/>
        <v>11.377521613832853</v>
      </c>
      <c r="I259" s="8">
        <f t="shared" si="72"/>
        <v>75.539744680851072</v>
      </c>
      <c r="J259" s="22">
        <f t="shared" si="73"/>
        <v>859.45507780979835</v>
      </c>
    </row>
    <row r="260" spans="1:13">
      <c r="A260" s="21"/>
      <c r="B260" s="6" t="s">
        <v>113</v>
      </c>
      <c r="C260" s="86">
        <v>4</v>
      </c>
      <c r="D260" s="6">
        <f>9544</f>
        <v>9544</v>
      </c>
      <c r="E260" s="6">
        <v>347</v>
      </c>
      <c r="F260" s="6">
        <v>1974</v>
      </c>
      <c r="G260" s="7">
        <f t="shared" si="70"/>
        <v>7896</v>
      </c>
      <c r="H260" s="7">
        <f t="shared" si="74"/>
        <v>22.755043227665706</v>
      </c>
      <c r="I260" s="8">
        <f t="shared" si="72"/>
        <v>75.539744680851072</v>
      </c>
      <c r="J260" s="22">
        <f t="shared" si="73"/>
        <v>1718.9101556195967</v>
      </c>
    </row>
    <row r="261" spans="1:13">
      <c r="A261" s="21"/>
      <c r="B261" s="6" t="s">
        <v>50</v>
      </c>
      <c r="C261" s="86">
        <v>2</v>
      </c>
      <c r="D261" s="6">
        <v>9544</v>
      </c>
      <c r="E261" s="6">
        <v>347</v>
      </c>
      <c r="F261" s="6">
        <v>1974</v>
      </c>
      <c r="G261" s="7">
        <f t="shared" si="70"/>
        <v>3948</v>
      </c>
      <c r="H261" s="7">
        <f t="shared" si="74"/>
        <v>11.377521613832853</v>
      </c>
      <c r="I261" s="8">
        <f t="shared" si="72"/>
        <v>75.539744680851072</v>
      </c>
      <c r="J261" s="22">
        <f t="shared" si="73"/>
        <v>859.45507780979835</v>
      </c>
    </row>
    <row r="262" spans="1:13">
      <c r="A262" s="21"/>
      <c r="B262" s="6" t="s">
        <v>119</v>
      </c>
      <c r="C262" s="86"/>
      <c r="D262" s="6"/>
      <c r="E262" s="6">
        <v>347</v>
      </c>
      <c r="F262" s="6">
        <v>1974</v>
      </c>
      <c r="G262" s="7">
        <f t="shared" si="70"/>
        <v>0</v>
      </c>
      <c r="H262" s="7">
        <f t="shared" si="74"/>
        <v>0</v>
      </c>
      <c r="I262" s="8">
        <f t="shared" si="72"/>
        <v>0</v>
      </c>
      <c r="J262" s="22">
        <f t="shared" si="73"/>
        <v>0</v>
      </c>
    </row>
    <row r="263" spans="1:13">
      <c r="A263" s="21"/>
      <c r="B263" s="6" t="s">
        <v>120</v>
      </c>
      <c r="C263" s="86"/>
      <c r="D263" s="6"/>
      <c r="E263" s="6">
        <v>347</v>
      </c>
      <c r="F263" s="6">
        <v>1974</v>
      </c>
      <c r="G263" s="7">
        <f t="shared" si="70"/>
        <v>0</v>
      </c>
      <c r="H263" s="7">
        <f t="shared" si="74"/>
        <v>0</v>
      </c>
      <c r="I263" s="8">
        <f t="shared" si="72"/>
        <v>0</v>
      </c>
      <c r="J263" s="22">
        <f t="shared" si="73"/>
        <v>0</v>
      </c>
    </row>
    <row r="264" spans="1:13">
      <c r="A264" s="21"/>
      <c r="B264" s="6" t="s">
        <v>51</v>
      </c>
      <c r="C264" s="86">
        <v>6</v>
      </c>
      <c r="D264" s="93">
        <v>9544</v>
      </c>
      <c r="E264" s="6">
        <v>347</v>
      </c>
      <c r="F264" s="6">
        <v>1974</v>
      </c>
      <c r="G264" s="7">
        <f t="shared" si="70"/>
        <v>11844</v>
      </c>
      <c r="H264" s="7">
        <f t="shared" si="74"/>
        <v>34.132564841498557</v>
      </c>
      <c r="I264" s="8">
        <f t="shared" si="72"/>
        <v>75.539744680851072</v>
      </c>
      <c r="J264" s="22">
        <f t="shared" si="73"/>
        <v>2578.3652334293947</v>
      </c>
    </row>
    <row r="265" spans="1:13">
      <c r="A265" s="21"/>
      <c r="B265" s="6" t="s">
        <v>52</v>
      </c>
      <c r="C265" s="86">
        <v>4</v>
      </c>
      <c r="D265" s="6">
        <v>9544</v>
      </c>
      <c r="E265" s="6">
        <v>347</v>
      </c>
      <c r="F265" s="6">
        <v>1974</v>
      </c>
      <c r="G265" s="7">
        <f t="shared" si="70"/>
        <v>7896</v>
      </c>
      <c r="H265" s="7">
        <f t="shared" si="74"/>
        <v>22.755043227665706</v>
      </c>
      <c r="I265" s="8">
        <f t="shared" si="72"/>
        <v>75.539744680851072</v>
      </c>
      <c r="J265" s="22">
        <f t="shared" si="73"/>
        <v>1718.9101556195967</v>
      </c>
    </row>
    <row r="266" spans="1:13" ht="15.75" thickBot="1">
      <c r="A266" s="23"/>
      <c r="B266" s="24"/>
      <c r="C266" s="24">
        <f>SUM(C246:C265)</f>
        <v>59</v>
      </c>
      <c r="D266" s="24"/>
      <c r="E266" s="24"/>
      <c r="F266" s="24"/>
      <c r="G266" s="25"/>
      <c r="H266" s="25"/>
      <c r="I266" s="26"/>
      <c r="J266" s="27">
        <f>SUM(J246:J265)</f>
        <v>29608.939290605187</v>
      </c>
    </row>
    <row r="267" spans="1:13" ht="15.75" thickBot="1">
      <c r="A267" s="81"/>
      <c r="B267" s="82"/>
      <c r="C267" s="82"/>
      <c r="D267" s="82"/>
      <c r="E267" s="82"/>
      <c r="F267" s="82"/>
      <c r="G267" s="87"/>
      <c r="H267" s="97" t="s">
        <v>98</v>
      </c>
      <c r="I267" s="98"/>
      <c r="J267" s="84">
        <f>J246+J247+J248+J249+J252+J250+J251</f>
        <v>14983.544774178674</v>
      </c>
      <c r="K267" s="77">
        <f>J267*347</f>
        <v>5199290.0366399996</v>
      </c>
      <c r="L267" s="77">
        <f>3993310+1205980</f>
        <v>5199290</v>
      </c>
      <c r="M267" s="77">
        <f>L267-K267</f>
        <v>-3.6639999598264694E-2</v>
      </c>
    </row>
    <row r="268" spans="1:13" ht="15.75" thickBot="1">
      <c r="A268" s="81"/>
      <c r="B268" s="82"/>
      <c r="C268" s="82"/>
      <c r="D268" s="82"/>
      <c r="E268" s="82"/>
      <c r="F268" s="82"/>
      <c r="G268" s="87"/>
      <c r="H268" s="97" t="s">
        <v>95</v>
      </c>
      <c r="I268" s="98"/>
      <c r="J268" s="84">
        <f>J266-J267</f>
        <v>14625.394516426513</v>
      </c>
      <c r="K268" s="77">
        <f>J268*347</f>
        <v>5075011.8972000005</v>
      </c>
      <c r="L268" s="77">
        <f>3894264+1176068+4680</f>
        <v>5075012</v>
      </c>
      <c r="M268" s="77">
        <f>L268-K268</f>
        <v>0.10279999952763319</v>
      </c>
    </row>
    <row r="269" spans="1:13">
      <c r="A269" s="5" t="s">
        <v>74</v>
      </c>
      <c r="B269" s="17" t="s">
        <v>103</v>
      </c>
      <c r="C269" s="17">
        <v>1</v>
      </c>
      <c r="D269" s="17">
        <v>37587</v>
      </c>
      <c r="E269" s="17">
        <v>434</v>
      </c>
      <c r="F269" s="17">
        <v>1974</v>
      </c>
      <c r="G269" s="18">
        <f>C269*F269</f>
        <v>1974</v>
      </c>
      <c r="H269" s="18">
        <f>G269/E269</f>
        <v>4.5483870967741939</v>
      </c>
      <c r="I269" s="19">
        <f>D269*12*1.302/1974</f>
        <v>297.49710638297876</v>
      </c>
      <c r="J269" s="20">
        <f>I269*H269</f>
        <v>1353.1320000000003</v>
      </c>
    </row>
    <row r="270" spans="1:13">
      <c r="A270" s="21"/>
      <c r="B270" s="6" t="s">
        <v>104</v>
      </c>
      <c r="C270" s="6">
        <v>4</v>
      </c>
      <c r="D270" s="8">
        <f>20415-7000</f>
        <v>13415</v>
      </c>
      <c r="E270" s="6">
        <v>434</v>
      </c>
      <c r="F270" s="6">
        <v>1974</v>
      </c>
      <c r="G270" s="7">
        <f t="shared" ref="G270:G288" si="75">C270*F270</f>
        <v>7896</v>
      </c>
      <c r="H270" s="7">
        <f t="shared" ref="H270:H271" si="76">G270/E270</f>
        <v>18.193548387096776</v>
      </c>
      <c r="I270" s="8">
        <f t="shared" ref="I270:I288" si="77">D270*12*1.302/1974</f>
        <v>106.17829787234044</v>
      </c>
      <c r="J270" s="22">
        <f t="shared" ref="J270:J288" si="78">I270*H270</f>
        <v>1931.7600000000004</v>
      </c>
    </row>
    <row r="271" spans="1:13">
      <c r="A271" s="21"/>
      <c r="B271" s="6" t="s">
        <v>106</v>
      </c>
      <c r="C271" s="6"/>
      <c r="D271" s="6"/>
      <c r="E271" s="6">
        <v>434</v>
      </c>
      <c r="F271" s="6">
        <v>1974</v>
      </c>
      <c r="G271" s="7">
        <f t="shared" si="75"/>
        <v>0</v>
      </c>
      <c r="H271" s="7">
        <f t="shared" si="76"/>
        <v>0</v>
      </c>
      <c r="I271" s="8">
        <f t="shared" si="77"/>
        <v>0</v>
      </c>
      <c r="J271" s="22">
        <f t="shared" si="78"/>
        <v>0</v>
      </c>
    </row>
    <row r="272" spans="1:13">
      <c r="A272" s="21"/>
      <c r="B272" s="6" t="s">
        <v>105</v>
      </c>
      <c r="C272" s="6">
        <v>29.5</v>
      </c>
      <c r="D272" s="8">
        <f>9544+3000-4000+839.908</f>
        <v>9383.9079999999994</v>
      </c>
      <c r="E272" s="6">
        <v>434</v>
      </c>
      <c r="F272" s="6">
        <v>1974</v>
      </c>
      <c r="G272" s="7">
        <f t="shared" si="75"/>
        <v>58233</v>
      </c>
      <c r="H272" s="7">
        <f>G272/E272</f>
        <v>134.17741935483872</v>
      </c>
      <c r="I272" s="8">
        <f t="shared" si="77"/>
        <v>74.272633531914892</v>
      </c>
      <c r="J272" s="22">
        <f t="shared" si="78"/>
        <v>9965.7102960000011</v>
      </c>
    </row>
    <row r="273" spans="1:10">
      <c r="A273" s="21"/>
      <c r="B273" s="6" t="s">
        <v>118</v>
      </c>
      <c r="C273" s="6">
        <v>2</v>
      </c>
      <c r="D273" s="6">
        <f>9544-200</f>
        <v>9344</v>
      </c>
      <c r="E273" s="6">
        <v>434</v>
      </c>
      <c r="F273" s="6">
        <v>1974</v>
      </c>
      <c r="G273" s="7">
        <f t="shared" si="75"/>
        <v>3948</v>
      </c>
      <c r="H273" s="7">
        <f t="shared" ref="H273:H288" si="79">G273/E273</f>
        <v>9.0967741935483879</v>
      </c>
      <c r="I273" s="8">
        <f t="shared" si="77"/>
        <v>73.956765957446819</v>
      </c>
      <c r="J273" s="22">
        <f t="shared" si="78"/>
        <v>672.76800000000014</v>
      </c>
    </row>
    <row r="274" spans="1:10">
      <c r="A274" s="21"/>
      <c r="B274" s="6" t="s">
        <v>117</v>
      </c>
      <c r="C274" s="6">
        <v>1</v>
      </c>
      <c r="D274" s="6">
        <f>9544-700</f>
        <v>8844</v>
      </c>
      <c r="E274" s="6">
        <v>434</v>
      </c>
      <c r="F274" s="6">
        <v>1974</v>
      </c>
      <c r="G274" s="7">
        <f t="shared" si="75"/>
        <v>1974</v>
      </c>
      <c r="H274" s="7">
        <f t="shared" si="79"/>
        <v>4.5483870967741939</v>
      </c>
      <c r="I274" s="8">
        <f t="shared" si="77"/>
        <v>69.999319148936181</v>
      </c>
      <c r="J274" s="22">
        <f t="shared" si="78"/>
        <v>318.38400000000007</v>
      </c>
    </row>
    <row r="275" spans="1:10">
      <c r="A275" s="21"/>
      <c r="B275" s="6" t="s">
        <v>107</v>
      </c>
      <c r="C275" s="6">
        <v>2</v>
      </c>
      <c r="D275" s="6">
        <f>9544-300</f>
        <v>9244</v>
      </c>
      <c r="E275" s="6">
        <v>434</v>
      </c>
      <c r="F275" s="6">
        <v>1974</v>
      </c>
      <c r="G275" s="7">
        <f t="shared" si="75"/>
        <v>3948</v>
      </c>
      <c r="H275" s="7">
        <f t="shared" si="79"/>
        <v>9.0967741935483879</v>
      </c>
      <c r="I275" s="8">
        <f t="shared" si="77"/>
        <v>73.165276595744672</v>
      </c>
      <c r="J275" s="22">
        <f t="shared" si="78"/>
        <v>665.56799999999998</v>
      </c>
    </row>
    <row r="276" spans="1:10">
      <c r="A276" s="21"/>
      <c r="B276" s="6" t="s">
        <v>108</v>
      </c>
      <c r="C276" s="86">
        <v>7.5</v>
      </c>
      <c r="D276" s="6">
        <v>9544</v>
      </c>
      <c r="E276" s="6">
        <v>434</v>
      </c>
      <c r="F276" s="6">
        <v>1974</v>
      </c>
      <c r="G276" s="7">
        <f t="shared" si="75"/>
        <v>14805</v>
      </c>
      <c r="H276" s="7">
        <f t="shared" si="79"/>
        <v>34.112903225806448</v>
      </c>
      <c r="I276" s="8">
        <f t="shared" si="77"/>
        <v>75.539744680851072</v>
      </c>
      <c r="J276" s="22">
        <f t="shared" si="78"/>
        <v>2576.88</v>
      </c>
    </row>
    <row r="277" spans="1:10">
      <c r="A277" s="21"/>
      <c r="B277" s="6" t="s">
        <v>116</v>
      </c>
      <c r="C277" s="86">
        <v>2</v>
      </c>
      <c r="D277" s="6">
        <v>9544</v>
      </c>
      <c r="E277" s="6">
        <v>434</v>
      </c>
      <c r="F277" s="6">
        <v>1974</v>
      </c>
      <c r="G277" s="7">
        <f t="shared" si="75"/>
        <v>3948</v>
      </c>
      <c r="H277" s="7">
        <f t="shared" si="79"/>
        <v>9.0967741935483879</v>
      </c>
      <c r="I277" s="8">
        <f t="shared" si="77"/>
        <v>75.539744680851072</v>
      </c>
      <c r="J277" s="22">
        <f t="shared" si="78"/>
        <v>687.16800000000012</v>
      </c>
    </row>
    <row r="278" spans="1:10">
      <c r="A278" s="21"/>
      <c r="B278" s="6" t="s">
        <v>109</v>
      </c>
      <c r="C278" s="86">
        <v>6</v>
      </c>
      <c r="D278" s="6">
        <f>9544-400</f>
        <v>9144</v>
      </c>
      <c r="E278" s="6">
        <v>434</v>
      </c>
      <c r="F278" s="6">
        <v>1974</v>
      </c>
      <c r="G278" s="7">
        <f t="shared" si="75"/>
        <v>11844</v>
      </c>
      <c r="H278" s="7">
        <f t="shared" si="79"/>
        <v>27.29032258064516</v>
      </c>
      <c r="I278" s="8">
        <f t="shared" si="77"/>
        <v>72.373787234042553</v>
      </c>
      <c r="J278" s="22">
        <f t="shared" si="78"/>
        <v>1975.1039999999998</v>
      </c>
    </row>
    <row r="279" spans="1:10">
      <c r="A279" s="21"/>
      <c r="B279" s="6" t="s">
        <v>114</v>
      </c>
      <c r="C279" s="86">
        <v>4</v>
      </c>
      <c r="D279" s="92">
        <f>9544-400+66.18</f>
        <v>9210.18</v>
      </c>
      <c r="E279" s="6">
        <v>434</v>
      </c>
      <c r="F279" s="6">
        <v>1974</v>
      </c>
      <c r="G279" s="7">
        <f t="shared" si="75"/>
        <v>7896</v>
      </c>
      <c r="H279" s="7">
        <f t="shared" si="79"/>
        <v>18.193548387096776</v>
      </c>
      <c r="I279" s="8">
        <f t="shared" si="77"/>
        <v>72.897594893617025</v>
      </c>
      <c r="J279" s="22">
        <f t="shared" si="78"/>
        <v>1326.2659200000003</v>
      </c>
    </row>
    <row r="280" spans="1:10">
      <c r="A280" s="21"/>
      <c r="B280" s="6" t="s">
        <v>110</v>
      </c>
      <c r="C280" s="86">
        <v>2</v>
      </c>
      <c r="D280" s="6">
        <v>9544</v>
      </c>
      <c r="E280" s="6">
        <v>434</v>
      </c>
      <c r="F280" s="6">
        <v>1974</v>
      </c>
      <c r="G280" s="7">
        <f t="shared" si="75"/>
        <v>3948</v>
      </c>
      <c r="H280" s="7">
        <f t="shared" si="79"/>
        <v>9.0967741935483879</v>
      </c>
      <c r="I280" s="8">
        <f t="shared" si="77"/>
        <v>75.539744680851072</v>
      </c>
      <c r="J280" s="22">
        <f t="shared" si="78"/>
        <v>687.16800000000012</v>
      </c>
    </row>
    <row r="281" spans="1:10">
      <c r="A281" s="21"/>
      <c r="B281" s="6" t="s">
        <v>111</v>
      </c>
      <c r="C281" s="86">
        <v>1</v>
      </c>
      <c r="D281" s="6">
        <v>9544</v>
      </c>
      <c r="E281" s="6">
        <v>434</v>
      </c>
      <c r="F281" s="6">
        <v>1974</v>
      </c>
      <c r="G281" s="7">
        <f t="shared" si="75"/>
        <v>1974</v>
      </c>
      <c r="H281" s="7">
        <f t="shared" si="79"/>
        <v>4.5483870967741939</v>
      </c>
      <c r="I281" s="8">
        <f t="shared" si="77"/>
        <v>75.539744680851072</v>
      </c>
      <c r="J281" s="22">
        <f t="shared" si="78"/>
        <v>343.58400000000006</v>
      </c>
    </row>
    <row r="282" spans="1:10">
      <c r="A282" s="21"/>
      <c r="B282" s="6" t="s">
        <v>112</v>
      </c>
      <c r="C282" s="86">
        <v>2</v>
      </c>
      <c r="D282" s="6">
        <f>9544</f>
        <v>9544</v>
      </c>
      <c r="E282" s="6">
        <v>434</v>
      </c>
      <c r="F282" s="6">
        <v>1974</v>
      </c>
      <c r="G282" s="7">
        <f t="shared" si="75"/>
        <v>3948</v>
      </c>
      <c r="H282" s="7">
        <f t="shared" si="79"/>
        <v>9.0967741935483879</v>
      </c>
      <c r="I282" s="8">
        <f t="shared" si="77"/>
        <v>75.539744680851072</v>
      </c>
      <c r="J282" s="22">
        <f t="shared" si="78"/>
        <v>687.16800000000012</v>
      </c>
    </row>
    <row r="283" spans="1:10">
      <c r="A283" s="21"/>
      <c r="B283" s="6" t="s">
        <v>113</v>
      </c>
      <c r="C283" s="86">
        <v>5</v>
      </c>
      <c r="D283" s="6">
        <f>9544-300</f>
        <v>9244</v>
      </c>
      <c r="E283" s="6">
        <v>434</v>
      </c>
      <c r="F283" s="6">
        <v>1974</v>
      </c>
      <c r="G283" s="7">
        <f t="shared" si="75"/>
        <v>9870</v>
      </c>
      <c r="H283" s="7">
        <f t="shared" si="79"/>
        <v>22.741935483870968</v>
      </c>
      <c r="I283" s="8">
        <f t="shared" si="77"/>
        <v>73.165276595744672</v>
      </c>
      <c r="J283" s="22">
        <f t="shared" si="78"/>
        <v>1663.9199999999998</v>
      </c>
    </row>
    <row r="284" spans="1:10">
      <c r="A284" s="21"/>
      <c r="B284" s="6" t="s">
        <v>50</v>
      </c>
      <c r="C284" s="86">
        <v>4</v>
      </c>
      <c r="D284" s="6">
        <v>9544</v>
      </c>
      <c r="E284" s="6">
        <v>434</v>
      </c>
      <c r="F284" s="6">
        <v>1974</v>
      </c>
      <c r="G284" s="7">
        <f t="shared" si="75"/>
        <v>7896</v>
      </c>
      <c r="H284" s="7">
        <f t="shared" si="79"/>
        <v>18.193548387096776</v>
      </c>
      <c r="I284" s="8">
        <f t="shared" si="77"/>
        <v>75.539744680851072</v>
      </c>
      <c r="J284" s="22">
        <f t="shared" si="78"/>
        <v>1374.3360000000002</v>
      </c>
    </row>
    <row r="285" spans="1:10">
      <c r="A285" s="21"/>
      <c r="B285" s="6" t="s">
        <v>119</v>
      </c>
      <c r="C285" s="86">
        <v>3</v>
      </c>
      <c r="D285" s="6">
        <v>9544</v>
      </c>
      <c r="E285" s="6">
        <v>434</v>
      </c>
      <c r="F285" s="6">
        <v>1974</v>
      </c>
      <c r="G285" s="7">
        <f t="shared" si="75"/>
        <v>5922</v>
      </c>
      <c r="H285" s="7">
        <f t="shared" si="79"/>
        <v>13.64516129032258</v>
      </c>
      <c r="I285" s="8">
        <f t="shared" si="77"/>
        <v>75.539744680851072</v>
      </c>
      <c r="J285" s="22">
        <f t="shared" si="78"/>
        <v>1030.7520000000002</v>
      </c>
    </row>
    <row r="286" spans="1:10">
      <c r="A286" s="21"/>
      <c r="B286" s="6" t="s">
        <v>120</v>
      </c>
      <c r="C286" s="86"/>
      <c r="D286" s="6"/>
      <c r="E286" s="6">
        <v>434</v>
      </c>
      <c r="F286" s="6">
        <v>1974</v>
      </c>
      <c r="G286" s="7">
        <f t="shared" si="75"/>
        <v>0</v>
      </c>
      <c r="H286" s="7">
        <f t="shared" si="79"/>
        <v>0</v>
      </c>
      <c r="I286" s="8">
        <f t="shared" si="77"/>
        <v>0</v>
      </c>
      <c r="J286" s="22">
        <f t="shared" si="78"/>
        <v>0</v>
      </c>
    </row>
    <row r="287" spans="1:10">
      <c r="A287" s="21"/>
      <c r="B287" s="6" t="s">
        <v>51</v>
      </c>
      <c r="C287" s="86">
        <v>6</v>
      </c>
      <c r="D287" s="93">
        <v>9544</v>
      </c>
      <c r="E287" s="6">
        <v>434</v>
      </c>
      <c r="F287" s="6">
        <v>1974</v>
      </c>
      <c r="G287" s="7">
        <f t="shared" si="75"/>
        <v>11844</v>
      </c>
      <c r="H287" s="7">
        <f t="shared" si="79"/>
        <v>27.29032258064516</v>
      </c>
      <c r="I287" s="8">
        <f t="shared" si="77"/>
        <v>75.539744680851072</v>
      </c>
      <c r="J287" s="22">
        <f t="shared" si="78"/>
        <v>2061.5040000000004</v>
      </c>
    </row>
    <row r="288" spans="1:10">
      <c r="A288" s="21"/>
      <c r="B288" s="6" t="s">
        <v>52</v>
      </c>
      <c r="C288" s="86">
        <v>4</v>
      </c>
      <c r="D288" s="6">
        <f>9544-300</f>
        <v>9244</v>
      </c>
      <c r="E288" s="6">
        <v>434</v>
      </c>
      <c r="F288" s="6">
        <v>1974</v>
      </c>
      <c r="G288" s="7">
        <f t="shared" si="75"/>
        <v>7896</v>
      </c>
      <c r="H288" s="7">
        <f t="shared" si="79"/>
        <v>18.193548387096776</v>
      </c>
      <c r="I288" s="8">
        <f t="shared" si="77"/>
        <v>73.165276595744672</v>
      </c>
      <c r="J288" s="22">
        <f t="shared" si="78"/>
        <v>1331.136</v>
      </c>
    </row>
    <row r="289" spans="1:13" ht="15.75" thickBot="1">
      <c r="A289" s="23"/>
      <c r="B289" s="24"/>
      <c r="C289" s="24">
        <f>SUM(C269:C288)</f>
        <v>86</v>
      </c>
      <c r="D289" s="24"/>
      <c r="E289" s="24"/>
      <c r="F289" s="24"/>
      <c r="G289" s="25"/>
      <c r="H289" s="25"/>
      <c r="I289" s="26"/>
      <c r="J289" s="27">
        <f>SUM(J269:J288)</f>
        <v>30652.308216000001</v>
      </c>
    </row>
    <row r="290" spans="1:13" ht="15.75" thickBot="1">
      <c r="A290" s="81"/>
      <c r="B290" s="82"/>
      <c r="C290" s="82"/>
      <c r="D290" s="82"/>
      <c r="E290" s="82"/>
      <c r="F290" s="82"/>
      <c r="G290" s="87"/>
      <c r="H290" s="97" t="s">
        <v>98</v>
      </c>
      <c r="I290" s="98"/>
      <c r="J290" s="84">
        <f>J269+J270+J271+J272+J275+J273+J274</f>
        <v>14907.322296</v>
      </c>
      <c r="K290" s="77">
        <f>J290*434</f>
        <v>6469777.876464</v>
      </c>
      <c r="L290" s="77">
        <f>4969107+1500671</f>
        <v>6469778</v>
      </c>
      <c r="M290" s="77">
        <f>L290-K290</f>
        <v>0.1235360000282526</v>
      </c>
    </row>
    <row r="291" spans="1:13" ht="15.75" thickBot="1">
      <c r="A291" s="81"/>
      <c r="B291" s="82"/>
      <c r="C291" s="82"/>
      <c r="D291" s="82"/>
      <c r="E291" s="82"/>
      <c r="F291" s="82"/>
      <c r="G291" s="87"/>
      <c r="H291" s="97" t="s">
        <v>95</v>
      </c>
      <c r="I291" s="98"/>
      <c r="J291" s="84">
        <f>J289-J290</f>
        <v>15744.985920000001</v>
      </c>
      <c r="K291" s="77">
        <f>J291*434</f>
        <v>6833323.8892800007</v>
      </c>
      <c r="L291" s="77">
        <f>5244734+1583910+4680</f>
        <v>6833324</v>
      </c>
      <c r="M291" s="77">
        <f>L291-K291</f>
        <v>0.11071999929845333</v>
      </c>
    </row>
  </sheetData>
  <mergeCells count="27">
    <mergeCell ref="H290:I290"/>
    <mergeCell ref="H291:I291"/>
    <mergeCell ref="H222:I222"/>
    <mergeCell ref="H244:I244"/>
    <mergeCell ref="H245:I245"/>
    <mergeCell ref="H267:I267"/>
    <mergeCell ref="H268:I268"/>
    <mergeCell ref="H177:I177"/>
    <mergeCell ref="H178:I178"/>
    <mergeCell ref="H199:I199"/>
    <mergeCell ref="H200:I200"/>
    <mergeCell ref="H221:I221"/>
    <mergeCell ref="H112:I112"/>
    <mergeCell ref="H133:I133"/>
    <mergeCell ref="H134:I134"/>
    <mergeCell ref="H155:I155"/>
    <mergeCell ref="H156:I156"/>
    <mergeCell ref="H67:I67"/>
    <mergeCell ref="H68:I68"/>
    <mergeCell ref="H89:I89"/>
    <mergeCell ref="H90:I90"/>
    <mergeCell ref="H111:I111"/>
    <mergeCell ref="A3:J3"/>
    <mergeCell ref="H23:I23"/>
    <mergeCell ref="H24:I24"/>
    <mergeCell ref="H45:I45"/>
    <mergeCell ref="H46:I46"/>
  </mergeCells>
  <pageMargins left="0.11811023622047245" right="0" top="0.35433070866141736" bottom="0" header="0.31496062992125984" footer="0.31496062992125984"/>
  <pageSetup paperSize="9" scale="8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25"/>
  <sheetViews>
    <sheetView tabSelected="1" workbookViewId="0">
      <pane xSplit="1" ySplit="6" topLeftCell="B107" activePane="bottomRight" state="frozen"/>
      <selection pane="topRight" activeCell="B1" sqref="B1"/>
      <selection pane="bottomLeft" activeCell="A7" sqref="A7"/>
      <selection pane="bottomRight" activeCell="J123" sqref="J123"/>
    </sheetView>
  </sheetViews>
  <sheetFormatPr defaultRowHeight="15"/>
  <cols>
    <col min="1" max="1" width="16" customWidth="1"/>
    <col min="2" max="2" width="35.7109375" style="1" customWidth="1"/>
    <col min="3" max="3" width="10.85546875" style="1" customWidth="1"/>
    <col min="4" max="4" width="8.28515625" style="1" customWidth="1"/>
    <col min="5" max="5" width="12.5703125" style="1" customWidth="1"/>
    <col min="6" max="6" width="10" style="1" customWidth="1"/>
    <col min="7" max="7" width="14.5703125" customWidth="1"/>
    <col min="8" max="8" width="10.85546875" style="1" customWidth="1"/>
    <col min="9" max="9" width="9.140625" style="1"/>
    <col min="10" max="10" width="10.42578125" style="1" customWidth="1"/>
    <col min="11" max="11" width="10.42578125" style="1" bestFit="1" customWidth="1"/>
    <col min="12" max="18" width="9.140625" style="1"/>
  </cols>
  <sheetData>
    <row r="1" spans="1:11" ht="18.75">
      <c r="A1" s="85" t="s">
        <v>102</v>
      </c>
    </row>
    <row r="2" spans="1:11" ht="7.5" customHeight="1"/>
    <row r="3" spans="1:11" ht="18.75">
      <c r="A3" s="96" t="s">
        <v>53</v>
      </c>
      <c r="B3" s="96"/>
      <c r="C3" s="96"/>
      <c r="D3" s="96"/>
      <c r="E3" s="96"/>
      <c r="F3" s="96"/>
      <c r="G3" s="96"/>
      <c r="H3" s="96"/>
    </row>
    <row r="4" spans="1:11" ht="6" customHeight="1" thickBot="1"/>
    <row r="5" spans="1:11" ht="79.5" customHeight="1">
      <c r="A5" s="30" t="s">
        <v>2</v>
      </c>
      <c r="B5" s="31" t="s">
        <v>54</v>
      </c>
      <c r="C5" s="31" t="s">
        <v>14</v>
      </c>
      <c r="D5" s="31" t="s">
        <v>16</v>
      </c>
      <c r="E5" s="94" t="s">
        <v>27</v>
      </c>
      <c r="F5" s="31" t="s">
        <v>28</v>
      </c>
      <c r="G5" s="31" t="s">
        <v>55</v>
      </c>
      <c r="H5" s="31" t="s">
        <v>59</v>
      </c>
      <c r="I5" s="31" t="s">
        <v>11</v>
      </c>
      <c r="J5" s="2" t="s">
        <v>34</v>
      </c>
      <c r="K5" s="2" t="s">
        <v>33</v>
      </c>
    </row>
    <row r="6" spans="1:11" ht="15.75" thickBot="1">
      <c r="A6" s="5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31</v>
      </c>
      <c r="H6" s="11">
        <v>8</v>
      </c>
      <c r="I6" s="53" t="s">
        <v>32</v>
      </c>
    </row>
    <row r="7" spans="1:11">
      <c r="A7" s="16" t="s">
        <v>61</v>
      </c>
      <c r="B7" s="17" t="s">
        <v>56</v>
      </c>
      <c r="C7" s="17" t="s">
        <v>58</v>
      </c>
      <c r="D7" s="17">
        <v>906.3</v>
      </c>
      <c r="E7" s="19">
        <f>247*8*(122/1974)</f>
        <v>122.12360688956433</v>
      </c>
      <c r="F7" s="38">
        <f>E7/122</f>
        <v>1.0010131712259371</v>
      </c>
      <c r="G7" s="55">
        <f t="shared" ref="G7:G12" si="0">D7/E7*F7</f>
        <v>7.4286885245901635</v>
      </c>
      <c r="H7" s="18">
        <v>18.637319999999999</v>
      </c>
      <c r="I7" s="20">
        <f>H7*G7</f>
        <v>138.45084521311475</v>
      </c>
      <c r="J7" s="3">
        <v>16891</v>
      </c>
      <c r="K7" s="1">
        <f>I7*122</f>
        <v>16891.003116</v>
      </c>
    </row>
    <row r="8" spans="1:11" s="1" customFormat="1" ht="33" customHeight="1">
      <c r="A8" s="21"/>
      <c r="B8" s="49" t="s">
        <v>57</v>
      </c>
      <c r="C8" s="6" t="s">
        <v>17</v>
      </c>
      <c r="D8" s="6">
        <v>1</v>
      </c>
      <c r="E8" s="8">
        <f t="shared" ref="E8:E12" si="1">247*8*(122/1974)</f>
        <v>122.12360688956433</v>
      </c>
      <c r="F8" s="39">
        <f t="shared" ref="F8:F12" si="2">E8/122</f>
        <v>1.0010131712259371</v>
      </c>
      <c r="G8" s="54">
        <f t="shared" si="0"/>
        <v>8.1967213114754103E-3</v>
      </c>
      <c r="H8" s="7">
        <v>25000</v>
      </c>
      <c r="I8" s="22">
        <f t="shared" ref="I8:I9" si="3">H8*G8</f>
        <v>204.91803278688525</v>
      </c>
      <c r="J8" s="1">
        <v>25000</v>
      </c>
      <c r="K8" s="1">
        <f t="shared" ref="K8:K13" si="4">I8*122</f>
        <v>25000</v>
      </c>
    </row>
    <row r="9" spans="1:11" s="1" customFormat="1">
      <c r="A9" s="21"/>
      <c r="B9" s="6" t="s">
        <v>60</v>
      </c>
      <c r="C9" s="6" t="s">
        <v>17</v>
      </c>
      <c r="D9" s="6">
        <v>1</v>
      </c>
      <c r="E9" s="8">
        <f t="shared" si="1"/>
        <v>122.12360688956433</v>
      </c>
      <c r="F9" s="39">
        <f t="shared" si="2"/>
        <v>1.0010131712259371</v>
      </c>
      <c r="G9" s="54">
        <f t="shared" si="0"/>
        <v>8.1967213114754103E-3</v>
      </c>
      <c r="H9" s="7">
        <v>5000</v>
      </c>
      <c r="I9" s="22">
        <f t="shared" si="3"/>
        <v>40.983606557377051</v>
      </c>
      <c r="J9" s="1">
        <v>5000</v>
      </c>
      <c r="K9" s="1">
        <f t="shared" si="4"/>
        <v>5000</v>
      </c>
    </row>
    <row r="10" spans="1:11" s="1" customFormat="1">
      <c r="A10" s="21"/>
      <c r="B10" s="6" t="s">
        <v>99</v>
      </c>
      <c r="C10" s="6" t="s">
        <v>17</v>
      </c>
      <c r="D10" s="6">
        <v>1</v>
      </c>
      <c r="E10" s="8">
        <f t="shared" si="1"/>
        <v>122.12360688956433</v>
      </c>
      <c r="F10" s="39">
        <f t="shared" si="2"/>
        <v>1.0010131712259371</v>
      </c>
      <c r="G10" s="54">
        <f t="shared" si="0"/>
        <v>8.1967213114754103E-3</v>
      </c>
      <c r="H10" s="7">
        <v>10270</v>
      </c>
      <c r="I10" s="22">
        <f t="shared" ref="I10" si="5">H10*G10</f>
        <v>84.180327868852459</v>
      </c>
      <c r="J10" s="1">
        <v>10270</v>
      </c>
      <c r="K10" s="1">
        <f t="shared" si="4"/>
        <v>10270</v>
      </c>
    </row>
    <row r="11" spans="1:11" s="1" customFormat="1">
      <c r="A11" s="21"/>
      <c r="B11" s="6" t="s">
        <v>100</v>
      </c>
      <c r="C11" s="6" t="s">
        <v>17</v>
      </c>
      <c r="D11" s="6">
        <v>1</v>
      </c>
      <c r="E11" s="8">
        <f t="shared" si="1"/>
        <v>122.12360688956433</v>
      </c>
      <c r="F11" s="39">
        <f t="shared" si="2"/>
        <v>1.0010131712259371</v>
      </c>
      <c r="G11" s="54">
        <f t="shared" si="0"/>
        <v>8.1967213114754103E-3</v>
      </c>
      <c r="H11" s="7">
        <f>15600+4240</f>
        <v>19840</v>
      </c>
      <c r="I11" s="22">
        <f t="shared" ref="I11:I12" si="6">H11*G11</f>
        <v>162.62295081967213</v>
      </c>
      <c r="J11" s="1">
        <v>19840</v>
      </c>
      <c r="K11" s="1">
        <f t="shared" si="4"/>
        <v>19840</v>
      </c>
    </row>
    <row r="12" spans="1:11" s="1" customFormat="1">
      <c r="A12" s="21"/>
      <c r="B12" s="6" t="s">
        <v>101</v>
      </c>
      <c r="C12" s="6" t="s">
        <v>17</v>
      </c>
      <c r="D12" s="6">
        <v>1</v>
      </c>
      <c r="E12" s="8">
        <f t="shared" si="1"/>
        <v>122.12360688956433</v>
      </c>
      <c r="F12" s="39">
        <f t="shared" si="2"/>
        <v>1.0010131712259371</v>
      </c>
      <c r="G12" s="54">
        <f t="shared" si="0"/>
        <v>8.1967213114754103E-3</v>
      </c>
      <c r="H12" s="7">
        <v>46471</v>
      </c>
      <c r="I12" s="22">
        <f t="shared" si="6"/>
        <v>380.90983606557381</v>
      </c>
      <c r="J12" s="1">
        <v>46471</v>
      </c>
      <c r="K12" s="1">
        <f t="shared" si="4"/>
        <v>46471.000000000007</v>
      </c>
    </row>
    <row r="13" spans="1:11" s="1" customFormat="1" ht="15.75" thickBot="1">
      <c r="A13" s="23"/>
      <c r="B13" s="24"/>
      <c r="C13" s="24"/>
      <c r="D13" s="24"/>
      <c r="E13" s="24"/>
      <c r="F13" s="24"/>
      <c r="G13" s="28"/>
      <c r="H13" s="56"/>
      <c r="I13" s="27">
        <f>SUM(I7:I12)</f>
        <v>1012.0655993114755</v>
      </c>
      <c r="K13" s="1">
        <f t="shared" si="4"/>
        <v>123472.00311600001</v>
      </c>
    </row>
    <row r="14" spans="1:11" s="1" customFormat="1" ht="15.75" thickBot="1">
      <c r="A14" s="81"/>
      <c r="B14" s="82"/>
      <c r="C14" s="82"/>
      <c r="D14" s="82"/>
      <c r="E14" s="82"/>
      <c r="F14" s="82"/>
      <c r="G14" s="75" t="s">
        <v>98</v>
      </c>
      <c r="H14" s="83"/>
      <c r="I14" s="84">
        <f>I10</f>
        <v>84.180327868852459</v>
      </c>
      <c r="K14" s="1">
        <f>I14*122</f>
        <v>10270</v>
      </c>
    </row>
    <row r="15" spans="1:11" s="1" customFormat="1" ht="15.75" thickBot="1">
      <c r="A15" s="78"/>
      <c r="B15" s="79"/>
      <c r="C15" s="79"/>
      <c r="D15" s="79"/>
      <c r="E15" s="79"/>
      <c r="F15" s="79"/>
      <c r="G15" s="76" t="s">
        <v>95</v>
      </c>
      <c r="H15" s="80"/>
      <c r="I15" s="74">
        <f>I13-I14</f>
        <v>927.88527144262298</v>
      </c>
      <c r="J15" s="3">
        <f>J12+J11+J9+J8+J7</f>
        <v>113202</v>
      </c>
      <c r="K15" s="77">
        <f>I15*122</f>
        <v>113202.00311600001</v>
      </c>
    </row>
    <row r="16" spans="1:11">
      <c r="A16" s="16" t="s">
        <v>63</v>
      </c>
      <c r="B16" s="17" t="s">
        <v>56</v>
      </c>
      <c r="C16" s="17" t="s">
        <v>58</v>
      </c>
      <c r="D16" s="17">
        <v>2019.6</v>
      </c>
      <c r="E16" s="19">
        <f>247*8*(240/1974)</f>
        <v>240.24316109422492</v>
      </c>
      <c r="F16" s="38">
        <f>E16/240</f>
        <v>1.0010131712259371</v>
      </c>
      <c r="G16" s="55">
        <f t="shared" ref="G16:G21" si="7">D16/E16*F16</f>
        <v>8.4149999999999991</v>
      </c>
      <c r="H16" s="18">
        <v>16.977499999999999</v>
      </c>
      <c r="I16" s="20">
        <f>H16*G16</f>
        <v>142.86566249999998</v>
      </c>
      <c r="J16" s="3">
        <v>34288</v>
      </c>
      <c r="K16" s="1">
        <f>I16*240</f>
        <v>34287.758999999998</v>
      </c>
    </row>
    <row r="17" spans="1:11" s="1" customFormat="1" ht="33" customHeight="1">
      <c r="A17" s="21"/>
      <c r="B17" s="49" t="s">
        <v>57</v>
      </c>
      <c r="C17" s="6" t="s">
        <v>17</v>
      </c>
      <c r="D17" s="6">
        <v>1</v>
      </c>
      <c r="E17" s="8">
        <f>247*8*(240/1974)</f>
        <v>240.24316109422492</v>
      </c>
      <c r="F17" s="39">
        <f>E17/240</f>
        <v>1.0010131712259371</v>
      </c>
      <c r="G17" s="54">
        <f t="shared" si="7"/>
        <v>4.1666666666666666E-3</v>
      </c>
      <c r="H17" s="7">
        <v>50000</v>
      </c>
      <c r="I17" s="22">
        <f t="shared" ref="I17:I21" si="8">H17*G17</f>
        <v>208.33333333333334</v>
      </c>
      <c r="J17" s="1">
        <v>50000</v>
      </c>
      <c r="K17" s="1">
        <f t="shared" ref="K17:K22" si="9">I17*240</f>
        <v>50000</v>
      </c>
    </row>
    <row r="18" spans="1:11" s="1" customFormat="1">
      <c r="A18" s="21"/>
      <c r="B18" s="6" t="s">
        <v>60</v>
      </c>
      <c r="C18" s="6" t="s">
        <v>17</v>
      </c>
      <c r="D18" s="6">
        <v>1</v>
      </c>
      <c r="E18" s="8">
        <f t="shared" ref="E18:E21" si="10">247*8*(240/1974)</f>
        <v>240.24316109422492</v>
      </c>
      <c r="F18" s="39">
        <f t="shared" ref="F18:F21" si="11">E18/240</f>
        <v>1.0010131712259371</v>
      </c>
      <c r="G18" s="54">
        <f t="shared" si="7"/>
        <v>4.1666666666666666E-3</v>
      </c>
      <c r="H18" s="7">
        <v>11000</v>
      </c>
      <c r="I18" s="22">
        <f t="shared" si="8"/>
        <v>45.833333333333336</v>
      </c>
      <c r="J18" s="1">
        <v>11000</v>
      </c>
      <c r="K18" s="1">
        <f t="shared" si="9"/>
        <v>11000</v>
      </c>
    </row>
    <row r="19" spans="1:11" s="1" customFormat="1">
      <c r="A19" s="21"/>
      <c r="B19" s="6" t="s">
        <v>99</v>
      </c>
      <c r="C19" s="6" t="s">
        <v>17</v>
      </c>
      <c r="D19" s="6">
        <v>1</v>
      </c>
      <c r="E19" s="8">
        <f t="shared" si="10"/>
        <v>240.24316109422492</v>
      </c>
      <c r="F19" s="39">
        <f t="shared" si="11"/>
        <v>1.0010131712259371</v>
      </c>
      <c r="G19" s="54">
        <f t="shared" si="7"/>
        <v>4.1666666666666666E-3</v>
      </c>
      <c r="H19" s="7"/>
      <c r="I19" s="22">
        <f t="shared" si="8"/>
        <v>0</v>
      </c>
      <c r="K19" s="1">
        <f t="shared" si="9"/>
        <v>0</v>
      </c>
    </row>
    <row r="20" spans="1:11" s="1" customFormat="1">
      <c r="A20" s="21"/>
      <c r="B20" s="6" t="s">
        <v>100</v>
      </c>
      <c r="C20" s="6" t="s">
        <v>17</v>
      </c>
      <c r="D20" s="6">
        <v>1</v>
      </c>
      <c r="E20" s="8">
        <f t="shared" si="10"/>
        <v>240.24316109422492</v>
      </c>
      <c r="F20" s="39">
        <f t="shared" si="11"/>
        <v>1.0010131712259371</v>
      </c>
      <c r="G20" s="54">
        <f t="shared" si="7"/>
        <v>4.1666666666666666E-3</v>
      </c>
      <c r="H20" s="7">
        <v>31730</v>
      </c>
      <c r="I20" s="22">
        <f t="shared" si="8"/>
        <v>132.20833333333334</v>
      </c>
      <c r="J20" s="1">
        <f>23400+6980+1350</f>
        <v>31730</v>
      </c>
      <c r="K20" s="1">
        <f t="shared" si="9"/>
        <v>31730.000000000004</v>
      </c>
    </row>
    <row r="21" spans="1:11" s="1" customFormat="1">
      <c r="A21" s="21"/>
      <c r="B21" s="6" t="s">
        <v>101</v>
      </c>
      <c r="C21" s="6" t="s">
        <v>17</v>
      </c>
      <c r="D21" s="6">
        <v>1</v>
      </c>
      <c r="E21" s="8">
        <f t="shared" si="10"/>
        <v>240.24316109422492</v>
      </c>
      <c r="F21" s="39">
        <f t="shared" si="11"/>
        <v>1.0010131712259371</v>
      </c>
      <c r="G21" s="54">
        <f t="shared" si="7"/>
        <v>4.1666666666666666E-3</v>
      </c>
      <c r="H21" s="7">
        <v>82812</v>
      </c>
      <c r="I21" s="22">
        <f t="shared" si="8"/>
        <v>345.05</v>
      </c>
      <c r="J21" s="1">
        <v>82812</v>
      </c>
      <c r="K21" s="1">
        <f t="shared" si="9"/>
        <v>82812</v>
      </c>
    </row>
    <row r="22" spans="1:11" s="1" customFormat="1" ht="15.75" thickBot="1">
      <c r="A22" s="23"/>
      <c r="B22" s="24"/>
      <c r="C22" s="24"/>
      <c r="D22" s="24"/>
      <c r="E22" s="24"/>
      <c r="F22" s="24"/>
      <c r="G22" s="28"/>
      <c r="H22" s="56"/>
      <c r="I22" s="27">
        <f>SUM(I16:I21)</f>
        <v>874.29066250000005</v>
      </c>
      <c r="J22" s="3">
        <f>SUM(J16:J21)</f>
        <v>209830</v>
      </c>
      <c r="K22" s="1">
        <f t="shared" si="9"/>
        <v>209829.75900000002</v>
      </c>
    </row>
    <row r="23" spans="1:11" s="1" customFormat="1" ht="15.75" thickBot="1">
      <c r="A23" s="81"/>
      <c r="B23" s="82"/>
      <c r="C23" s="82"/>
      <c r="D23" s="82"/>
      <c r="E23" s="82"/>
      <c r="F23" s="82"/>
      <c r="G23" s="75" t="s">
        <v>98</v>
      </c>
      <c r="H23" s="83"/>
      <c r="I23" s="84">
        <f>I19</f>
        <v>0</v>
      </c>
      <c r="K23" s="1">
        <f>I23*240</f>
        <v>0</v>
      </c>
    </row>
    <row r="24" spans="1:11" s="1" customFormat="1" ht="15.75" thickBot="1">
      <c r="A24" s="81"/>
      <c r="B24" s="82"/>
      <c r="C24" s="82"/>
      <c r="D24" s="82"/>
      <c r="E24" s="82"/>
      <c r="F24" s="82"/>
      <c r="G24" s="75" t="s">
        <v>95</v>
      </c>
      <c r="H24" s="83"/>
      <c r="I24" s="84">
        <f>I22-I23</f>
        <v>874.29066250000005</v>
      </c>
      <c r="J24" s="3">
        <f>J21+J20+J18+J17+J16</f>
        <v>209830</v>
      </c>
      <c r="K24" s="77">
        <f>I24*240</f>
        <v>209829.75900000002</v>
      </c>
    </row>
    <row r="25" spans="1:11">
      <c r="A25" s="16" t="s">
        <v>64</v>
      </c>
      <c r="B25" s="17" t="s">
        <v>56</v>
      </c>
      <c r="C25" s="17" t="s">
        <v>58</v>
      </c>
      <c r="D25" s="17">
        <v>1067</v>
      </c>
      <c r="E25" s="19">
        <f>247*8*(123/1974)</f>
        <v>123.12462006079028</v>
      </c>
      <c r="F25" s="38">
        <f>E25/123</f>
        <v>1.0010131712259371</v>
      </c>
      <c r="G25" s="55">
        <f t="shared" ref="G25:G30" si="12">D25/E25*F25</f>
        <v>8.6747967479674788</v>
      </c>
      <c r="H25" s="18">
        <v>16.977499999999999</v>
      </c>
      <c r="I25" s="20">
        <f>H25*G25</f>
        <v>147.27636178861786</v>
      </c>
      <c r="J25" s="3">
        <v>18115</v>
      </c>
      <c r="K25" s="1">
        <f>I25*123</f>
        <v>18114.992499999997</v>
      </c>
    </row>
    <row r="26" spans="1:11" s="1" customFormat="1" ht="33" customHeight="1">
      <c r="A26" s="21"/>
      <c r="B26" s="49" t="s">
        <v>57</v>
      </c>
      <c r="C26" s="6" t="s">
        <v>17</v>
      </c>
      <c r="D26" s="6">
        <v>1</v>
      </c>
      <c r="E26" s="8">
        <f>247*8*(123/1974)</f>
        <v>123.12462006079028</v>
      </c>
      <c r="F26" s="39">
        <f>E26/123</f>
        <v>1.0010131712259371</v>
      </c>
      <c r="G26" s="54">
        <f t="shared" si="12"/>
        <v>8.1300813008130073E-3</v>
      </c>
      <c r="H26" s="7">
        <v>25000</v>
      </c>
      <c r="I26" s="22">
        <f t="shared" ref="I26:I30" si="13">H26*G26</f>
        <v>203.25203252032517</v>
      </c>
      <c r="J26" s="1">
        <v>25000</v>
      </c>
      <c r="K26" s="1">
        <f t="shared" ref="K26:K31" si="14">I26*123</f>
        <v>24999.999999999996</v>
      </c>
    </row>
    <row r="27" spans="1:11" s="1" customFormat="1">
      <c r="A27" s="21"/>
      <c r="B27" s="6" t="s">
        <v>60</v>
      </c>
      <c r="C27" s="6" t="s">
        <v>17</v>
      </c>
      <c r="D27" s="6">
        <v>1</v>
      </c>
      <c r="E27" s="8">
        <f t="shared" ref="E27:E30" si="15">247*8*(123/1974)</f>
        <v>123.12462006079028</v>
      </c>
      <c r="F27" s="39">
        <f t="shared" ref="F27:F30" si="16">E27/123</f>
        <v>1.0010131712259371</v>
      </c>
      <c r="G27" s="54">
        <f t="shared" si="12"/>
        <v>8.1300813008130073E-3</v>
      </c>
      <c r="H27" s="7">
        <v>5000</v>
      </c>
      <c r="I27" s="22">
        <f t="shared" si="13"/>
        <v>40.650406504065039</v>
      </c>
      <c r="J27" s="1">
        <v>5000</v>
      </c>
      <c r="K27" s="1">
        <f t="shared" si="14"/>
        <v>5000</v>
      </c>
    </row>
    <row r="28" spans="1:11" s="1" customFormat="1">
      <c r="A28" s="21"/>
      <c r="B28" s="6" t="s">
        <v>99</v>
      </c>
      <c r="C28" s="6" t="s">
        <v>17</v>
      </c>
      <c r="D28" s="6">
        <v>1</v>
      </c>
      <c r="E28" s="8">
        <f t="shared" si="15"/>
        <v>123.12462006079028</v>
      </c>
      <c r="F28" s="39">
        <f t="shared" si="16"/>
        <v>1.0010131712259371</v>
      </c>
      <c r="G28" s="54">
        <f t="shared" si="12"/>
        <v>8.1300813008130073E-3</v>
      </c>
      <c r="H28" s="7"/>
      <c r="I28" s="22">
        <f t="shared" si="13"/>
        <v>0</v>
      </c>
      <c r="K28" s="1">
        <f t="shared" si="14"/>
        <v>0</v>
      </c>
    </row>
    <row r="29" spans="1:11" s="1" customFormat="1">
      <c r="A29" s="21"/>
      <c r="B29" s="6" t="s">
        <v>100</v>
      </c>
      <c r="C29" s="6" t="s">
        <v>17</v>
      </c>
      <c r="D29" s="6">
        <v>1</v>
      </c>
      <c r="E29" s="8">
        <f t="shared" si="15"/>
        <v>123.12462006079028</v>
      </c>
      <c r="F29" s="39">
        <f t="shared" si="16"/>
        <v>1.0010131712259371</v>
      </c>
      <c r="G29" s="54">
        <f t="shared" si="12"/>
        <v>8.1300813008130073E-3</v>
      </c>
      <c r="H29" s="7">
        <v>21799</v>
      </c>
      <c r="I29" s="22">
        <f t="shared" si="13"/>
        <v>177.22764227642276</v>
      </c>
      <c r="J29" s="1">
        <f>15600+4849+1350</f>
        <v>21799</v>
      </c>
      <c r="K29" s="1">
        <f t="shared" si="14"/>
        <v>21799</v>
      </c>
    </row>
    <row r="30" spans="1:11" s="1" customFormat="1">
      <c r="A30" s="21"/>
      <c r="B30" s="6" t="s">
        <v>101</v>
      </c>
      <c r="C30" s="6" t="s">
        <v>17</v>
      </c>
      <c r="D30" s="6">
        <v>1</v>
      </c>
      <c r="E30" s="8">
        <f t="shared" si="15"/>
        <v>123.12462006079028</v>
      </c>
      <c r="F30" s="39">
        <f t="shared" si="16"/>
        <v>1.0010131712259371</v>
      </c>
      <c r="G30" s="54">
        <f t="shared" si="12"/>
        <v>8.1300813008130073E-3</v>
      </c>
      <c r="H30" s="7">
        <v>53195</v>
      </c>
      <c r="I30" s="22">
        <f t="shared" si="13"/>
        <v>432.47967479674793</v>
      </c>
      <c r="J30" s="1">
        <v>53195</v>
      </c>
      <c r="K30" s="1">
        <f t="shared" si="14"/>
        <v>53194.999999999993</v>
      </c>
    </row>
    <row r="31" spans="1:11" s="1" customFormat="1" ht="15.75" thickBot="1">
      <c r="A31" s="23"/>
      <c r="B31" s="24"/>
      <c r="C31" s="24"/>
      <c r="D31" s="24"/>
      <c r="E31" s="24"/>
      <c r="F31" s="24"/>
      <c r="G31" s="28"/>
      <c r="H31" s="56"/>
      <c r="I31" s="27">
        <f>SUM(I25:I30)</f>
        <v>1000.8861178861787</v>
      </c>
      <c r="J31" s="3">
        <f>SUM(J25:J30)</f>
        <v>123109</v>
      </c>
      <c r="K31" s="1">
        <f t="shared" si="14"/>
        <v>123108.99249999998</v>
      </c>
    </row>
    <row r="32" spans="1:11" s="1" customFormat="1" ht="15.75" thickBot="1">
      <c r="A32" s="81"/>
      <c r="B32" s="82"/>
      <c r="C32" s="82"/>
      <c r="D32" s="82"/>
      <c r="E32" s="82"/>
      <c r="F32" s="82"/>
      <c r="G32" s="75" t="s">
        <v>98</v>
      </c>
      <c r="H32" s="83"/>
      <c r="I32" s="84">
        <f>I28</f>
        <v>0</v>
      </c>
      <c r="K32" s="1">
        <f>I32*240</f>
        <v>0</v>
      </c>
    </row>
    <row r="33" spans="1:11" s="1" customFormat="1" ht="15.75" thickBot="1">
      <c r="A33" s="81"/>
      <c r="B33" s="82"/>
      <c r="C33" s="82"/>
      <c r="D33" s="82"/>
      <c r="E33" s="82"/>
      <c r="F33" s="82"/>
      <c r="G33" s="75" t="s">
        <v>95</v>
      </c>
      <c r="H33" s="83"/>
      <c r="I33" s="84">
        <f>I31-I32</f>
        <v>1000.8861178861787</v>
      </c>
      <c r="J33" s="3">
        <f>J30+J29+J27+J26+J25</f>
        <v>123109</v>
      </c>
      <c r="K33" s="77">
        <f>I33*123</f>
        <v>123108.99249999998</v>
      </c>
    </row>
    <row r="34" spans="1:11">
      <c r="A34" s="16" t="s">
        <v>65</v>
      </c>
      <c r="B34" s="17" t="s">
        <v>56</v>
      </c>
      <c r="C34" s="17" t="s">
        <v>58</v>
      </c>
      <c r="D34" s="17">
        <v>1265.4000000000001</v>
      </c>
      <c r="E34" s="65">
        <f>247*8*(140/1974)</f>
        <v>140.1418439716312</v>
      </c>
      <c r="F34" s="48">
        <f>E34/140</f>
        <v>1.0010131712259371</v>
      </c>
      <c r="G34" s="55">
        <f t="shared" ref="G34:G39" si="17">D34/E34*F34</f>
        <v>9.0385714285714283</v>
      </c>
      <c r="H34" s="18">
        <v>16.9772</v>
      </c>
      <c r="I34" s="20">
        <f>H34*G34</f>
        <v>153.44963485714285</v>
      </c>
      <c r="J34" s="3">
        <v>21483</v>
      </c>
      <c r="K34" s="1">
        <f>I34*140</f>
        <v>21482.94888</v>
      </c>
    </row>
    <row r="35" spans="1:11" s="1" customFormat="1" ht="33" customHeight="1">
      <c r="A35" s="21"/>
      <c r="B35" s="49" t="s">
        <v>57</v>
      </c>
      <c r="C35" s="6" t="s">
        <v>17</v>
      </c>
      <c r="D35" s="6">
        <v>1</v>
      </c>
      <c r="E35" s="8">
        <f>247*8*(140/1974)</f>
        <v>140.1418439716312</v>
      </c>
      <c r="F35" s="39">
        <f>E35/140</f>
        <v>1.0010131712259371</v>
      </c>
      <c r="G35" s="54">
        <f t="shared" si="17"/>
        <v>7.1428571428571426E-3</v>
      </c>
      <c r="H35" s="7">
        <v>25000</v>
      </c>
      <c r="I35" s="22">
        <f t="shared" ref="I35:I39" si="18">H35*G35</f>
        <v>178.57142857142856</v>
      </c>
      <c r="J35" s="1">
        <v>25000</v>
      </c>
      <c r="K35" s="1">
        <f t="shared" ref="K35:K39" si="19">I35*140</f>
        <v>24999.999999999996</v>
      </c>
    </row>
    <row r="36" spans="1:11" s="1" customFormat="1">
      <c r="A36" s="21"/>
      <c r="B36" s="6" t="s">
        <v>60</v>
      </c>
      <c r="C36" s="6" t="s">
        <v>17</v>
      </c>
      <c r="D36" s="6">
        <v>1</v>
      </c>
      <c r="E36" s="8">
        <f t="shared" ref="E36:E39" si="20">247*8*(140/1974)</f>
        <v>140.1418439716312</v>
      </c>
      <c r="F36" s="39">
        <f t="shared" ref="F36:F39" si="21">E36/140</f>
        <v>1.0010131712259371</v>
      </c>
      <c r="G36" s="54">
        <f t="shared" si="17"/>
        <v>7.1428571428571426E-3</v>
      </c>
      <c r="H36" s="7">
        <v>7000</v>
      </c>
      <c r="I36" s="22">
        <f t="shared" si="18"/>
        <v>50</v>
      </c>
      <c r="J36" s="1">
        <v>7000</v>
      </c>
      <c r="K36" s="1">
        <f t="shared" si="19"/>
        <v>7000</v>
      </c>
    </row>
    <row r="37" spans="1:11" s="1" customFormat="1">
      <c r="A37" s="21"/>
      <c r="B37" s="6" t="s">
        <v>99</v>
      </c>
      <c r="C37" s="6" t="s">
        <v>17</v>
      </c>
      <c r="D37" s="6">
        <v>1</v>
      </c>
      <c r="E37" s="8">
        <f t="shared" si="20"/>
        <v>140.1418439716312</v>
      </c>
      <c r="F37" s="39">
        <f t="shared" si="21"/>
        <v>1.0010131712259371</v>
      </c>
      <c r="G37" s="54">
        <f t="shared" si="17"/>
        <v>7.1428571428571426E-3</v>
      </c>
      <c r="H37" s="7"/>
      <c r="I37" s="22">
        <f t="shared" si="18"/>
        <v>0</v>
      </c>
      <c r="K37" s="1">
        <f t="shared" si="19"/>
        <v>0</v>
      </c>
    </row>
    <row r="38" spans="1:11" s="1" customFormat="1">
      <c r="A38" s="21"/>
      <c r="B38" s="6" t="s">
        <v>100</v>
      </c>
      <c r="C38" s="6" t="s">
        <v>17</v>
      </c>
      <c r="D38" s="6">
        <v>1</v>
      </c>
      <c r="E38" s="8">
        <f t="shared" si="20"/>
        <v>140.1418439716312</v>
      </c>
      <c r="F38" s="39">
        <f t="shared" si="21"/>
        <v>1.0010131712259371</v>
      </c>
      <c r="G38" s="54">
        <f t="shared" si="17"/>
        <v>7.1428571428571426E-3</v>
      </c>
      <c r="H38" s="7">
        <f>15600+4545</f>
        <v>20145</v>
      </c>
      <c r="I38" s="22">
        <f t="shared" si="18"/>
        <v>143.89285714285714</v>
      </c>
      <c r="J38" s="1">
        <v>20145</v>
      </c>
      <c r="K38" s="1">
        <f t="shared" si="19"/>
        <v>20145</v>
      </c>
    </row>
    <row r="39" spans="1:11" s="1" customFormat="1">
      <c r="A39" s="21"/>
      <c r="B39" s="6" t="s">
        <v>101</v>
      </c>
      <c r="C39" s="6" t="s">
        <v>17</v>
      </c>
      <c r="D39" s="6">
        <v>1</v>
      </c>
      <c r="E39" s="8">
        <f t="shared" si="20"/>
        <v>140.1418439716312</v>
      </c>
      <c r="F39" s="39">
        <f t="shared" si="21"/>
        <v>1.0010131712259371</v>
      </c>
      <c r="G39" s="54">
        <f t="shared" si="17"/>
        <v>7.1428571428571426E-3</v>
      </c>
      <c r="H39" s="7">
        <v>50386</v>
      </c>
      <c r="I39" s="22">
        <f t="shared" si="18"/>
        <v>359.9</v>
      </c>
      <c r="J39" s="1">
        <v>50386</v>
      </c>
      <c r="K39" s="1">
        <f t="shared" si="19"/>
        <v>50386</v>
      </c>
    </row>
    <row r="40" spans="1:11" s="1" customFormat="1" ht="15.75" thickBot="1">
      <c r="A40" s="23"/>
      <c r="B40" s="24"/>
      <c r="C40" s="24"/>
      <c r="D40" s="24"/>
      <c r="E40" s="24"/>
      <c r="F40" s="24"/>
      <c r="G40" s="28"/>
      <c r="H40" s="56"/>
      <c r="I40" s="27">
        <f>SUM(I34:I39)</f>
        <v>885.81392057142853</v>
      </c>
      <c r="J40" s="3">
        <f>SUM(J34:J39)</f>
        <v>124014</v>
      </c>
      <c r="K40" s="1">
        <f>I40*140</f>
        <v>124013.94888</v>
      </c>
    </row>
    <row r="41" spans="1:11" s="1" customFormat="1" ht="15.75" thickBot="1">
      <c r="A41" s="81"/>
      <c r="B41" s="82"/>
      <c r="C41" s="82"/>
      <c r="D41" s="82"/>
      <c r="E41" s="82"/>
      <c r="F41" s="82"/>
      <c r="G41" s="75" t="s">
        <v>98</v>
      </c>
      <c r="H41" s="83"/>
      <c r="I41" s="84">
        <f>I37</f>
        <v>0</v>
      </c>
      <c r="K41" s="1">
        <f t="shared" ref="K41:K42" si="22">I41*140</f>
        <v>0</v>
      </c>
    </row>
    <row r="42" spans="1:11" s="1" customFormat="1" ht="15.75" thickBot="1">
      <c r="A42" s="81"/>
      <c r="B42" s="82"/>
      <c r="C42" s="82"/>
      <c r="D42" s="82"/>
      <c r="E42" s="82"/>
      <c r="F42" s="82"/>
      <c r="G42" s="75" t="s">
        <v>95</v>
      </c>
      <c r="H42" s="83"/>
      <c r="I42" s="84">
        <f>I40-I41</f>
        <v>885.81392057142853</v>
      </c>
      <c r="J42" s="3">
        <f>J39+J38+J36+J35+J34</f>
        <v>124014</v>
      </c>
      <c r="K42" s="1">
        <f t="shared" si="22"/>
        <v>124013.94888</v>
      </c>
    </row>
    <row r="43" spans="1:11">
      <c r="A43" s="16" t="s">
        <v>66</v>
      </c>
      <c r="B43" s="17" t="s">
        <v>56</v>
      </c>
      <c r="C43" s="17" t="s">
        <v>58</v>
      </c>
      <c r="D43" s="17">
        <v>1218.5</v>
      </c>
      <c r="E43" s="65">
        <f>247*8*(123/1974)</f>
        <v>123.12462006079028</v>
      </c>
      <c r="F43" s="48">
        <f>E43/123</f>
        <v>1.0010131712259371</v>
      </c>
      <c r="G43" s="55">
        <f t="shared" ref="G43:G48" si="23">D43/E43*F43</f>
        <v>9.9065040650406484</v>
      </c>
      <c r="H43" s="18">
        <v>16.9772</v>
      </c>
      <c r="I43" s="20">
        <f>H43*G43</f>
        <v>168.18470081300811</v>
      </c>
      <c r="J43" s="3">
        <v>20687</v>
      </c>
      <c r="K43" s="3">
        <f>I43*123</f>
        <v>20686.718199999996</v>
      </c>
    </row>
    <row r="44" spans="1:11" s="1" customFormat="1" ht="33" customHeight="1">
      <c r="A44" s="21"/>
      <c r="B44" s="49" t="s">
        <v>57</v>
      </c>
      <c r="C44" s="6" t="s">
        <v>17</v>
      </c>
      <c r="D44" s="6">
        <v>1</v>
      </c>
      <c r="E44" s="8">
        <f>247*8*(123/1974)</f>
        <v>123.12462006079028</v>
      </c>
      <c r="F44" s="39">
        <f>E44/123</f>
        <v>1.0010131712259371</v>
      </c>
      <c r="G44" s="54">
        <f t="shared" si="23"/>
        <v>8.1300813008130073E-3</v>
      </c>
      <c r="H44" s="7">
        <v>25000</v>
      </c>
      <c r="I44" s="22">
        <f t="shared" ref="I44:I48" si="24">H44*G44</f>
        <v>203.25203252032517</v>
      </c>
      <c r="J44" s="1">
        <v>25000</v>
      </c>
      <c r="K44" s="3">
        <f t="shared" ref="K44:K51" si="25">I44*123</f>
        <v>24999.999999999996</v>
      </c>
    </row>
    <row r="45" spans="1:11" s="1" customFormat="1">
      <c r="A45" s="21"/>
      <c r="B45" s="6" t="s">
        <v>60</v>
      </c>
      <c r="C45" s="6" t="s">
        <v>17</v>
      </c>
      <c r="D45" s="6">
        <v>1</v>
      </c>
      <c r="E45" s="8">
        <f t="shared" ref="E45:E48" si="26">247*8*(123/1974)</f>
        <v>123.12462006079028</v>
      </c>
      <c r="F45" s="39">
        <f t="shared" ref="F45:F48" si="27">E45/123</f>
        <v>1.0010131712259371</v>
      </c>
      <c r="G45" s="54">
        <f t="shared" si="23"/>
        <v>8.1300813008130073E-3</v>
      </c>
      <c r="H45" s="7">
        <v>5000</v>
      </c>
      <c r="I45" s="22">
        <f t="shared" si="24"/>
        <v>40.650406504065039</v>
      </c>
      <c r="J45" s="1">
        <v>5000</v>
      </c>
      <c r="K45" s="3">
        <f t="shared" si="25"/>
        <v>5000</v>
      </c>
    </row>
    <row r="46" spans="1:11" s="1" customFormat="1">
      <c r="A46" s="21"/>
      <c r="B46" s="6" t="s">
        <v>99</v>
      </c>
      <c r="C46" s="6" t="s">
        <v>17</v>
      </c>
      <c r="D46" s="6">
        <v>1</v>
      </c>
      <c r="E46" s="8">
        <f t="shared" si="26"/>
        <v>123.12462006079028</v>
      </c>
      <c r="F46" s="39">
        <f t="shared" si="27"/>
        <v>1.0010131712259371</v>
      </c>
      <c r="G46" s="54">
        <f t="shared" si="23"/>
        <v>8.1300813008130073E-3</v>
      </c>
      <c r="H46" s="7"/>
      <c r="I46" s="22">
        <f t="shared" si="24"/>
        <v>0</v>
      </c>
      <c r="K46" s="3">
        <f t="shared" si="25"/>
        <v>0</v>
      </c>
    </row>
    <row r="47" spans="1:11" s="1" customFormat="1">
      <c r="A47" s="21"/>
      <c r="B47" s="6" t="s">
        <v>100</v>
      </c>
      <c r="C47" s="6" t="s">
        <v>17</v>
      </c>
      <c r="D47" s="6">
        <v>1</v>
      </c>
      <c r="E47" s="8">
        <f t="shared" si="26"/>
        <v>123.12462006079028</v>
      </c>
      <c r="F47" s="39">
        <f t="shared" si="27"/>
        <v>1.0010131712259371</v>
      </c>
      <c r="G47" s="54">
        <f t="shared" si="23"/>
        <v>8.1300813008130073E-3</v>
      </c>
      <c r="H47" s="7">
        <f>15600+4545</f>
        <v>20145</v>
      </c>
      <c r="I47" s="22">
        <f t="shared" si="24"/>
        <v>163.78048780487802</v>
      </c>
      <c r="J47" s="1">
        <v>20145</v>
      </c>
      <c r="K47" s="3">
        <f t="shared" si="25"/>
        <v>20144.999999999996</v>
      </c>
    </row>
    <row r="48" spans="1:11" s="1" customFormat="1">
      <c r="A48" s="21"/>
      <c r="B48" s="6" t="s">
        <v>101</v>
      </c>
      <c r="C48" s="6" t="s">
        <v>17</v>
      </c>
      <c r="D48" s="6">
        <v>1</v>
      </c>
      <c r="E48" s="8">
        <f t="shared" si="26"/>
        <v>123.12462006079028</v>
      </c>
      <c r="F48" s="39">
        <f t="shared" si="27"/>
        <v>1.0010131712259371</v>
      </c>
      <c r="G48" s="54">
        <f t="shared" si="23"/>
        <v>8.1300813008130073E-3</v>
      </c>
      <c r="H48" s="7">
        <v>50386</v>
      </c>
      <c r="I48" s="22">
        <f t="shared" si="24"/>
        <v>409.64227642276421</v>
      </c>
      <c r="J48" s="1">
        <v>50386</v>
      </c>
      <c r="K48" s="3">
        <f t="shared" si="25"/>
        <v>50386</v>
      </c>
    </row>
    <row r="49" spans="1:11" s="1" customFormat="1" ht="15.75" thickBot="1">
      <c r="A49" s="23"/>
      <c r="B49" s="24"/>
      <c r="C49" s="24"/>
      <c r="D49" s="24"/>
      <c r="E49" s="24"/>
      <c r="F49" s="24"/>
      <c r="G49" s="28"/>
      <c r="H49" s="56"/>
      <c r="I49" s="27">
        <f>SUM(I43:I48)</f>
        <v>985.50990406504059</v>
      </c>
      <c r="J49" s="3">
        <f>SUM(J43:J48)</f>
        <v>121218</v>
      </c>
      <c r="K49" s="3">
        <f t="shared" si="25"/>
        <v>121217.71819999999</v>
      </c>
    </row>
    <row r="50" spans="1:11" s="1" customFormat="1" ht="15.75" thickBot="1">
      <c r="A50" s="81"/>
      <c r="B50" s="82"/>
      <c r="C50" s="82"/>
      <c r="D50" s="82"/>
      <c r="E50" s="82"/>
      <c r="F50" s="82"/>
      <c r="G50" s="75" t="s">
        <v>98</v>
      </c>
      <c r="H50" s="83"/>
      <c r="I50" s="84">
        <f>I46</f>
        <v>0</v>
      </c>
      <c r="K50" s="3">
        <f t="shared" si="25"/>
        <v>0</v>
      </c>
    </row>
    <row r="51" spans="1:11" s="1" customFormat="1" ht="15.75" thickBot="1">
      <c r="A51" s="81"/>
      <c r="B51" s="82"/>
      <c r="C51" s="82"/>
      <c r="D51" s="82"/>
      <c r="E51" s="82"/>
      <c r="F51" s="82"/>
      <c r="G51" s="75" t="s">
        <v>95</v>
      </c>
      <c r="H51" s="83"/>
      <c r="I51" s="84">
        <f>I49-I50</f>
        <v>985.50990406504059</v>
      </c>
      <c r="J51" s="3">
        <f>J48+J47+J45+J44+J43</f>
        <v>121218</v>
      </c>
      <c r="K51" s="3">
        <f t="shared" si="25"/>
        <v>121217.71819999999</v>
      </c>
    </row>
    <row r="52" spans="1:11">
      <c r="A52" s="16" t="s">
        <v>67</v>
      </c>
      <c r="B52" s="17" t="s">
        <v>56</v>
      </c>
      <c r="C52" s="17" t="s">
        <v>58</v>
      </c>
      <c r="D52" s="17">
        <v>1726.2</v>
      </c>
      <c r="E52" s="65">
        <f>247*8*(220/1974)</f>
        <v>220.22289766970619</v>
      </c>
      <c r="F52" s="48">
        <f>E52/220</f>
        <v>1.0010131712259371</v>
      </c>
      <c r="G52" s="55">
        <f t="shared" ref="G52:G57" si="28">D52/E52*F52</f>
        <v>7.8463636363636367</v>
      </c>
      <c r="H52" s="18">
        <v>16.977</v>
      </c>
      <c r="I52" s="20">
        <f>H52*G52</f>
        <v>133.20771545454545</v>
      </c>
      <c r="J52" s="3">
        <v>29306</v>
      </c>
      <c r="K52" s="3">
        <f>I52*220</f>
        <v>29305.697399999997</v>
      </c>
    </row>
    <row r="53" spans="1:11" s="1" customFormat="1" ht="33" customHeight="1">
      <c r="A53" s="21"/>
      <c r="B53" s="49" t="s">
        <v>57</v>
      </c>
      <c r="C53" s="6" t="s">
        <v>17</v>
      </c>
      <c r="D53" s="6">
        <v>1</v>
      </c>
      <c r="E53" s="8">
        <f>247*8*(220/1974)</f>
        <v>220.22289766970619</v>
      </c>
      <c r="F53" s="39">
        <f t="shared" ref="F53" si="29">E53/220</f>
        <v>1.0010131712259371</v>
      </c>
      <c r="G53" s="54">
        <f t="shared" si="28"/>
        <v>4.5454545454545452E-3</v>
      </c>
      <c r="H53" s="7">
        <v>50000</v>
      </c>
      <c r="I53" s="22">
        <f t="shared" ref="I53:I57" si="30">H53*G53</f>
        <v>227.27272727272725</v>
      </c>
      <c r="J53" s="1">
        <v>50000</v>
      </c>
      <c r="K53" s="3">
        <f t="shared" ref="K53:K60" si="31">I53*220</f>
        <v>49999.999999999993</v>
      </c>
    </row>
    <row r="54" spans="1:11" s="1" customFormat="1">
      <c r="A54" s="21"/>
      <c r="B54" s="6" t="s">
        <v>60</v>
      </c>
      <c r="C54" s="6" t="s">
        <v>17</v>
      </c>
      <c r="D54" s="6">
        <v>1</v>
      </c>
      <c r="E54" s="8">
        <f t="shared" ref="E54:E57" si="32">247*8*(220/1974)</f>
        <v>220.22289766970619</v>
      </c>
      <c r="F54" s="39">
        <f t="shared" ref="F54:F57" si="33">E54/220</f>
        <v>1.0010131712259371</v>
      </c>
      <c r="G54" s="54">
        <f t="shared" si="28"/>
        <v>4.5454545454545452E-3</v>
      </c>
      <c r="H54" s="7">
        <v>10000</v>
      </c>
      <c r="I54" s="22">
        <f t="shared" si="30"/>
        <v>45.454545454545453</v>
      </c>
      <c r="J54" s="1">
        <v>10000</v>
      </c>
      <c r="K54" s="3">
        <f t="shared" si="31"/>
        <v>10000</v>
      </c>
    </row>
    <row r="55" spans="1:11" s="1" customFormat="1">
      <c r="A55" s="21"/>
      <c r="B55" s="6" t="s">
        <v>99</v>
      </c>
      <c r="C55" s="6" t="s">
        <v>17</v>
      </c>
      <c r="D55" s="6">
        <v>1</v>
      </c>
      <c r="E55" s="8">
        <f t="shared" si="32"/>
        <v>220.22289766970619</v>
      </c>
      <c r="F55" s="39">
        <f t="shared" si="33"/>
        <v>1.0010131712259371</v>
      </c>
      <c r="G55" s="54">
        <f t="shared" si="28"/>
        <v>4.5454545454545452E-3</v>
      </c>
      <c r="H55" s="7"/>
      <c r="I55" s="22">
        <f t="shared" si="30"/>
        <v>0</v>
      </c>
      <c r="K55" s="3">
        <f t="shared" si="31"/>
        <v>0</v>
      </c>
    </row>
    <row r="56" spans="1:11" s="1" customFormat="1">
      <c r="A56" s="21"/>
      <c r="B56" s="6" t="s">
        <v>100</v>
      </c>
      <c r="C56" s="6" t="s">
        <v>17</v>
      </c>
      <c r="D56" s="6">
        <v>1</v>
      </c>
      <c r="E56" s="8">
        <f t="shared" si="32"/>
        <v>220.22289766970619</v>
      </c>
      <c r="F56" s="39">
        <f t="shared" si="33"/>
        <v>1.0010131712259371</v>
      </c>
      <c r="G56" s="54">
        <f t="shared" si="28"/>
        <v>4.5454545454545452E-3</v>
      </c>
      <c r="H56" s="7">
        <f>15600+5763</f>
        <v>21363</v>
      </c>
      <c r="I56" s="22">
        <f t="shared" si="30"/>
        <v>97.104545454545445</v>
      </c>
      <c r="J56" s="1">
        <v>21363</v>
      </c>
      <c r="K56" s="3">
        <f t="shared" si="31"/>
        <v>21362.999999999996</v>
      </c>
    </row>
    <row r="57" spans="1:11" s="1" customFormat="1">
      <c r="A57" s="21"/>
      <c r="B57" s="6" t="s">
        <v>101</v>
      </c>
      <c r="C57" s="6" t="s">
        <v>17</v>
      </c>
      <c r="D57" s="6">
        <v>1</v>
      </c>
      <c r="E57" s="8">
        <f t="shared" si="32"/>
        <v>220.22289766970619</v>
      </c>
      <c r="F57" s="39">
        <f t="shared" si="33"/>
        <v>1.0010131712259371</v>
      </c>
      <c r="G57" s="54">
        <f t="shared" si="28"/>
        <v>4.5454545454545452E-3</v>
      </c>
      <c r="H57" s="7">
        <v>63834</v>
      </c>
      <c r="I57" s="22">
        <f t="shared" si="30"/>
        <v>290.15454545454543</v>
      </c>
      <c r="J57" s="1">
        <v>63834</v>
      </c>
      <c r="K57" s="3">
        <f t="shared" si="31"/>
        <v>63833.999999999993</v>
      </c>
    </row>
    <row r="58" spans="1:11" s="1" customFormat="1" ht="15.75" thickBot="1">
      <c r="A58" s="23"/>
      <c r="B58" s="24"/>
      <c r="C58" s="24"/>
      <c r="D58" s="24"/>
      <c r="E58" s="24"/>
      <c r="F58" s="24"/>
      <c r="G58" s="28"/>
      <c r="H58" s="56"/>
      <c r="I58" s="27">
        <f>SUM(I52:I57)</f>
        <v>793.19407909090899</v>
      </c>
      <c r="J58" s="3">
        <f>SUM(J52:J57)</f>
        <v>174503</v>
      </c>
      <c r="K58" s="3">
        <f t="shared" si="31"/>
        <v>174502.69739999998</v>
      </c>
    </row>
    <row r="59" spans="1:11" s="1" customFormat="1" ht="15.75" thickBot="1">
      <c r="A59" s="81"/>
      <c r="B59" s="82"/>
      <c r="C59" s="82"/>
      <c r="D59" s="82"/>
      <c r="E59" s="82"/>
      <c r="F59" s="82"/>
      <c r="G59" s="75" t="s">
        <v>98</v>
      </c>
      <c r="H59" s="83"/>
      <c r="I59" s="84">
        <f>I55</f>
        <v>0</v>
      </c>
      <c r="K59" s="3">
        <f t="shared" si="31"/>
        <v>0</v>
      </c>
    </row>
    <row r="60" spans="1:11" s="1" customFormat="1" ht="15.75" thickBot="1">
      <c r="A60" s="81"/>
      <c r="B60" s="82"/>
      <c r="C60" s="82"/>
      <c r="D60" s="82"/>
      <c r="E60" s="82"/>
      <c r="F60" s="82"/>
      <c r="G60" s="75" t="s">
        <v>95</v>
      </c>
      <c r="H60" s="83"/>
      <c r="I60" s="84">
        <f>I58-I59</f>
        <v>793.19407909090899</v>
      </c>
      <c r="J60" s="3">
        <f>J57+J56+J54+J53+J52</f>
        <v>174503</v>
      </c>
      <c r="K60" s="3">
        <f t="shared" si="31"/>
        <v>174502.69739999998</v>
      </c>
    </row>
    <row r="61" spans="1:11">
      <c r="A61" s="16" t="s">
        <v>68</v>
      </c>
      <c r="B61" s="17" t="s">
        <v>56</v>
      </c>
      <c r="C61" s="17" t="s">
        <v>58</v>
      </c>
      <c r="D61" s="17">
        <v>1742.7</v>
      </c>
      <c r="E61" s="65">
        <f>247*8*(250/1974)</f>
        <v>250.25329280648432</v>
      </c>
      <c r="F61" s="48">
        <f>E61/250</f>
        <v>1.0010131712259374</v>
      </c>
      <c r="G61" s="55">
        <f t="shared" ref="G61:G66" si="34">D61/E61*F61</f>
        <v>6.9708000000000006</v>
      </c>
      <c r="H61" s="18">
        <v>16.977</v>
      </c>
      <c r="I61" s="20">
        <f>H61*G61</f>
        <v>118.34327160000001</v>
      </c>
      <c r="J61" s="3">
        <v>29587</v>
      </c>
      <c r="K61" s="3">
        <f>I61*250</f>
        <v>29585.817900000002</v>
      </c>
    </row>
    <row r="62" spans="1:11" s="1" customFormat="1" ht="33" customHeight="1">
      <c r="A62" s="21"/>
      <c r="B62" s="49" t="s">
        <v>57</v>
      </c>
      <c r="C62" s="6" t="s">
        <v>17</v>
      </c>
      <c r="D62" s="6">
        <v>1</v>
      </c>
      <c r="E62" s="8">
        <f t="shared" ref="E62:E66" si="35">247*8*(250/1974)</f>
        <v>250.25329280648432</v>
      </c>
      <c r="F62" s="39">
        <f t="shared" ref="F62:F66" si="36">E62/250</f>
        <v>1.0010131712259374</v>
      </c>
      <c r="G62" s="54">
        <f t="shared" si="34"/>
        <v>4.0000000000000001E-3</v>
      </c>
      <c r="H62" s="7">
        <v>50000</v>
      </c>
      <c r="I62" s="22">
        <f t="shared" ref="I62:I66" si="37">H62*G62</f>
        <v>200</v>
      </c>
      <c r="J62" s="1">
        <v>50000</v>
      </c>
      <c r="K62" s="3">
        <f t="shared" ref="K62:K69" si="38">I62*250</f>
        <v>50000</v>
      </c>
    </row>
    <row r="63" spans="1:11" s="1" customFormat="1">
      <c r="A63" s="21"/>
      <c r="B63" s="6" t="s">
        <v>60</v>
      </c>
      <c r="C63" s="6" t="s">
        <v>17</v>
      </c>
      <c r="D63" s="6">
        <v>1</v>
      </c>
      <c r="E63" s="8">
        <f t="shared" si="35"/>
        <v>250.25329280648432</v>
      </c>
      <c r="F63" s="39">
        <f t="shared" si="36"/>
        <v>1.0010131712259374</v>
      </c>
      <c r="G63" s="54">
        <f t="shared" si="34"/>
        <v>4.0000000000000001E-3</v>
      </c>
      <c r="H63" s="7">
        <v>11000</v>
      </c>
      <c r="I63" s="22">
        <f t="shared" si="37"/>
        <v>44</v>
      </c>
      <c r="J63" s="1">
        <v>11000</v>
      </c>
      <c r="K63" s="3">
        <f t="shared" si="38"/>
        <v>11000</v>
      </c>
    </row>
    <row r="64" spans="1:11" s="1" customFormat="1">
      <c r="A64" s="21"/>
      <c r="B64" s="6" t="s">
        <v>99</v>
      </c>
      <c r="C64" s="6" t="s">
        <v>17</v>
      </c>
      <c r="D64" s="6">
        <v>1</v>
      </c>
      <c r="E64" s="8">
        <f t="shared" si="35"/>
        <v>250.25329280648432</v>
      </c>
      <c r="F64" s="39">
        <f t="shared" si="36"/>
        <v>1.0010131712259374</v>
      </c>
      <c r="G64" s="54">
        <f t="shared" si="34"/>
        <v>4.0000000000000001E-3</v>
      </c>
      <c r="H64" s="7">
        <v>2500</v>
      </c>
      <c r="I64" s="22">
        <f t="shared" si="37"/>
        <v>10</v>
      </c>
      <c r="J64" s="1">
        <v>2500</v>
      </c>
      <c r="K64" s="3">
        <f t="shared" si="38"/>
        <v>2500</v>
      </c>
    </row>
    <row r="65" spans="1:11" s="1" customFormat="1">
      <c r="A65" s="21"/>
      <c r="B65" s="6" t="s">
        <v>100</v>
      </c>
      <c r="C65" s="6" t="s">
        <v>17</v>
      </c>
      <c r="D65" s="6">
        <v>1</v>
      </c>
      <c r="E65" s="8">
        <f t="shared" si="35"/>
        <v>250.25329280648432</v>
      </c>
      <c r="F65" s="39">
        <f t="shared" si="36"/>
        <v>1.0010131712259374</v>
      </c>
      <c r="G65" s="54">
        <f t="shared" si="34"/>
        <v>4.0000000000000001E-3</v>
      </c>
      <c r="H65" s="7">
        <f>15600+7285</f>
        <v>22885</v>
      </c>
      <c r="I65" s="22">
        <f t="shared" si="37"/>
        <v>91.54</v>
      </c>
      <c r="J65" s="1">
        <v>22885</v>
      </c>
      <c r="K65" s="3">
        <f t="shared" si="38"/>
        <v>22885</v>
      </c>
    </row>
    <row r="66" spans="1:11" s="1" customFormat="1">
      <c r="A66" s="21"/>
      <c r="B66" s="6" t="s">
        <v>101</v>
      </c>
      <c r="C66" s="6" t="s">
        <v>17</v>
      </c>
      <c r="D66" s="6">
        <v>1</v>
      </c>
      <c r="E66" s="8">
        <f t="shared" si="35"/>
        <v>250.25329280648432</v>
      </c>
      <c r="F66" s="39">
        <f t="shared" si="36"/>
        <v>1.0010131712259374</v>
      </c>
      <c r="G66" s="54">
        <f t="shared" si="34"/>
        <v>4.0000000000000001E-3</v>
      </c>
      <c r="H66" s="7">
        <v>84515</v>
      </c>
      <c r="I66" s="22">
        <f t="shared" si="37"/>
        <v>338.06</v>
      </c>
      <c r="J66" s="1">
        <v>84515</v>
      </c>
      <c r="K66" s="3">
        <f t="shared" si="38"/>
        <v>84515</v>
      </c>
    </row>
    <row r="67" spans="1:11" s="1" customFormat="1" ht="15.75" thickBot="1">
      <c r="A67" s="23"/>
      <c r="B67" s="24"/>
      <c r="C67" s="24"/>
      <c r="D67" s="24"/>
      <c r="E67" s="24"/>
      <c r="F67" s="24"/>
      <c r="G67" s="28"/>
      <c r="H67" s="56"/>
      <c r="I67" s="27">
        <f>SUM(I61:I66)</f>
        <v>801.9432716</v>
      </c>
      <c r="J67" s="3">
        <f>SUM(J61:J66)</f>
        <v>200487</v>
      </c>
      <c r="K67" s="3">
        <f t="shared" si="38"/>
        <v>200485.81789999999</v>
      </c>
    </row>
    <row r="68" spans="1:11" s="1" customFormat="1" ht="15.75" thickBot="1">
      <c r="A68" s="81"/>
      <c r="B68" s="82"/>
      <c r="C68" s="82"/>
      <c r="D68" s="82"/>
      <c r="E68" s="82"/>
      <c r="F68" s="82"/>
      <c r="G68" s="75" t="s">
        <v>98</v>
      </c>
      <c r="H68" s="83"/>
      <c r="I68" s="84">
        <f>I64</f>
        <v>10</v>
      </c>
      <c r="J68" s="1">
        <v>2500</v>
      </c>
      <c r="K68" s="3">
        <f t="shared" si="38"/>
        <v>2500</v>
      </c>
    </row>
    <row r="69" spans="1:11" s="1" customFormat="1" ht="15.75" thickBot="1">
      <c r="A69" s="81"/>
      <c r="B69" s="82"/>
      <c r="C69" s="82"/>
      <c r="D69" s="82"/>
      <c r="E69" s="82"/>
      <c r="F69" s="82"/>
      <c r="G69" s="75" t="s">
        <v>95</v>
      </c>
      <c r="H69" s="83"/>
      <c r="I69" s="84">
        <f>I67-I68</f>
        <v>791.9432716</v>
      </c>
      <c r="J69" s="3">
        <f>J66+J65+J63+J62+J61</f>
        <v>197987</v>
      </c>
      <c r="K69" s="3">
        <f t="shared" si="38"/>
        <v>197985.81789999999</v>
      </c>
    </row>
    <row r="70" spans="1:11">
      <c r="A70" s="16" t="s">
        <v>69</v>
      </c>
      <c r="B70" s="17" t="s">
        <v>56</v>
      </c>
      <c r="C70" s="17" t="s">
        <v>58</v>
      </c>
      <c r="D70" s="17">
        <v>832.7</v>
      </c>
      <c r="E70" s="65">
        <f>247*8*(131/1974)</f>
        <v>131.13272543059779</v>
      </c>
      <c r="F70" s="48">
        <f>E70/131</f>
        <v>1.0010131712259374</v>
      </c>
      <c r="G70" s="55">
        <f t="shared" ref="G70:G75" si="39">D70/E70*F70</f>
        <v>6.3564885496183212</v>
      </c>
      <c r="H70" s="18">
        <v>16.977</v>
      </c>
      <c r="I70" s="20">
        <f>H70*G70</f>
        <v>107.91410610687024</v>
      </c>
      <c r="J70" s="3">
        <v>14137</v>
      </c>
      <c r="K70" s="3">
        <f>I70*250</f>
        <v>26978.52652671756</v>
      </c>
    </row>
    <row r="71" spans="1:11" s="1" customFormat="1" ht="33" customHeight="1">
      <c r="A71" s="21"/>
      <c r="B71" s="49" t="s">
        <v>57</v>
      </c>
      <c r="C71" s="6" t="s">
        <v>17</v>
      </c>
      <c r="D71" s="6">
        <v>1</v>
      </c>
      <c r="E71" s="8">
        <f>247*8*(131/1974)</f>
        <v>131.13272543059779</v>
      </c>
      <c r="F71" s="39">
        <f>E71/131</f>
        <v>1.0010131712259374</v>
      </c>
      <c r="G71" s="54">
        <f t="shared" si="39"/>
        <v>7.6335877862595426E-3</v>
      </c>
      <c r="H71" s="7">
        <v>25000</v>
      </c>
      <c r="I71" s="22">
        <f t="shared" ref="I71:I75" si="40">H71*G71</f>
        <v>190.83969465648858</v>
      </c>
      <c r="J71" s="1">
        <v>25000</v>
      </c>
      <c r="K71" s="3">
        <f>I71*131</f>
        <v>25000.000000000004</v>
      </c>
    </row>
    <row r="72" spans="1:11" s="1" customFormat="1">
      <c r="A72" s="21"/>
      <c r="B72" s="6" t="s">
        <v>60</v>
      </c>
      <c r="C72" s="6" t="s">
        <v>17</v>
      </c>
      <c r="D72" s="6">
        <v>1</v>
      </c>
      <c r="E72" s="8">
        <f t="shared" ref="E72:E75" si="41">247*8*(131/1974)</f>
        <v>131.13272543059779</v>
      </c>
      <c r="F72" s="39">
        <f t="shared" ref="F72:F75" si="42">E72/131</f>
        <v>1.0010131712259374</v>
      </c>
      <c r="G72" s="54">
        <f t="shared" si="39"/>
        <v>7.6335877862595426E-3</v>
      </c>
      <c r="H72" s="7">
        <v>6000</v>
      </c>
      <c r="I72" s="22">
        <f t="shared" si="40"/>
        <v>45.801526717557252</v>
      </c>
      <c r="J72" s="1">
        <v>6000</v>
      </c>
      <c r="K72" s="3">
        <f t="shared" ref="K72:K78" si="43">I72*131</f>
        <v>6000</v>
      </c>
    </row>
    <row r="73" spans="1:11" s="1" customFormat="1">
      <c r="A73" s="21"/>
      <c r="B73" s="6" t="s">
        <v>99</v>
      </c>
      <c r="C73" s="6" t="s">
        <v>17</v>
      </c>
      <c r="D73" s="6">
        <v>1</v>
      </c>
      <c r="E73" s="8">
        <f t="shared" si="41"/>
        <v>131.13272543059779</v>
      </c>
      <c r="F73" s="39">
        <f t="shared" si="42"/>
        <v>1.0010131712259374</v>
      </c>
      <c r="G73" s="54">
        <f t="shared" si="39"/>
        <v>7.6335877862595426E-3</v>
      </c>
      <c r="H73" s="7">
        <v>6048.6</v>
      </c>
      <c r="I73" s="22">
        <f t="shared" si="40"/>
        <v>46.172519083969469</v>
      </c>
      <c r="J73" s="1">
        <v>6048.6</v>
      </c>
      <c r="K73" s="3">
        <f t="shared" si="43"/>
        <v>6048.6</v>
      </c>
    </row>
    <row r="74" spans="1:11" s="1" customFormat="1">
      <c r="A74" s="21"/>
      <c r="B74" s="6" t="s">
        <v>100</v>
      </c>
      <c r="C74" s="6" t="s">
        <v>17</v>
      </c>
      <c r="D74" s="6">
        <v>1</v>
      </c>
      <c r="E74" s="8">
        <f t="shared" si="41"/>
        <v>131.13272543059779</v>
      </c>
      <c r="F74" s="39">
        <f t="shared" si="42"/>
        <v>1.0010131712259374</v>
      </c>
      <c r="G74" s="54">
        <f t="shared" si="39"/>
        <v>7.6335877862595426E-3</v>
      </c>
      <c r="H74" s="7">
        <f>15600+4240+2700</f>
        <v>22540</v>
      </c>
      <c r="I74" s="22">
        <f t="shared" si="40"/>
        <v>172.0610687022901</v>
      </c>
      <c r="J74" s="1">
        <v>22540</v>
      </c>
      <c r="K74" s="3">
        <f t="shared" si="43"/>
        <v>22540.000000000004</v>
      </c>
    </row>
    <row r="75" spans="1:11" s="1" customFormat="1">
      <c r="A75" s="21"/>
      <c r="B75" s="6" t="s">
        <v>101</v>
      </c>
      <c r="C75" s="6" t="s">
        <v>17</v>
      </c>
      <c r="D75" s="6">
        <v>1</v>
      </c>
      <c r="E75" s="8">
        <f t="shared" si="41"/>
        <v>131.13272543059779</v>
      </c>
      <c r="F75" s="39">
        <f t="shared" si="42"/>
        <v>1.0010131712259374</v>
      </c>
      <c r="G75" s="54">
        <f t="shared" si="39"/>
        <v>7.6335877862595426E-3</v>
      </c>
      <c r="H75" s="7">
        <v>46471</v>
      </c>
      <c r="I75" s="22">
        <f t="shared" si="40"/>
        <v>354.74045801526722</v>
      </c>
      <c r="J75" s="1">
        <v>46471</v>
      </c>
      <c r="K75" s="3">
        <f t="shared" si="43"/>
        <v>46471.000000000007</v>
      </c>
    </row>
    <row r="76" spans="1:11" s="1" customFormat="1" ht="15.75" thickBot="1">
      <c r="A76" s="23"/>
      <c r="B76" s="24"/>
      <c r="C76" s="24"/>
      <c r="D76" s="24"/>
      <c r="E76" s="24"/>
      <c r="F76" s="24"/>
      <c r="G76" s="28"/>
      <c r="H76" s="56"/>
      <c r="I76" s="27">
        <f>SUM(I70:I75)</f>
        <v>917.52937328244286</v>
      </c>
      <c r="J76" s="3">
        <f>SUM(J70:J75)</f>
        <v>120196.6</v>
      </c>
      <c r="K76" s="3">
        <f t="shared" si="43"/>
        <v>120196.34790000001</v>
      </c>
    </row>
    <row r="77" spans="1:11" s="1" customFormat="1" ht="15.75" thickBot="1">
      <c r="A77" s="81"/>
      <c r="B77" s="82"/>
      <c r="C77" s="82"/>
      <c r="D77" s="82"/>
      <c r="E77" s="82"/>
      <c r="F77" s="82"/>
      <c r="G77" s="75" t="s">
        <v>98</v>
      </c>
      <c r="H77" s="83"/>
      <c r="I77" s="84">
        <f>I73</f>
        <v>46.172519083969469</v>
      </c>
      <c r="J77" s="1">
        <v>6048.6</v>
      </c>
      <c r="K77" s="3">
        <f t="shared" si="43"/>
        <v>6048.6</v>
      </c>
    </row>
    <row r="78" spans="1:11" s="1" customFormat="1" ht="15.75" thickBot="1">
      <c r="A78" s="81"/>
      <c r="B78" s="82"/>
      <c r="C78" s="82"/>
      <c r="D78" s="82"/>
      <c r="E78" s="82"/>
      <c r="F78" s="82"/>
      <c r="G78" s="75" t="s">
        <v>95</v>
      </c>
      <c r="H78" s="83"/>
      <c r="I78" s="84">
        <f>I76-I77</f>
        <v>871.35685419847334</v>
      </c>
      <c r="J78" s="3">
        <f>J75+J74+J72+J71+J70</f>
        <v>114148</v>
      </c>
      <c r="K78" s="3">
        <f t="shared" si="43"/>
        <v>114147.7479</v>
      </c>
    </row>
    <row r="79" spans="1:11">
      <c r="A79" s="16" t="s">
        <v>70</v>
      </c>
      <c r="B79" s="17" t="s">
        <v>56</v>
      </c>
      <c r="C79" s="17" t="s">
        <v>58</v>
      </c>
      <c r="D79" s="17">
        <v>803.1</v>
      </c>
      <c r="E79" s="8">
        <f>247*8*(126/1974)</f>
        <v>126.12765957446807</v>
      </c>
      <c r="F79" s="48">
        <f>E79/126</f>
        <v>1.0010131712259371</v>
      </c>
      <c r="G79" s="55">
        <f t="shared" ref="G79:G84" si="44">D79/E79*F79</f>
        <v>6.3738095238095243</v>
      </c>
      <c r="H79" s="18">
        <v>16.978999999999999</v>
      </c>
      <c r="I79" s="20">
        <f>H79*G79</f>
        <v>108.22091190476191</v>
      </c>
      <c r="J79" s="3">
        <v>13635.97</v>
      </c>
      <c r="K79" s="3">
        <f>I79*126</f>
        <v>13635.8349</v>
      </c>
    </row>
    <row r="80" spans="1:11" s="1" customFormat="1" ht="33" customHeight="1">
      <c r="A80" s="21"/>
      <c r="B80" s="49" t="s">
        <v>57</v>
      </c>
      <c r="C80" s="6" t="s">
        <v>17</v>
      </c>
      <c r="D80" s="6">
        <v>1</v>
      </c>
      <c r="E80" s="8">
        <f>247*8*(126/1974)</f>
        <v>126.12765957446807</v>
      </c>
      <c r="F80" s="39">
        <f>E80/126</f>
        <v>1.0010131712259371</v>
      </c>
      <c r="G80" s="54">
        <f t="shared" si="44"/>
        <v>7.9365079365079361E-3</v>
      </c>
      <c r="H80" s="7">
        <v>25000</v>
      </c>
      <c r="I80" s="22">
        <f t="shared" ref="I80:I84" si="45">H80*G80</f>
        <v>198.4126984126984</v>
      </c>
      <c r="J80" s="1">
        <v>25000</v>
      </c>
      <c r="K80" s="3">
        <f>I80*126</f>
        <v>25000</v>
      </c>
    </row>
    <row r="81" spans="1:11" s="1" customFormat="1">
      <c r="A81" s="21"/>
      <c r="B81" s="6" t="s">
        <v>60</v>
      </c>
      <c r="C81" s="6" t="s">
        <v>17</v>
      </c>
      <c r="D81" s="6">
        <v>1</v>
      </c>
      <c r="E81" s="8">
        <f t="shared" ref="E81:E84" si="46">247*8*(126/1974)</f>
        <v>126.12765957446807</v>
      </c>
      <c r="F81" s="39">
        <f t="shared" ref="F81:F84" si="47">E81/126</f>
        <v>1.0010131712259371</v>
      </c>
      <c r="G81" s="54">
        <f t="shared" si="44"/>
        <v>7.9365079365079361E-3</v>
      </c>
      <c r="H81" s="7">
        <v>5000</v>
      </c>
      <c r="I81" s="22">
        <f t="shared" si="45"/>
        <v>39.682539682539684</v>
      </c>
      <c r="J81" s="1">
        <v>5000</v>
      </c>
      <c r="K81" s="3">
        <f t="shared" ref="K81:K87" si="48">I81*126</f>
        <v>5000</v>
      </c>
    </row>
    <row r="82" spans="1:11" s="1" customFormat="1">
      <c r="A82" s="21"/>
      <c r="B82" s="6" t="s">
        <v>99</v>
      </c>
      <c r="C82" s="6" t="s">
        <v>17</v>
      </c>
      <c r="D82" s="6">
        <v>1</v>
      </c>
      <c r="E82" s="8">
        <f t="shared" si="46"/>
        <v>126.12765957446807</v>
      </c>
      <c r="F82" s="39">
        <f t="shared" si="47"/>
        <v>1.0010131712259371</v>
      </c>
      <c r="G82" s="54">
        <f t="shared" si="44"/>
        <v>7.9365079365079361E-3</v>
      </c>
      <c r="H82" s="7"/>
      <c r="I82" s="22">
        <f t="shared" si="45"/>
        <v>0</v>
      </c>
      <c r="K82" s="3">
        <f t="shared" si="48"/>
        <v>0</v>
      </c>
    </row>
    <row r="83" spans="1:11" s="1" customFormat="1">
      <c r="A83" s="21"/>
      <c r="B83" s="6" t="s">
        <v>100</v>
      </c>
      <c r="C83" s="6" t="s">
        <v>17</v>
      </c>
      <c r="D83" s="6">
        <v>1</v>
      </c>
      <c r="E83" s="8">
        <f t="shared" si="46"/>
        <v>126.12765957446807</v>
      </c>
      <c r="F83" s="39">
        <f t="shared" si="47"/>
        <v>1.0010131712259371</v>
      </c>
      <c r="G83" s="54">
        <f t="shared" si="44"/>
        <v>7.9365079365079361E-3</v>
      </c>
      <c r="H83" s="7">
        <v>20145</v>
      </c>
      <c r="I83" s="22">
        <f t="shared" si="45"/>
        <v>159.88095238095238</v>
      </c>
      <c r="J83" s="1">
        <f>15600+4545</f>
        <v>20145</v>
      </c>
      <c r="K83" s="3">
        <f t="shared" si="48"/>
        <v>20145</v>
      </c>
    </row>
    <row r="84" spans="1:11" s="1" customFormat="1">
      <c r="A84" s="21"/>
      <c r="B84" s="6" t="s">
        <v>101</v>
      </c>
      <c r="C84" s="6" t="s">
        <v>17</v>
      </c>
      <c r="D84" s="6">
        <v>1</v>
      </c>
      <c r="E84" s="8">
        <f t="shared" si="46"/>
        <v>126.12765957446807</v>
      </c>
      <c r="F84" s="39">
        <f t="shared" si="47"/>
        <v>1.0010131712259371</v>
      </c>
      <c r="G84" s="54">
        <f t="shared" si="44"/>
        <v>7.9365079365079361E-3</v>
      </c>
      <c r="H84" s="7">
        <v>50386</v>
      </c>
      <c r="I84" s="22">
        <f t="shared" si="45"/>
        <v>399.88888888888886</v>
      </c>
      <c r="J84" s="1">
        <v>50386</v>
      </c>
      <c r="K84" s="3">
        <f t="shared" si="48"/>
        <v>50385.999999999993</v>
      </c>
    </row>
    <row r="85" spans="1:11" s="1" customFormat="1" ht="15.75" thickBot="1">
      <c r="A85" s="23"/>
      <c r="B85" s="24"/>
      <c r="C85" s="24"/>
      <c r="D85" s="24"/>
      <c r="E85" s="24"/>
      <c r="F85" s="24"/>
      <c r="G85" s="28"/>
      <c r="H85" s="56"/>
      <c r="I85" s="27">
        <f>SUM(I79:I84)</f>
        <v>906.08599126984132</v>
      </c>
      <c r="J85" s="3">
        <f>SUM(J79:J84)</f>
        <v>114166.97</v>
      </c>
      <c r="K85" s="3">
        <f t="shared" si="48"/>
        <v>114166.8349</v>
      </c>
    </row>
    <row r="86" spans="1:11" s="1" customFormat="1" ht="15.75" thickBot="1">
      <c r="A86" s="81"/>
      <c r="B86" s="82"/>
      <c r="C86" s="82"/>
      <c r="D86" s="82"/>
      <c r="E86" s="82"/>
      <c r="F86" s="82"/>
      <c r="G86" s="75" t="s">
        <v>98</v>
      </c>
      <c r="H86" s="83"/>
      <c r="I86" s="84">
        <f>I82</f>
        <v>0</v>
      </c>
      <c r="K86" s="3">
        <f t="shared" si="48"/>
        <v>0</v>
      </c>
    </row>
    <row r="87" spans="1:11" s="1" customFormat="1" ht="15.75" thickBot="1">
      <c r="A87" s="81"/>
      <c r="B87" s="82"/>
      <c r="C87" s="82"/>
      <c r="D87" s="82"/>
      <c r="E87" s="82"/>
      <c r="F87" s="82"/>
      <c r="G87" s="75" t="s">
        <v>95</v>
      </c>
      <c r="H87" s="83"/>
      <c r="I87" s="84">
        <f>I85-I86</f>
        <v>906.08599126984132</v>
      </c>
      <c r="J87" s="3">
        <f>J84+J83+J81+J80+J79</f>
        <v>114166.97</v>
      </c>
      <c r="K87" s="3">
        <f t="shared" si="48"/>
        <v>114166.8349</v>
      </c>
    </row>
    <row r="88" spans="1:11" ht="15.75" thickBot="1"/>
    <row r="89" spans="1:11">
      <c r="A89" s="16" t="s">
        <v>72</v>
      </c>
      <c r="B89" s="17" t="s">
        <v>56</v>
      </c>
      <c r="C89" s="17" t="s">
        <v>58</v>
      </c>
      <c r="D89" s="17">
        <v>1962.8</v>
      </c>
      <c r="E89" s="8">
        <f>247*8*(206/1974)</f>
        <v>206.20871327254306</v>
      </c>
      <c r="F89" s="48">
        <f>E89/206</f>
        <v>1.0010131712259371</v>
      </c>
      <c r="G89" s="55">
        <f t="shared" ref="G89:G94" si="49">D89/E89*F89</f>
        <v>9.5281553398058243</v>
      </c>
      <c r="H89" s="18">
        <v>16.9772</v>
      </c>
      <c r="I89" s="20">
        <f>H89*G89</f>
        <v>161.76139883495145</v>
      </c>
      <c r="J89" s="3">
        <v>33323</v>
      </c>
      <c r="K89" s="3">
        <f>I89*206</f>
        <v>33322.848160000001</v>
      </c>
    </row>
    <row r="90" spans="1:11" s="1" customFormat="1" ht="33" customHeight="1">
      <c r="A90" s="21"/>
      <c r="B90" s="49" t="s">
        <v>57</v>
      </c>
      <c r="C90" s="6" t="s">
        <v>17</v>
      </c>
      <c r="D90" s="6">
        <v>1</v>
      </c>
      <c r="E90" s="8">
        <f>247*8*(206/1974)</f>
        <v>206.20871327254306</v>
      </c>
      <c r="F90" s="39">
        <f>E90/206</f>
        <v>1.0010131712259371</v>
      </c>
      <c r="G90" s="54">
        <f t="shared" si="49"/>
        <v>4.8543689320388354E-3</v>
      </c>
      <c r="H90" s="7">
        <v>50000</v>
      </c>
      <c r="I90" s="22">
        <f t="shared" ref="I90:I94" si="50">H90*G90</f>
        <v>242.71844660194176</v>
      </c>
      <c r="J90" s="1">
        <v>50000</v>
      </c>
      <c r="K90" s="3">
        <f t="shared" ref="K90:K97" si="51">I90*206</f>
        <v>50000</v>
      </c>
    </row>
    <row r="91" spans="1:11" s="1" customFormat="1">
      <c r="A91" s="21"/>
      <c r="B91" s="6" t="s">
        <v>60</v>
      </c>
      <c r="C91" s="6" t="s">
        <v>17</v>
      </c>
      <c r="D91" s="6">
        <v>1</v>
      </c>
      <c r="E91" s="8">
        <f t="shared" ref="E91:E94" si="52">247*8*(206/1974)</f>
        <v>206.20871327254306</v>
      </c>
      <c r="F91" s="39">
        <f t="shared" ref="F91:F94" si="53">E91/206</f>
        <v>1.0010131712259371</v>
      </c>
      <c r="G91" s="54">
        <f t="shared" si="49"/>
        <v>4.8543689320388354E-3</v>
      </c>
      <c r="H91" s="7">
        <v>11000</v>
      </c>
      <c r="I91" s="22">
        <f t="shared" si="50"/>
        <v>53.398058252427191</v>
      </c>
      <c r="J91" s="1">
        <v>11000</v>
      </c>
      <c r="K91" s="3">
        <f t="shared" si="51"/>
        <v>11000.000000000002</v>
      </c>
    </row>
    <row r="92" spans="1:11" s="1" customFormat="1">
      <c r="A92" s="21"/>
      <c r="B92" s="6" t="s">
        <v>99</v>
      </c>
      <c r="C92" s="6" t="s">
        <v>17</v>
      </c>
      <c r="D92" s="6">
        <v>1</v>
      </c>
      <c r="E92" s="8">
        <f t="shared" si="52"/>
        <v>206.20871327254306</v>
      </c>
      <c r="F92" s="39">
        <f t="shared" si="53"/>
        <v>1.0010131712259371</v>
      </c>
      <c r="G92" s="54">
        <f t="shared" si="49"/>
        <v>4.8543689320388354E-3</v>
      </c>
      <c r="H92" s="7">
        <v>9406</v>
      </c>
      <c r="I92" s="22">
        <f t="shared" si="50"/>
        <v>45.660194174757287</v>
      </c>
      <c r="J92" s="1">
        <v>9406</v>
      </c>
      <c r="K92" s="3">
        <f t="shared" si="51"/>
        <v>9406.0000000000018</v>
      </c>
    </row>
    <row r="93" spans="1:11" s="1" customFormat="1">
      <c r="A93" s="21"/>
      <c r="B93" s="6" t="s">
        <v>100</v>
      </c>
      <c r="C93" s="6" t="s">
        <v>17</v>
      </c>
      <c r="D93" s="6">
        <v>1</v>
      </c>
      <c r="E93" s="8">
        <f t="shared" si="52"/>
        <v>206.20871327254306</v>
      </c>
      <c r="F93" s="39">
        <f t="shared" si="53"/>
        <v>1.0010131712259371</v>
      </c>
      <c r="G93" s="54">
        <f t="shared" si="49"/>
        <v>4.8543689320388354E-3</v>
      </c>
      <c r="H93" s="7">
        <v>34126</v>
      </c>
      <c r="I93" s="22">
        <f t="shared" si="50"/>
        <v>165.66019417475729</v>
      </c>
      <c r="J93" s="1">
        <f>23400+6676+4050</f>
        <v>34126</v>
      </c>
      <c r="K93" s="3">
        <f t="shared" si="51"/>
        <v>34126</v>
      </c>
    </row>
    <row r="94" spans="1:11" s="1" customFormat="1">
      <c r="A94" s="21"/>
      <c r="B94" s="6" t="s">
        <v>101</v>
      </c>
      <c r="C94" s="6" t="s">
        <v>17</v>
      </c>
      <c r="D94" s="6">
        <v>1</v>
      </c>
      <c r="E94" s="8">
        <f t="shared" si="52"/>
        <v>206.20871327254306</v>
      </c>
      <c r="F94" s="39">
        <f t="shared" si="53"/>
        <v>1.0010131712259371</v>
      </c>
      <c r="G94" s="54">
        <f t="shared" si="49"/>
        <v>4.8543689320388354E-3</v>
      </c>
      <c r="H94" s="7">
        <v>74473</v>
      </c>
      <c r="I94" s="22">
        <f t="shared" si="50"/>
        <v>361.51941747572818</v>
      </c>
      <c r="J94" s="1">
        <v>74473</v>
      </c>
      <c r="K94" s="3">
        <f t="shared" si="51"/>
        <v>74473</v>
      </c>
    </row>
    <row r="95" spans="1:11" s="1" customFormat="1" ht="15.75" thickBot="1">
      <c r="A95" s="23"/>
      <c r="B95" s="24"/>
      <c r="C95" s="24"/>
      <c r="D95" s="24"/>
      <c r="E95" s="24"/>
      <c r="F95" s="24"/>
      <c r="G95" s="28"/>
      <c r="H95" s="56"/>
      <c r="I95" s="27">
        <f>SUM(I89:I94)</f>
        <v>1030.7177095145632</v>
      </c>
      <c r="J95" s="3">
        <f>SUM(J89:J94)</f>
        <v>212328</v>
      </c>
      <c r="K95" s="3">
        <f t="shared" si="51"/>
        <v>212327.84816000002</v>
      </c>
    </row>
    <row r="96" spans="1:11" s="1" customFormat="1" ht="15.75" thickBot="1">
      <c r="A96" s="81"/>
      <c r="B96" s="82"/>
      <c r="C96" s="82"/>
      <c r="D96" s="82"/>
      <c r="E96" s="82"/>
      <c r="F96" s="82"/>
      <c r="G96" s="75" t="s">
        <v>98</v>
      </c>
      <c r="H96" s="83"/>
      <c r="I96" s="84">
        <f>I92</f>
        <v>45.660194174757287</v>
      </c>
      <c r="K96" s="3">
        <f t="shared" si="51"/>
        <v>9406.0000000000018</v>
      </c>
    </row>
    <row r="97" spans="1:11" s="1" customFormat="1" ht="15.75" thickBot="1">
      <c r="A97" s="81"/>
      <c r="B97" s="82"/>
      <c r="C97" s="82"/>
      <c r="D97" s="82"/>
      <c r="E97" s="82"/>
      <c r="F97" s="82"/>
      <c r="G97" s="75" t="s">
        <v>95</v>
      </c>
      <c r="H97" s="83"/>
      <c r="I97" s="84">
        <f>I95-I96</f>
        <v>985.05751533980595</v>
      </c>
      <c r="J97" s="3">
        <f>J94+J93+J91+J90+J89</f>
        <v>202922</v>
      </c>
      <c r="K97" s="3">
        <f t="shared" si="51"/>
        <v>202921.84816000002</v>
      </c>
    </row>
    <row r="98" spans="1:11">
      <c r="A98" s="16" t="s">
        <v>71</v>
      </c>
      <c r="B98" s="17" t="s">
        <v>56</v>
      </c>
      <c r="C98" s="17" t="s">
        <v>58</v>
      </c>
      <c r="D98" s="17">
        <v>2668</v>
      </c>
      <c r="E98" s="67">
        <f>247*8*(275/1974)</f>
        <v>275.2786220871327</v>
      </c>
      <c r="F98" s="48">
        <f>E98/275</f>
        <v>1.0010131712259371</v>
      </c>
      <c r="G98" s="55">
        <f t="shared" ref="G98:G103" si="54">D98/E98*F98</f>
        <v>9.7018181818181812</v>
      </c>
      <c r="H98" s="18">
        <v>16.977399999999999</v>
      </c>
      <c r="I98" s="20">
        <f>H98*G98</f>
        <v>164.711648</v>
      </c>
      <c r="J98" s="3">
        <v>45296</v>
      </c>
      <c r="K98" s="3">
        <f>I98*275</f>
        <v>45295.703199999996</v>
      </c>
    </row>
    <row r="99" spans="1:11" s="1" customFormat="1" ht="33" customHeight="1">
      <c r="A99" s="21"/>
      <c r="B99" s="49" t="s">
        <v>57</v>
      </c>
      <c r="C99" s="6" t="s">
        <v>17</v>
      </c>
      <c r="D99" s="6">
        <v>1</v>
      </c>
      <c r="E99" s="8">
        <f t="shared" ref="E99:E103" si="55">247*8*(275/1974)</f>
        <v>275.2786220871327</v>
      </c>
      <c r="F99" s="39">
        <f t="shared" ref="F99" si="56">E99/275</f>
        <v>1.0010131712259371</v>
      </c>
      <c r="G99" s="54">
        <f t="shared" si="54"/>
        <v>3.6363636363636364E-3</v>
      </c>
      <c r="H99" s="7">
        <v>50000</v>
      </c>
      <c r="I99" s="22">
        <f t="shared" ref="I99:I103" si="57">H99*G99</f>
        <v>181.81818181818181</v>
      </c>
      <c r="J99" s="1">
        <v>50000</v>
      </c>
      <c r="K99" s="3">
        <f t="shared" ref="K99:K106" si="58">I99*275</f>
        <v>50000</v>
      </c>
    </row>
    <row r="100" spans="1:11" s="1" customFormat="1">
      <c r="A100" s="21"/>
      <c r="B100" s="6" t="s">
        <v>60</v>
      </c>
      <c r="C100" s="6" t="s">
        <v>17</v>
      </c>
      <c r="D100" s="6">
        <v>1</v>
      </c>
      <c r="E100" s="8">
        <f t="shared" si="55"/>
        <v>275.2786220871327</v>
      </c>
      <c r="F100" s="39">
        <f t="shared" ref="F100:F103" si="59">E100/275</f>
        <v>1.0010131712259371</v>
      </c>
      <c r="G100" s="54">
        <f t="shared" si="54"/>
        <v>3.6363636363636364E-3</v>
      </c>
      <c r="H100" s="7">
        <v>12000</v>
      </c>
      <c r="I100" s="22">
        <f t="shared" si="57"/>
        <v>43.636363636363633</v>
      </c>
      <c r="J100" s="1">
        <v>12000</v>
      </c>
      <c r="K100" s="3">
        <f t="shared" si="58"/>
        <v>12000</v>
      </c>
    </row>
    <row r="101" spans="1:11" s="1" customFormat="1">
      <c r="A101" s="21"/>
      <c r="B101" s="6" t="s">
        <v>99</v>
      </c>
      <c r="C101" s="6" t="s">
        <v>17</v>
      </c>
      <c r="D101" s="6">
        <v>1</v>
      </c>
      <c r="E101" s="8">
        <f t="shared" si="55"/>
        <v>275.2786220871327</v>
      </c>
      <c r="F101" s="39">
        <f t="shared" si="59"/>
        <v>1.0010131712259371</v>
      </c>
      <c r="G101" s="54">
        <f t="shared" si="54"/>
        <v>3.6363636363636364E-3</v>
      </c>
      <c r="H101" s="7"/>
      <c r="I101" s="22">
        <f t="shared" si="57"/>
        <v>0</v>
      </c>
      <c r="K101" s="3">
        <f t="shared" si="58"/>
        <v>0</v>
      </c>
    </row>
    <row r="102" spans="1:11" s="1" customFormat="1">
      <c r="A102" s="21"/>
      <c r="B102" s="6" t="s">
        <v>100</v>
      </c>
      <c r="C102" s="6" t="s">
        <v>17</v>
      </c>
      <c r="D102" s="6">
        <v>1</v>
      </c>
      <c r="E102" s="8">
        <f t="shared" si="55"/>
        <v>275.2786220871327</v>
      </c>
      <c r="F102" s="39">
        <f t="shared" si="59"/>
        <v>1.0010131712259371</v>
      </c>
      <c r="G102" s="54">
        <f t="shared" si="54"/>
        <v>3.6363636363636364E-3</v>
      </c>
      <c r="H102" s="7">
        <v>25585</v>
      </c>
      <c r="I102" s="22">
        <f t="shared" si="57"/>
        <v>93.036363636363632</v>
      </c>
      <c r="J102" s="1">
        <f>15600+7285+2700</f>
        <v>25585</v>
      </c>
      <c r="K102" s="3">
        <f t="shared" si="58"/>
        <v>25585</v>
      </c>
    </row>
    <row r="103" spans="1:11" s="1" customFormat="1">
      <c r="A103" s="21"/>
      <c r="B103" s="6" t="s">
        <v>101</v>
      </c>
      <c r="C103" s="6" t="s">
        <v>17</v>
      </c>
      <c r="D103" s="6">
        <v>1</v>
      </c>
      <c r="E103" s="8">
        <f t="shared" si="55"/>
        <v>275.2786220871327</v>
      </c>
      <c r="F103" s="39">
        <f t="shared" si="59"/>
        <v>1.0010131712259371</v>
      </c>
      <c r="G103" s="54">
        <f t="shared" si="54"/>
        <v>3.6363636363636364E-3</v>
      </c>
      <c r="H103" s="7">
        <v>89259</v>
      </c>
      <c r="I103" s="22">
        <f t="shared" si="57"/>
        <v>324.5781818181818</v>
      </c>
      <c r="J103" s="1">
        <v>89259</v>
      </c>
      <c r="K103" s="3">
        <f t="shared" si="58"/>
        <v>89259</v>
      </c>
    </row>
    <row r="104" spans="1:11" s="1" customFormat="1" ht="15.75" thickBot="1">
      <c r="A104" s="23"/>
      <c r="B104" s="24"/>
      <c r="C104" s="24"/>
      <c r="D104" s="24"/>
      <c r="E104" s="24"/>
      <c r="F104" s="24"/>
      <c r="G104" s="28"/>
      <c r="H104" s="56"/>
      <c r="I104" s="27">
        <f>SUM(I98:I103)</f>
        <v>807.78073890909081</v>
      </c>
      <c r="J104" s="3">
        <f>SUM(J98:J103)</f>
        <v>222140</v>
      </c>
      <c r="K104" s="3">
        <f t="shared" si="58"/>
        <v>222139.70319999996</v>
      </c>
    </row>
    <row r="105" spans="1:11" s="1" customFormat="1" ht="15.75" thickBot="1">
      <c r="A105" s="81"/>
      <c r="B105" s="82"/>
      <c r="C105" s="82"/>
      <c r="D105" s="82"/>
      <c r="E105" s="82"/>
      <c r="F105" s="82"/>
      <c r="G105" s="75" t="s">
        <v>98</v>
      </c>
      <c r="H105" s="83"/>
      <c r="I105" s="84">
        <f>I101</f>
        <v>0</v>
      </c>
      <c r="K105" s="3">
        <f t="shared" si="58"/>
        <v>0</v>
      </c>
    </row>
    <row r="106" spans="1:11" s="1" customFormat="1" ht="15.75" thickBot="1">
      <c r="A106" s="81"/>
      <c r="B106" s="82"/>
      <c r="C106" s="82"/>
      <c r="D106" s="82"/>
      <c r="E106" s="82"/>
      <c r="F106" s="82"/>
      <c r="G106" s="75" t="s">
        <v>95</v>
      </c>
      <c r="H106" s="83"/>
      <c r="I106" s="84">
        <f>I104-I105</f>
        <v>807.78073890909081</v>
      </c>
      <c r="J106" s="3">
        <f>J103+J102+J100+J99+J98</f>
        <v>222140</v>
      </c>
      <c r="K106" s="3">
        <f t="shared" si="58"/>
        <v>222139.70319999996</v>
      </c>
    </row>
    <row r="107" spans="1:11" ht="15.75" thickBot="1">
      <c r="E107" s="68"/>
    </row>
    <row r="108" spans="1:11">
      <c r="A108" s="16" t="s">
        <v>73</v>
      </c>
      <c r="B108" s="17" t="s">
        <v>56</v>
      </c>
      <c r="C108" s="17" t="s">
        <v>58</v>
      </c>
      <c r="D108" s="17">
        <v>3349.5</v>
      </c>
      <c r="E108" s="15">
        <f>247*8*(347/1974)</f>
        <v>347.3515704154002</v>
      </c>
      <c r="F108" s="48">
        <f>E108/347</f>
        <v>1.0010131712259371</v>
      </c>
      <c r="G108" s="55">
        <f t="shared" ref="G108:G113" si="60">D108/E108*F108</f>
        <v>9.652737752161384</v>
      </c>
      <c r="H108" s="18">
        <v>16.977</v>
      </c>
      <c r="I108" s="20">
        <f>H108*G108</f>
        <v>163.87452881844382</v>
      </c>
      <c r="J108" s="3">
        <v>56864</v>
      </c>
      <c r="K108" s="3">
        <f>I108*347</f>
        <v>56864.461500000005</v>
      </c>
    </row>
    <row r="109" spans="1:11" s="1" customFormat="1" ht="33" customHeight="1">
      <c r="A109" s="21"/>
      <c r="B109" s="49" t="s">
        <v>57</v>
      </c>
      <c r="C109" s="6" t="s">
        <v>17</v>
      </c>
      <c r="D109" s="6">
        <v>1</v>
      </c>
      <c r="E109" s="8">
        <f>247*8*(347/1974)</f>
        <v>347.3515704154002</v>
      </c>
      <c r="F109" s="39">
        <f>E109/347</f>
        <v>1.0010131712259371</v>
      </c>
      <c r="G109" s="54">
        <f t="shared" si="60"/>
        <v>2.881844380403458E-3</v>
      </c>
      <c r="H109" s="7">
        <v>90000</v>
      </c>
      <c r="I109" s="22">
        <f t="shared" ref="I109:I113" si="61">H109*G109</f>
        <v>259.36599423631122</v>
      </c>
      <c r="J109" s="1">
        <v>90000</v>
      </c>
      <c r="K109" s="3">
        <f t="shared" ref="K109:K116" si="62">I109*347</f>
        <v>90000</v>
      </c>
    </row>
    <row r="110" spans="1:11" s="1" customFormat="1">
      <c r="A110" s="21"/>
      <c r="B110" s="6" t="s">
        <v>60</v>
      </c>
      <c r="C110" s="6" t="s">
        <v>17</v>
      </c>
      <c r="D110" s="6">
        <v>1</v>
      </c>
      <c r="E110" s="8">
        <f t="shared" ref="E110:E113" si="63">247*8*(347/1974)</f>
        <v>347.3515704154002</v>
      </c>
      <c r="F110" s="39">
        <f t="shared" ref="F110:F113" si="64">E110/347</f>
        <v>1.0010131712259371</v>
      </c>
      <c r="G110" s="54">
        <f t="shared" si="60"/>
        <v>2.881844380403458E-3</v>
      </c>
      <c r="H110" s="7">
        <v>16000</v>
      </c>
      <c r="I110" s="22">
        <f t="shared" si="61"/>
        <v>46.10951008645533</v>
      </c>
      <c r="J110" s="1">
        <v>16000</v>
      </c>
      <c r="K110" s="3">
        <f t="shared" si="62"/>
        <v>16000</v>
      </c>
    </row>
    <row r="111" spans="1:11" s="1" customFormat="1">
      <c r="A111" s="21"/>
      <c r="B111" s="6" t="s">
        <v>99</v>
      </c>
      <c r="C111" s="6" t="s">
        <v>17</v>
      </c>
      <c r="D111" s="6">
        <v>1</v>
      </c>
      <c r="E111" s="8">
        <f t="shared" si="63"/>
        <v>347.3515704154002</v>
      </c>
      <c r="F111" s="39">
        <f t="shared" si="64"/>
        <v>1.0010131712259371</v>
      </c>
      <c r="G111" s="54">
        <f t="shared" si="60"/>
        <v>2.881844380403458E-3</v>
      </c>
      <c r="H111" s="7">
        <v>3450</v>
      </c>
      <c r="I111" s="22">
        <f t="shared" si="61"/>
        <v>9.9423631123919307</v>
      </c>
      <c r="J111" s="1">
        <v>3450</v>
      </c>
      <c r="K111" s="3">
        <f t="shared" si="62"/>
        <v>3450</v>
      </c>
    </row>
    <row r="112" spans="1:11" s="1" customFormat="1">
      <c r="A112" s="21"/>
      <c r="B112" s="6" t="s">
        <v>100</v>
      </c>
      <c r="C112" s="6" t="s">
        <v>17</v>
      </c>
      <c r="D112" s="6">
        <v>1</v>
      </c>
      <c r="E112" s="8">
        <f t="shared" si="63"/>
        <v>347.3515704154002</v>
      </c>
      <c r="F112" s="39">
        <f t="shared" si="64"/>
        <v>1.0010131712259371</v>
      </c>
      <c r="G112" s="54">
        <f t="shared" si="60"/>
        <v>2.881844380403458E-3</v>
      </c>
      <c r="H112" s="7">
        <f>23400+10330+4050</f>
        <v>37780</v>
      </c>
      <c r="I112" s="22">
        <f t="shared" si="61"/>
        <v>108.87608069164264</v>
      </c>
      <c r="J112" s="1">
        <v>37780</v>
      </c>
      <c r="K112" s="3">
        <f t="shared" si="62"/>
        <v>37780</v>
      </c>
    </row>
    <row r="113" spans="1:11" s="1" customFormat="1">
      <c r="A113" s="21"/>
      <c r="B113" s="6" t="s">
        <v>101</v>
      </c>
      <c r="C113" s="6" t="s">
        <v>17</v>
      </c>
      <c r="D113" s="6">
        <v>1</v>
      </c>
      <c r="E113" s="8">
        <f t="shared" si="63"/>
        <v>347.3515704154002</v>
      </c>
      <c r="F113" s="39">
        <f t="shared" si="64"/>
        <v>1.0010131712259371</v>
      </c>
      <c r="G113" s="54">
        <f t="shared" si="60"/>
        <v>2.881844380403458E-3</v>
      </c>
      <c r="H113" s="7">
        <v>122559</v>
      </c>
      <c r="I113" s="22">
        <f t="shared" si="61"/>
        <v>353.1959654178674</v>
      </c>
      <c r="J113" s="1">
        <v>122559</v>
      </c>
      <c r="K113" s="3">
        <f t="shared" si="62"/>
        <v>122558.99999999999</v>
      </c>
    </row>
    <row r="114" spans="1:11" s="1" customFormat="1" ht="15.75" thickBot="1">
      <c r="A114" s="23"/>
      <c r="B114" s="24"/>
      <c r="C114" s="24"/>
      <c r="D114" s="24"/>
      <c r="E114" s="24"/>
      <c r="F114" s="24"/>
      <c r="G114" s="28"/>
      <c r="H114" s="56"/>
      <c r="I114" s="27">
        <f>SUM(I108:I113)</f>
        <v>941.3644423631124</v>
      </c>
      <c r="J114" s="3">
        <f>SUM(J108:J113)</f>
        <v>326653</v>
      </c>
      <c r="K114" s="3">
        <f t="shared" si="62"/>
        <v>326653.46149999998</v>
      </c>
    </row>
    <row r="115" spans="1:11" s="1" customFormat="1" ht="15.75" thickBot="1">
      <c r="A115" s="81"/>
      <c r="B115" s="82"/>
      <c r="C115" s="82"/>
      <c r="D115" s="82"/>
      <c r="E115" s="82"/>
      <c r="F115" s="82"/>
      <c r="G115" s="75" t="s">
        <v>98</v>
      </c>
      <c r="H115" s="83"/>
      <c r="I115" s="84">
        <f>I111</f>
        <v>9.9423631123919307</v>
      </c>
      <c r="K115" s="3">
        <f t="shared" si="62"/>
        <v>3450</v>
      </c>
    </row>
    <row r="116" spans="1:11" s="1" customFormat="1" ht="15.75" thickBot="1">
      <c r="A116" s="81"/>
      <c r="B116" s="82"/>
      <c r="C116" s="82"/>
      <c r="D116" s="82"/>
      <c r="E116" s="82"/>
      <c r="F116" s="82"/>
      <c r="G116" s="75" t="s">
        <v>95</v>
      </c>
      <c r="H116" s="83"/>
      <c r="I116" s="84">
        <f>I114-I115</f>
        <v>931.42207925072046</v>
      </c>
      <c r="J116" s="3">
        <f>J113+J112+J110+J109+J108</f>
        <v>323203</v>
      </c>
      <c r="K116" s="3">
        <f t="shared" si="62"/>
        <v>323203.46149999998</v>
      </c>
    </row>
    <row r="117" spans="1:11">
      <c r="A117" s="16" t="s">
        <v>74</v>
      </c>
      <c r="B117" s="17" t="s">
        <v>56</v>
      </c>
      <c r="C117" s="17" t="s">
        <v>58</v>
      </c>
      <c r="D117" s="17">
        <v>4828.6000000000004</v>
      </c>
      <c r="E117" s="15">
        <f>247*8*(434/1974)</f>
        <v>434.43971631205676</v>
      </c>
      <c r="F117" s="48">
        <f>E117/434</f>
        <v>1.0010131712259371</v>
      </c>
      <c r="G117" s="55">
        <f t="shared" ref="G117:G122" si="65">D117/E117*F117</f>
        <v>11.125806451612904</v>
      </c>
      <c r="H117" s="18">
        <v>16.977399999999999</v>
      </c>
      <c r="I117" s="20">
        <f>H117*G117</f>
        <v>188.8872664516129</v>
      </c>
      <c r="J117" s="3">
        <v>81977</v>
      </c>
      <c r="K117" s="3">
        <f>I117*434</f>
        <v>81977.073640000002</v>
      </c>
    </row>
    <row r="118" spans="1:11" s="1" customFormat="1" ht="33" customHeight="1">
      <c r="A118" s="21"/>
      <c r="B118" s="49" t="s">
        <v>57</v>
      </c>
      <c r="C118" s="6" t="s">
        <v>17</v>
      </c>
      <c r="D118" s="6">
        <v>1</v>
      </c>
      <c r="E118" s="8">
        <f>247*8*(434/1974)</f>
        <v>434.43971631205676</v>
      </c>
      <c r="F118" s="39">
        <f>E118/434</f>
        <v>1.0010131712259371</v>
      </c>
      <c r="G118" s="54">
        <f t="shared" si="65"/>
        <v>2.304147465437788E-3</v>
      </c>
      <c r="H118" s="7">
        <v>90000</v>
      </c>
      <c r="I118" s="22">
        <f t="shared" ref="I118:I122" si="66">H118*G118</f>
        <v>207.37327188940091</v>
      </c>
      <c r="J118" s="1">
        <v>90000</v>
      </c>
      <c r="K118" s="3">
        <f t="shared" ref="K118:K125" si="67">I118*434</f>
        <v>90000</v>
      </c>
    </row>
    <row r="119" spans="1:11" s="1" customFormat="1">
      <c r="A119" s="21"/>
      <c r="B119" s="6" t="s">
        <v>60</v>
      </c>
      <c r="C119" s="6" t="s">
        <v>17</v>
      </c>
      <c r="D119" s="6">
        <v>1</v>
      </c>
      <c r="E119" s="8">
        <f t="shared" ref="E119:E122" si="68">247*8*(434/1974)</f>
        <v>434.43971631205676</v>
      </c>
      <c r="F119" s="39">
        <f t="shared" ref="F119:F122" si="69">E119/434</f>
        <v>1.0010131712259371</v>
      </c>
      <c r="G119" s="54">
        <f t="shared" si="65"/>
        <v>2.304147465437788E-3</v>
      </c>
      <c r="H119" s="7">
        <v>18000</v>
      </c>
      <c r="I119" s="22">
        <f t="shared" si="66"/>
        <v>41.474654377880185</v>
      </c>
      <c r="J119" s="1">
        <v>18000</v>
      </c>
      <c r="K119" s="3">
        <f t="shared" si="67"/>
        <v>18000</v>
      </c>
    </row>
    <row r="120" spans="1:11" s="1" customFormat="1">
      <c r="A120" s="21"/>
      <c r="B120" s="6" t="s">
        <v>99</v>
      </c>
      <c r="C120" s="6" t="s">
        <v>17</v>
      </c>
      <c r="D120" s="6">
        <v>1</v>
      </c>
      <c r="E120" s="8">
        <f t="shared" si="68"/>
        <v>434.43971631205676</v>
      </c>
      <c r="F120" s="39">
        <f t="shared" si="69"/>
        <v>1.0010131712259371</v>
      </c>
      <c r="G120" s="54">
        <f t="shared" si="65"/>
        <v>2.304147465437788E-3</v>
      </c>
      <c r="H120" s="7"/>
      <c r="I120" s="22">
        <f t="shared" si="66"/>
        <v>0</v>
      </c>
      <c r="K120" s="3">
        <f t="shared" si="67"/>
        <v>0</v>
      </c>
    </row>
    <row r="121" spans="1:11" s="1" customFormat="1">
      <c r="A121" s="21"/>
      <c r="B121" s="6" t="s">
        <v>100</v>
      </c>
      <c r="C121" s="6" t="s">
        <v>17</v>
      </c>
      <c r="D121" s="6">
        <v>1</v>
      </c>
      <c r="E121" s="8">
        <f t="shared" si="68"/>
        <v>434.43971631205676</v>
      </c>
      <c r="F121" s="39">
        <f t="shared" si="69"/>
        <v>1.0010131712259371</v>
      </c>
      <c r="G121" s="54">
        <f t="shared" si="65"/>
        <v>2.304147465437788E-3</v>
      </c>
      <c r="H121" s="7">
        <f>23400+13070+8100</f>
        <v>44570</v>
      </c>
      <c r="I121" s="22">
        <f t="shared" si="66"/>
        <v>102.69585253456221</v>
      </c>
      <c r="J121" s="1">
        <v>44570</v>
      </c>
      <c r="K121" s="3">
        <f t="shared" si="67"/>
        <v>44570</v>
      </c>
    </row>
    <row r="122" spans="1:11" s="1" customFormat="1">
      <c r="A122" s="21"/>
      <c r="B122" s="6" t="s">
        <v>101</v>
      </c>
      <c r="C122" s="6" t="s">
        <v>17</v>
      </c>
      <c r="D122" s="6">
        <v>1</v>
      </c>
      <c r="E122" s="8">
        <f t="shared" si="68"/>
        <v>434.43971631205676</v>
      </c>
      <c r="F122" s="39">
        <f t="shared" si="69"/>
        <v>1.0010131712259371</v>
      </c>
      <c r="G122" s="54">
        <f t="shared" si="65"/>
        <v>2.304147465437788E-3</v>
      </c>
      <c r="H122" s="7">
        <v>156688</v>
      </c>
      <c r="I122" s="22">
        <f t="shared" si="66"/>
        <v>361.03225806451616</v>
      </c>
      <c r="J122" s="1">
        <v>156688</v>
      </c>
      <c r="K122" s="3">
        <f t="shared" si="67"/>
        <v>156688</v>
      </c>
    </row>
    <row r="123" spans="1:11" s="1" customFormat="1" ht="15.75" thickBot="1">
      <c r="A123" s="23"/>
      <c r="B123" s="24"/>
      <c r="C123" s="24"/>
      <c r="D123" s="24"/>
      <c r="E123" s="24"/>
      <c r="F123" s="24"/>
      <c r="G123" s="28"/>
      <c r="H123" s="56"/>
      <c r="I123" s="27">
        <f>SUM(I117:I122)</f>
        <v>901.4633033179723</v>
      </c>
      <c r="J123" s="3">
        <f>SUM(J117:J122)</f>
        <v>391235</v>
      </c>
      <c r="K123" s="3">
        <f t="shared" si="67"/>
        <v>391235.07363999996</v>
      </c>
    </row>
    <row r="124" spans="1:11" s="1" customFormat="1" ht="15.75" thickBot="1">
      <c r="A124" s="81"/>
      <c r="B124" s="82"/>
      <c r="C124" s="82"/>
      <c r="D124" s="82"/>
      <c r="E124" s="82"/>
      <c r="F124" s="82"/>
      <c r="G124" s="75" t="s">
        <v>98</v>
      </c>
      <c r="H124" s="83"/>
      <c r="I124" s="84">
        <f>I120</f>
        <v>0</v>
      </c>
      <c r="K124" s="3">
        <f t="shared" si="67"/>
        <v>0</v>
      </c>
    </row>
    <row r="125" spans="1:11" s="1" customFormat="1" ht="15.75" thickBot="1">
      <c r="A125" s="81"/>
      <c r="B125" s="82"/>
      <c r="C125" s="82"/>
      <c r="D125" s="82"/>
      <c r="E125" s="82"/>
      <c r="F125" s="82"/>
      <c r="G125" s="75" t="s">
        <v>95</v>
      </c>
      <c r="H125" s="83"/>
      <c r="I125" s="84">
        <f>I123-I124</f>
        <v>901.4633033179723</v>
      </c>
      <c r="J125" s="3">
        <f>J122+J121+J119+J118+J117</f>
        <v>391235</v>
      </c>
      <c r="K125" s="3">
        <f t="shared" si="67"/>
        <v>391235.07363999996</v>
      </c>
    </row>
  </sheetData>
  <mergeCells count="1">
    <mergeCell ref="A3:H3"/>
  </mergeCells>
  <pageMargins left="0.31496062992125984" right="0" top="0.15748031496062992" bottom="0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2016-01-14T03:09:35Z</dcterms:modified>
</cp:coreProperties>
</file>