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ком.усл" sheetId="4" r:id="rId1"/>
    <sheet name="сод.недв.им." sheetId="5" r:id="rId2"/>
    <sheet name="сод.ОЦДИ" sheetId="6" r:id="rId3"/>
    <sheet name="з.пл." sheetId="1" r:id="rId4"/>
    <sheet name="прочие общ.х.н" sheetId="7" r:id="rId5"/>
  </sheets>
  <definedNames>
    <definedName name="_xlnm.Print_Titles" localSheetId="3">з.пл.!$4:$5</definedName>
    <definedName name="_xlnm.Print_Titles" localSheetId="0">ком.усл!$7:$8</definedName>
    <definedName name="_xlnm.Print_Titles" localSheetId="4">'прочие общ.х.н'!$5:$6</definedName>
    <definedName name="_xlnm.Print_Titles" localSheetId="1">сод.недв.им.!$5:$6</definedName>
  </definedNames>
  <calcPr calcId="124519"/>
</workbook>
</file>

<file path=xl/calcChain.xml><?xml version="1.0" encoding="utf-8"?>
<calcChain xmlns="http://schemas.openxmlformats.org/spreadsheetml/2006/main">
  <c r="J136" i="7"/>
  <c r="H135"/>
  <c r="H134"/>
  <c r="H132"/>
  <c r="H131"/>
  <c r="J130"/>
  <c r="K215"/>
  <c r="K214"/>
  <c r="L214" s="1"/>
  <c r="J213"/>
  <c r="K213"/>
  <c r="K212"/>
  <c r="J211"/>
  <c r="L211" s="1"/>
  <c r="K211"/>
  <c r="K210"/>
  <c r="L210" s="1"/>
  <c r="K209"/>
  <c r="L209"/>
  <c r="L212"/>
  <c r="L213"/>
  <c r="L215"/>
  <c r="L208"/>
  <c r="K208"/>
  <c r="J216"/>
  <c r="J212"/>
  <c r="J214"/>
  <c r="J215"/>
  <c r="J210"/>
  <c r="J209"/>
  <c r="J208"/>
  <c r="I182"/>
  <c r="F182"/>
  <c r="E182"/>
  <c r="G182"/>
  <c r="J185"/>
  <c r="H184"/>
  <c r="H183"/>
  <c r="H181"/>
  <c r="H180"/>
  <c r="H179"/>
  <c r="J178"/>
  <c r="H176"/>
  <c r="H175"/>
  <c r="H173"/>
  <c r="H172"/>
  <c r="J177"/>
  <c r="J171"/>
  <c r="H191"/>
  <c r="H190"/>
  <c r="H188"/>
  <c r="H187"/>
  <c r="J192"/>
  <c r="J186"/>
  <c r="H169"/>
  <c r="H168"/>
  <c r="H166"/>
  <c r="H165"/>
  <c r="H164"/>
  <c r="F167"/>
  <c r="E167"/>
  <c r="J170"/>
  <c r="J163"/>
  <c r="H198"/>
  <c r="H197"/>
  <c r="H195"/>
  <c r="H194"/>
  <c r="J199"/>
  <c r="J193"/>
  <c r="J162"/>
  <c r="H161"/>
  <c r="H160"/>
  <c r="H158"/>
  <c r="H157"/>
  <c r="J156"/>
  <c r="H154"/>
  <c r="H153"/>
  <c r="H151"/>
  <c r="H150"/>
  <c r="J155"/>
  <c r="J149"/>
  <c r="J141"/>
  <c r="H147"/>
  <c r="H146"/>
  <c r="H144"/>
  <c r="H143"/>
  <c r="H142"/>
  <c r="J148"/>
  <c r="H145"/>
  <c r="F145"/>
  <c r="E145"/>
  <c r="H205"/>
  <c r="E205"/>
  <c r="H204"/>
  <c r="F204"/>
  <c r="E204"/>
  <c r="F203"/>
  <c r="E203"/>
  <c r="H202"/>
  <c r="E202"/>
  <c r="H201"/>
  <c r="E201"/>
  <c r="F201" s="1"/>
  <c r="E200"/>
  <c r="F200" s="1"/>
  <c r="E198"/>
  <c r="F198" s="1"/>
  <c r="E197"/>
  <c r="E196"/>
  <c r="E195"/>
  <c r="F195" s="1"/>
  <c r="E194"/>
  <c r="E193"/>
  <c r="E191"/>
  <c r="E190"/>
  <c r="F190" s="1"/>
  <c r="E189"/>
  <c r="F189" s="1"/>
  <c r="E188"/>
  <c r="E187"/>
  <c r="F187" s="1"/>
  <c r="E186"/>
  <c r="F186" s="1"/>
  <c r="E184"/>
  <c r="F184" s="1"/>
  <c r="E183"/>
  <c r="E181"/>
  <c r="F181" s="1"/>
  <c r="E180"/>
  <c r="E179"/>
  <c r="F179" s="1"/>
  <c r="E178"/>
  <c r="F178" s="1"/>
  <c r="E176"/>
  <c r="F176" s="1"/>
  <c r="E175"/>
  <c r="E174"/>
  <c r="E173"/>
  <c r="F173" s="1"/>
  <c r="E172"/>
  <c r="E171"/>
  <c r="E169"/>
  <c r="E168"/>
  <c r="F168" s="1"/>
  <c r="E166"/>
  <c r="E165"/>
  <c r="F165" s="1"/>
  <c r="E164"/>
  <c r="E163"/>
  <c r="E161"/>
  <c r="E160"/>
  <c r="F160" s="1"/>
  <c r="E159"/>
  <c r="F159" s="1"/>
  <c r="E158"/>
  <c r="E157"/>
  <c r="F157" s="1"/>
  <c r="E156"/>
  <c r="F156" s="1"/>
  <c r="E154"/>
  <c r="F154" s="1"/>
  <c r="E153"/>
  <c r="E152"/>
  <c r="E151"/>
  <c r="F151" s="1"/>
  <c r="E150"/>
  <c r="E149"/>
  <c r="E147"/>
  <c r="E146"/>
  <c r="F146" s="1"/>
  <c r="E144"/>
  <c r="F143"/>
  <c r="E143"/>
  <c r="E142"/>
  <c r="E141"/>
  <c r="H114"/>
  <c r="H113"/>
  <c r="H112"/>
  <c r="H111"/>
  <c r="H110"/>
  <c r="J115"/>
  <c r="J109"/>
  <c r="H107"/>
  <c r="H106"/>
  <c r="H104"/>
  <c r="H103"/>
  <c r="J108"/>
  <c r="J102"/>
  <c r="H121"/>
  <c r="H120"/>
  <c r="H118"/>
  <c r="H117"/>
  <c r="J116"/>
  <c r="J122"/>
  <c r="H100"/>
  <c r="H99"/>
  <c r="H98"/>
  <c r="H97"/>
  <c r="H96"/>
  <c r="J95"/>
  <c r="J101"/>
  <c r="J129"/>
  <c r="H128"/>
  <c r="H127"/>
  <c r="H125"/>
  <c r="H124"/>
  <c r="M123"/>
  <c r="J123"/>
  <c r="H93"/>
  <c r="H92"/>
  <c r="H90"/>
  <c r="H89"/>
  <c r="J88"/>
  <c r="J94"/>
  <c r="E93"/>
  <c r="E92"/>
  <c r="F92" s="1"/>
  <c r="E91"/>
  <c r="F91" s="1"/>
  <c r="E90"/>
  <c r="E89"/>
  <c r="F89" s="1"/>
  <c r="E88"/>
  <c r="F88" s="1"/>
  <c r="J27"/>
  <c r="H26"/>
  <c r="H25"/>
  <c r="H23"/>
  <c r="H22"/>
  <c r="J21"/>
  <c r="E26"/>
  <c r="F26" s="1"/>
  <c r="E25"/>
  <c r="F25" s="1"/>
  <c r="E24"/>
  <c r="F24" s="1"/>
  <c r="E23"/>
  <c r="F23" s="1"/>
  <c r="E22"/>
  <c r="F22" s="1"/>
  <c r="E21"/>
  <c r="F21" s="1"/>
  <c r="J87"/>
  <c r="H86"/>
  <c r="H85"/>
  <c r="H83"/>
  <c r="H82"/>
  <c r="J81"/>
  <c r="J80"/>
  <c r="H79"/>
  <c r="H78"/>
  <c r="H77"/>
  <c r="H76"/>
  <c r="H75"/>
  <c r="J74"/>
  <c r="E135"/>
  <c r="E134"/>
  <c r="F134" s="1"/>
  <c r="E133"/>
  <c r="F133" s="1"/>
  <c r="E132"/>
  <c r="E131"/>
  <c r="F131" s="1"/>
  <c r="E130"/>
  <c r="F130" s="1"/>
  <c r="E128"/>
  <c r="F128" s="1"/>
  <c r="E127"/>
  <c r="F127" s="1"/>
  <c r="E126"/>
  <c r="F126" s="1"/>
  <c r="E125"/>
  <c r="F125" s="1"/>
  <c r="E124"/>
  <c r="F124" s="1"/>
  <c r="E123"/>
  <c r="E121"/>
  <c r="E120"/>
  <c r="F120" s="1"/>
  <c r="E119"/>
  <c r="F119" s="1"/>
  <c r="E118"/>
  <c r="E117"/>
  <c r="F117" s="1"/>
  <c r="E116"/>
  <c r="E114"/>
  <c r="E113"/>
  <c r="F113" s="1"/>
  <c r="E112"/>
  <c r="E111"/>
  <c r="F111" s="1"/>
  <c r="E110"/>
  <c r="E109"/>
  <c r="F109" s="1"/>
  <c r="E107"/>
  <c r="F107" s="1"/>
  <c r="E106"/>
  <c r="E105"/>
  <c r="E104"/>
  <c r="F104" s="1"/>
  <c r="E103"/>
  <c r="E102"/>
  <c r="F102" s="1"/>
  <c r="E100"/>
  <c r="F100" s="1"/>
  <c r="E99"/>
  <c r="E98"/>
  <c r="F98" s="1"/>
  <c r="E97"/>
  <c r="E96"/>
  <c r="F96" s="1"/>
  <c r="F95"/>
  <c r="E95"/>
  <c r="E86"/>
  <c r="E85"/>
  <c r="F85" s="1"/>
  <c r="E84"/>
  <c r="F84" s="1"/>
  <c r="E83"/>
  <c r="E82"/>
  <c r="F82" s="1"/>
  <c r="E81"/>
  <c r="E79"/>
  <c r="E78"/>
  <c r="F78" s="1"/>
  <c r="E77"/>
  <c r="E76"/>
  <c r="F76" s="1"/>
  <c r="E75"/>
  <c r="E74"/>
  <c r="F74" s="1"/>
  <c r="J63"/>
  <c r="H68"/>
  <c r="H67"/>
  <c r="H65"/>
  <c r="H64"/>
  <c r="J69"/>
  <c r="J62"/>
  <c r="H61"/>
  <c r="H60"/>
  <c r="H58"/>
  <c r="H57"/>
  <c r="J56"/>
  <c r="E68"/>
  <c r="E67"/>
  <c r="F67" s="1"/>
  <c r="E66"/>
  <c r="F66" s="1"/>
  <c r="E65"/>
  <c r="E64"/>
  <c r="F64" s="1"/>
  <c r="E63"/>
  <c r="E61"/>
  <c r="E60"/>
  <c r="F60" s="1"/>
  <c r="E59"/>
  <c r="F59" s="1"/>
  <c r="E58"/>
  <c r="E57"/>
  <c r="F57" s="1"/>
  <c r="E56"/>
  <c r="J55"/>
  <c r="H54"/>
  <c r="H53"/>
  <c r="H51"/>
  <c r="H50"/>
  <c r="J49"/>
  <c r="E54"/>
  <c r="E53"/>
  <c r="F53" s="1"/>
  <c r="E52"/>
  <c r="F51"/>
  <c r="E51"/>
  <c r="E50"/>
  <c r="E49"/>
  <c r="F49" s="1"/>
  <c r="J48"/>
  <c r="H47"/>
  <c r="H46"/>
  <c r="H45"/>
  <c r="H44"/>
  <c r="H43"/>
  <c r="J42"/>
  <c r="E47"/>
  <c r="F47" s="1"/>
  <c r="E46"/>
  <c r="F46" s="1"/>
  <c r="E45"/>
  <c r="F45" s="1"/>
  <c r="E44"/>
  <c r="F44" s="1"/>
  <c r="E43"/>
  <c r="F43" s="1"/>
  <c r="E42"/>
  <c r="H40"/>
  <c r="H39"/>
  <c r="H37"/>
  <c r="H36"/>
  <c r="J35"/>
  <c r="J41"/>
  <c r="E40"/>
  <c r="E39"/>
  <c r="F39" s="1"/>
  <c r="E38"/>
  <c r="F37"/>
  <c r="E37"/>
  <c r="E36"/>
  <c r="E35"/>
  <c r="F35" s="1"/>
  <c r="J34"/>
  <c r="H32"/>
  <c r="H33"/>
  <c r="H31"/>
  <c r="H30"/>
  <c r="H29"/>
  <c r="J28"/>
  <c r="E33"/>
  <c r="F33" s="1"/>
  <c r="E32"/>
  <c r="F32" s="1"/>
  <c r="E31"/>
  <c r="F31" s="1"/>
  <c r="E30"/>
  <c r="F30" s="1"/>
  <c r="E29"/>
  <c r="F29" s="1"/>
  <c r="E28"/>
  <c r="F28" s="1"/>
  <c r="H19"/>
  <c r="H18"/>
  <c r="J14"/>
  <c r="H16"/>
  <c r="H15"/>
  <c r="J20"/>
  <c r="E19"/>
  <c r="F19" s="1"/>
  <c r="E18"/>
  <c r="F18" s="1"/>
  <c r="E17"/>
  <c r="F17" s="1"/>
  <c r="E16"/>
  <c r="F16" s="1"/>
  <c r="E15"/>
  <c r="F15" s="1"/>
  <c r="E14"/>
  <c r="F14" s="1"/>
  <c r="H12"/>
  <c r="H11"/>
  <c r="H10"/>
  <c r="H9"/>
  <c r="H8"/>
  <c r="J7"/>
  <c r="J13"/>
  <c r="E12"/>
  <c r="F12" s="1"/>
  <c r="E11"/>
  <c r="F11" s="1"/>
  <c r="E10"/>
  <c r="F10" s="1"/>
  <c r="E9"/>
  <c r="F9" s="1"/>
  <c r="E8"/>
  <c r="F8" s="1"/>
  <c r="E7"/>
  <c r="F7" s="1"/>
  <c r="D264" i="1"/>
  <c r="I264"/>
  <c r="D268"/>
  <c r="L273"/>
  <c r="L460"/>
  <c r="L463"/>
  <c r="L459"/>
  <c r="L461"/>
  <c r="L458"/>
  <c r="M458" s="1"/>
  <c r="L462"/>
  <c r="L457"/>
  <c r="L456"/>
  <c r="M456" s="1"/>
  <c r="M457"/>
  <c r="M459"/>
  <c r="M460"/>
  <c r="M461"/>
  <c r="M463"/>
  <c r="M455"/>
  <c r="L455"/>
  <c r="K463"/>
  <c r="K461"/>
  <c r="K460"/>
  <c r="K459"/>
  <c r="K458"/>
  <c r="K457"/>
  <c r="K456"/>
  <c r="K455"/>
  <c r="D180"/>
  <c r="D181"/>
  <c r="D184"/>
  <c r="D183"/>
  <c r="D182"/>
  <c r="L189"/>
  <c r="D86"/>
  <c r="D87"/>
  <c r="D90"/>
  <c r="L95"/>
  <c r="D266"/>
  <c r="D265"/>
  <c r="D267"/>
  <c r="D170"/>
  <c r="D171"/>
  <c r="D172"/>
  <c r="D174"/>
  <c r="D173"/>
  <c r="L179"/>
  <c r="D76"/>
  <c r="D77"/>
  <c r="D80"/>
  <c r="L85"/>
  <c r="D254"/>
  <c r="D257"/>
  <c r="D256"/>
  <c r="D255"/>
  <c r="D258"/>
  <c r="L263"/>
  <c r="D160"/>
  <c r="D161"/>
  <c r="D164"/>
  <c r="D163"/>
  <c r="D162"/>
  <c r="L169"/>
  <c r="D66"/>
  <c r="D69"/>
  <c r="D70"/>
  <c r="D67"/>
  <c r="D68"/>
  <c r="L75"/>
  <c r="D244"/>
  <c r="D249"/>
  <c r="D246"/>
  <c r="D245"/>
  <c r="D247"/>
  <c r="D248"/>
  <c r="L253"/>
  <c r="D150"/>
  <c r="D152"/>
  <c r="D155"/>
  <c r="D151"/>
  <c r="D153"/>
  <c r="D154"/>
  <c r="L159"/>
  <c r="D56"/>
  <c r="D57"/>
  <c r="D60"/>
  <c r="D61"/>
  <c r="L65"/>
  <c r="D234"/>
  <c r="D237"/>
  <c r="D236"/>
  <c r="I236" s="1"/>
  <c r="D238"/>
  <c r="D235"/>
  <c r="I237"/>
  <c r="L243"/>
  <c r="D140"/>
  <c r="D141"/>
  <c r="D144"/>
  <c r="D142"/>
  <c r="D143"/>
  <c r="L149"/>
  <c r="D48"/>
  <c r="I48"/>
  <c r="D47"/>
  <c r="D49"/>
  <c r="D50"/>
  <c r="L55"/>
  <c r="D224"/>
  <c r="I224"/>
  <c r="D226"/>
  <c r="D225"/>
  <c r="D227"/>
  <c r="D228"/>
  <c r="D229"/>
  <c r="L233"/>
  <c r="D130"/>
  <c r="I130"/>
  <c r="D135"/>
  <c r="D132"/>
  <c r="L139"/>
  <c r="D41"/>
  <c r="D40"/>
  <c r="D39"/>
  <c r="D37"/>
  <c r="L45"/>
  <c r="D214"/>
  <c r="I214"/>
  <c r="D218"/>
  <c r="D215"/>
  <c r="D216"/>
  <c r="D217"/>
  <c r="I215"/>
  <c r="L223"/>
  <c r="D120"/>
  <c r="I120"/>
  <c r="D122"/>
  <c r="D121"/>
  <c r="D123"/>
  <c r="D124"/>
  <c r="L129"/>
  <c r="D26"/>
  <c r="D28"/>
  <c r="D30"/>
  <c r="L35"/>
  <c r="D204"/>
  <c r="D205"/>
  <c r="D208"/>
  <c r="L213"/>
  <c r="D112"/>
  <c r="D114"/>
  <c r="D110"/>
  <c r="D111"/>
  <c r="L119"/>
  <c r="D16"/>
  <c r="D18"/>
  <c r="D20"/>
  <c r="L25"/>
  <c r="D206"/>
  <c r="D207"/>
  <c r="D113"/>
  <c r="D17"/>
  <c r="D19"/>
  <c r="D194"/>
  <c r="D199"/>
  <c r="D197"/>
  <c r="D195"/>
  <c r="D198"/>
  <c r="D196"/>
  <c r="L203"/>
  <c r="D105"/>
  <c r="D101"/>
  <c r="D100"/>
  <c r="L109"/>
  <c r="D11"/>
  <c r="D9"/>
  <c r="L15"/>
  <c r="M452"/>
  <c r="C451"/>
  <c r="J450"/>
  <c r="I449"/>
  <c r="H449"/>
  <c r="J449" s="1"/>
  <c r="G449"/>
  <c r="I448"/>
  <c r="H448"/>
  <c r="J448" s="1"/>
  <c r="G448"/>
  <c r="C445"/>
  <c r="J444"/>
  <c r="I443"/>
  <c r="G443"/>
  <c r="H443" s="1"/>
  <c r="I442"/>
  <c r="G442"/>
  <c r="H442" s="1"/>
  <c r="C439"/>
  <c r="J438"/>
  <c r="I437"/>
  <c r="H437"/>
  <c r="J437" s="1"/>
  <c r="G437"/>
  <c r="I436"/>
  <c r="H436"/>
  <c r="J436" s="1"/>
  <c r="G436"/>
  <c r="C433"/>
  <c r="J432"/>
  <c r="I431"/>
  <c r="J431" s="1"/>
  <c r="G431"/>
  <c r="H431" s="1"/>
  <c r="I430"/>
  <c r="J430" s="1"/>
  <c r="G430"/>
  <c r="H430" s="1"/>
  <c r="C427"/>
  <c r="J426"/>
  <c r="I425"/>
  <c r="H425"/>
  <c r="J425" s="1"/>
  <c r="G425"/>
  <c r="I424"/>
  <c r="H424"/>
  <c r="J424" s="1"/>
  <c r="G424"/>
  <c r="C421"/>
  <c r="J420"/>
  <c r="I419"/>
  <c r="J419" s="1"/>
  <c r="G419"/>
  <c r="H419" s="1"/>
  <c r="I418"/>
  <c r="J418" s="1"/>
  <c r="G418"/>
  <c r="H418" s="1"/>
  <c r="C415"/>
  <c r="J414"/>
  <c r="I413"/>
  <c r="H413"/>
  <c r="J413" s="1"/>
  <c r="G413"/>
  <c r="I412"/>
  <c r="H412"/>
  <c r="J412" s="1"/>
  <c r="G412"/>
  <c r="C409"/>
  <c r="J408"/>
  <c r="I407"/>
  <c r="J407" s="1"/>
  <c r="G407"/>
  <c r="H407" s="1"/>
  <c r="I406"/>
  <c r="J406" s="1"/>
  <c r="G406"/>
  <c r="H406" s="1"/>
  <c r="C403"/>
  <c r="J402"/>
  <c r="I401"/>
  <c r="H401"/>
  <c r="J401" s="1"/>
  <c r="G401"/>
  <c r="I400"/>
  <c r="H400"/>
  <c r="J400" s="1"/>
  <c r="G400"/>
  <c r="M395"/>
  <c r="K395"/>
  <c r="M394"/>
  <c r="C393"/>
  <c r="J392"/>
  <c r="G391"/>
  <c r="H391" s="1"/>
  <c r="I391"/>
  <c r="G390"/>
  <c r="H390" s="1"/>
  <c r="I390"/>
  <c r="C387"/>
  <c r="J386"/>
  <c r="G385"/>
  <c r="H385" s="1"/>
  <c r="I385"/>
  <c r="G384"/>
  <c r="H384" s="1"/>
  <c r="I384"/>
  <c r="C381"/>
  <c r="J380"/>
  <c r="G379"/>
  <c r="H379" s="1"/>
  <c r="I379"/>
  <c r="G378"/>
  <c r="H378" s="1"/>
  <c r="I378"/>
  <c r="C375"/>
  <c r="J374"/>
  <c r="G373"/>
  <c r="H373" s="1"/>
  <c r="I373"/>
  <c r="G372"/>
  <c r="H372" s="1"/>
  <c r="I372"/>
  <c r="C369"/>
  <c r="J368"/>
  <c r="G367"/>
  <c r="H367" s="1"/>
  <c r="I367"/>
  <c r="G366"/>
  <c r="H366" s="1"/>
  <c r="I366"/>
  <c r="C363"/>
  <c r="J362"/>
  <c r="G361"/>
  <c r="H361" s="1"/>
  <c r="I361"/>
  <c r="G360"/>
  <c r="H360" s="1"/>
  <c r="I360"/>
  <c r="C357"/>
  <c r="J356"/>
  <c r="G355"/>
  <c r="H355" s="1"/>
  <c r="I355"/>
  <c r="G354"/>
  <c r="H354" s="1"/>
  <c r="I354"/>
  <c r="C351"/>
  <c r="J350"/>
  <c r="I349"/>
  <c r="G349"/>
  <c r="H349" s="1"/>
  <c r="I348"/>
  <c r="G348"/>
  <c r="H348" s="1"/>
  <c r="C345"/>
  <c r="J344"/>
  <c r="G343"/>
  <c r="H343" s="1"/>
  <c r="I343"/>
  <c r="G342"/>
  <c r="H342" s="1"/>
  <c r="I342"/>
  <c r="C335"/>
  <c r="J334"/>
  <c r="I333"/>
  <c r="G333"/>
  <c r="H333" s="1"/>
  <c r="I332"/>
  <c r="G332"/>
  <c r="H332" s="1"/>
  <c r="I331"/>
  <c r="G331"/>
  <c r="H331" s="1"/>
  <c r="I330"/>
  <c r="G330"/>
  <c r="H330" s="1"/>
  <c r="I329"/>
  <c r="G329"/>
  <c r="H329" s="1"/>
  <c r="I328"/>
  <c r="G328"/>
  <c r="H328" s="1"/>
  <c r="C325"/>
  <c r="J324"/>
  <c r="I323"/>
  <c r="G323"/>
  <c r="H323" s="1"/>
  <c r="I322"/>
  <c r="G322"/>
  <c r="H322" s="1"/>
  <c r="I321"/>
  <c r="G321"/>
  <c r="H321" s="1"/>
  <c r="I320"/>
  <c r="G320"/>
  <c r="H320" s="1"/>
  <c r="I319"/>
  <c r="G319"/>
  <c r="H319" s="1"/>
  <c r="I318"/>
  <c r="G318"/>
  <c r="H318" s="1"/>
  <c r="C315"/>
  <c r="J314"/>
  <c r="I313"/>
  <c r="G313"/>
  <c r="H313" s="1"/>
  <c r="I312"/>
  <c r="G312"/>
  <c r="H312" s="1"/>
  <c r="I311"/>
  <c r="G311"/>
  <c r="H311" s="1"/>
  <c r="I310"/>
  <c r="G310"/>
  <c r="H310" s="1"/>
  <c r="I309"/>
  <c r="G309"/>
  <c r="H309" s="1"/>
  <c r="I308"/>
  <c r="G308"/>
  <c r="H308" s="1"/>
  <c r="C305"/>
  <c r="J304"/>
  <c r="I303"/>
  <c r="G303"/>
  <c r="H303" s="1"/>
  <c r="I302"/>
  <c r="G302"/>
  <c r="H302" s="1"/>
  <c r="I301"/>
  <c r="G301"/>
  <c r="H301" s="1"/>
  <c r="I300"/>
  <c r="G300"/>
  <c r="H300" s="1"/>
  <c r="I299"/>
  <c r="G299"/>
  <c r="H299" s="1"/>
  <c r="I298"/>
  <c r="G298"/>
  <c r="H298" s="1"/>
  <c r="C295"/>
  <c r="J294"/>
  <c r="G293"/>
  <c r="H293" s="1"/>
  <c r="I293"/>
  <c r="I292"/>
  <c r="G292"/>
  <c r="H292" s="1"/>
  <c r="G291"/>
  <c r="H291" s="1"/>
  <c r="I291"/>
  <c r="I290"/>
  <c r="G290"/>
  <c r="H290" s="1"/>
  <c r="G289"/>
  <c r="H289" s="1"/>
  <c r="I289"/>
  <c r="I288"/>
  <c r="G288"/>
  <c r="H288" s="1"/>
  <c r="D274"/>
  <c r="G274"/>
  <c r="H274" s="1"/>
  <c r="I274"/>
  <c r="D275"/>
  <c r="I275" s="1"/>
  <c r="G275"/>
  <c r="H275" s="1"/>
  <c r="D276"/>
  <c r="G276"/>
  <c r="H276" s="1"/>
  <c r="I276"/>
  <c r="D277"/>
  <c r="I277" s="1"/>
  <c r="G277"/>
  <c r="H277"/>
  <c r="D278"/>
  <c r="G278"/>
  <c r="H278" s="1"/>
  <c r="I278"/>
  <c r="G279"/>
  <c r="H279" s="1"/>
  <c r="I279"/>
  <c r="J280"/>
  <c r="C281"/>
  <c r="C271"/>
  <c r="J270"/>
  <c r="I269"/>
  <c r="G269"/>
  <c r="H269" s="1"/>
  <c r="J269" s="1"/>
  <c r="G268"/>
  <c r="H268" s="1"/>
  <c r="I268"/>
  <c r="G267"/>
  <c r="H267" s="1"/>
  <c r="I267"/>
  <c r="G266"/>
  <c r="H266" s="1"/>
  <c r="I266"/>
  <c r="G265"/>
  <c r="H265" s="1"/>
  <c r="I265"/>
  <c r="G264"/>
  <c r="H264" s="1"/>
  <c r="C261"/>
  <c r="J260"/>
  <c r="I259"/>
  <c r="G259"/>
  <c r="H259" s="1"/>
  <c r="G258"/>
  <c r="H258" s="1"/>
  <c r="I258"/>
  <c r="G257"/>
  <c r="H257" s="1"/>
  <c r="I257"/>
  <c r="G256"/>
  <c r="H256" s="1"/>
  <c r="I256"/>
  <c r="G255"/>
  <c r="H255" s="1"/>
  <c r="I255"/>
  <c r="G254"/>
  <c r="H254" s="1"/>
  <c r="I254"/>
  <c r="C251"/>
  <c r="J250"/>
  <c r="G249"/>
  <c r="H249" s="1"/>
  <c r="I249"/>
  <c r="G248"/>
  <c r="H248" s="1"/>
  <c r="I248"/>
  <c r="G247"/>
  <c r="H247" s="1"/>
  <c r="I247"/>
  <c r="G246"/>
  <c r="H246" s="1"/>
  <c r="I246"/>
  <c r="G245"/>
  <c r="H245" s="1"/>
  <c r="I245"/>
  <c r="G244"/>
  <c r="H244" s="1"/>
  <c r="I244"/>
  <c r="C241"/>
  <c r="J240"/>
  <c r="I239"/>
  <c r="G239"/>
  <c r="H239" s="1"/>
  <c r="G238"/>
  <c r="H238" s="1"/>
  <c r="I238"/>
  <c r="G237"/>
  <c r="H237" s="1"/>
  <c r="G236"/>
  <c r="H236" s="1"/>
  <c r="G235"/>
  <c r="H235" s="1"/>
  <c r="I235"/>
  <c r="G234"/>
  <c r="H234" s="1"/>
  <c r="I234"/>
  <c r="C231"/>
  <c r="J230"/>
  <c r="G229"/>
  <c r="H229" s="1"/>
  <c r="I229"/>
  <c r="G228"/>
  <c r="H228" s="1"/>
  <c r="I228"/>
  <c r="G227"/>
  <c r="H227" s="1"/>
  <c r="I227"/>
  <c r="G226"/>
  <c r="H226" s="1"/>
  <c r="I226"/>
  <c r="G225"/>
  <c r="H225" s="1"/>
  <c r="I225"/>
  <c r="G224"/>
  <c r="H224" s="1"/>
  <c r="C221"/>
  <c r="J220"/>
  <c r="I219"/>
  <c r="G219"/>
  <c r="H219" s="1"/>
  <c r="G218"/>
  <c r="H218" s="1"/>
  <c r="I218"/>
  <c r="G217"/>
  <c r="H217" s="1"/>
  <c r="I217"/>
  <c r="G216"/>
  <c r="H216" s="1"/>
  <c r="I216"/>
  <c r="G215"/>
  <c r="H215" s="1"/>
  <c r="G214"/>
  <c r="H214" s="1"/>
  <c r="C211"/>
  <c r="J210"/>
  <c r="I209"/>
  <c r="G209"/>
  <c r="H209" s="1"/>
  <c r="G208"/>
  <c r="H208" s="1"/>
  <c r="I208"/>
  <c r="G207"/>
  <c r="H207" s="1"/>
  <c r="I207"/>
  <c r="G206"/>
  <c r="H206" s="1"/>
  <c r="I206"/>
  <c r="G205"/>
  <c r="H205" s="1"/>
  <c r="I205"/>
  <c r="G204"/>
  <c r="H204" s="1"/>
  <c r="I204"/>
  <c r="C201"/>
  <c r="J200"/>
  <c r="G199"/>
  <c r="H199" s="1"/>
  <c r="I199"/>
  <c r="G198"/>
  <c r="H198" s="1"/>
  <c r="I198"/>
  <c r="G197"/>
  <c r="H197" s="1"/>
  <c r="I197"/>
  <c r="G196"/>
  <c r="H196" s="1"/>
  <c r="I196"/>
  <c r="G195"/>
  <c r="H195" s="1"/>
  <c r="I195"/>
  <c r="G194"/>
  <c r="H194" s="1"/>
  <c r="I194"/>
  <c r="D104"/>
  <c r="C187"/>
  <c r="J186"/>
  <c r="I185"/>
  <c r="G185"/>
  <c r="H185" s="1"/>
  <c r="G184"/>
  <c r="H184" s="1"/>
  <c r="I184"/>
  <c r="G183"/>
  <c r="H183" s="1"/>
  <c r="I183"/>
  <c r="G182"/>
  <c r="H182" s="1"/>
  <c r="I182"/>
  <c r="G181"/>
  <c r="H181" s="1"/>
  <c r="I181"/>
  <c r="H180"/>
  <c r="G180"/>
  <c r="I180"/>
  <c r="J180" s="1"/>
  <c r="C177"/>
  <c r="J176"/>
  <c r="I175"/>
  <c r="G175"/>
  <c r="H175" s="1"/>
  <c r="G174"/>
  <c r="H174" s="1"/>
  <c r="I174"/>
  <c r="G173"/>
  <c r="H173" s="1"/>
  <c r="I173"/>
  <c r="G172"/>
  <c r="H172" s="1"/>
  <c r="I172"/>
  <c r="G171"/>
  <c r="H171" s="1"/>
  <c r="I171"/>
  <c r="G170"/>
  <c r="H170" s="1"/>
  <c r="I170"/>
  <c r="C167"/>
  <c r="J166"/>
  <c r="I165"/>
  <c r="G165"/>
  <c r="H165" s="1"/>
  <c r="J165" s="1"/>
  <c r="G164"/>
  <c r="H164" s="1"/>
  <c r="I164"/>
  <c r="G163"/>
  <c r="H163" s="1"/>
  <c r="I163"/>
  <c r="G162"/>
  <c r="H162" s="1"/>
  <c r="I162"/>
  <c r="G161"/>
  <c r="H161" s="1"/>
  <c r="I161"/>
  <c r="G160"/>
  <c r="H160" s="1"/>
  <c r="I160"/>
  <c r="C157"/>
  <c r="J156"/>
  <c r="G155"/>
  <c r="H155" s="1"/>
  <c r="I155"/>
  <c r="G154"/>
  <c r="H154" s="1"/>
  <c r="I154"/>
  <c r="G153"/>
  <c r="H153" s="1"/>
  <c r="I153"/>
  <c r="G152"/>
  <c r="H152" s="1"/>
  <c r="I152"/>
  <c r="G151"/>
  <c r="H151" s="1"/>
  <c r="I151"/>
  <c r="J151" s="1"/>
  <c r="G150"/>
  <c r="H150" s="1"/>
  <c r="I150"/>
  <c r="C147"/>
  <c r="J146"/>
  <c r="I145"/>
  <c r="G145"/>
  <c r="H145" s="1"/>
  <c r="G144"/>
  <c r="H144" s="1"/>
  <c r="I144"/>
  <c r="G143"/>
  <c r="H143" s="1"/>
  <c r="I143"/>
  <c r="G142"/>
  <c r="H142" s="1"/>
  <c r="I142"/>
  <c r="G141"/>
  <c r="H141" s="1"/>
  <c r="I141"/>
  <c r="G140"/>
  <c r="H140" s="1"/>
  <c r="I140"/>
  <c r="C137"/>
  <c r="J136"/>
  <c r="G135"/>
  <c r="H135" s="1"/>
  <c r="I135"/>
  <c r="G134"/>
  <c r="H134" s="1"/>
  <c r="D134"/>
  <c r="I134" s="1"/>
  <c r="G133"/>
  <c r="H133" s="1"/>
  <c r="D133"/>
  <c r="I133" s="1"/>
  <c r="G132"/>
  <c r="H132" s="1"/>
  <c r="I132"/>
  <c r="G131"/>
  <c r="H131" s="1"/>
  <c r="D131"/>
  <c r="I131" s="1"/>
  <c r="G130"/>
  <c r="H130" s="1"/>
  <c r="C127"/>
  <c r="J126"/>
  <c r="I125"/>
  <c r="G125"/>
  <c r="H125" s="1"/>
  <c r="G124"/>
  <c r="H124" s="1"/>
  <c r="I124"/>
  <c r="G123"/>
  <c r="H123" s="1"/>
  <c r="I123"/>
  <c r="G122"/>
  <c r="H122" s="1"/>
  <c r="I122"/>
  <c r="G121"/>
  <c r="H121" s="1"/>
  <c r="I121"/>
  <c r="G120"/>
  <c r="H120" s="1"/>
  <c r="C117"/>
  <c r="J116"/>
  <c r="I115"/>
  <c r="G115"/>
  <c r="H115" s="1"/>
  <c r="G114"/>
  <c r="H114" s="1"/>
  <c r="I114"/>
  <c r="G113"/>
  <c r="H113" s="1"/>
  <c r="I113"/>
  <c r="G112"/>
  <c r="H112" s="1"/>
  <c r="I112"/>
  <c r="G111"/>
  <c r="H111" s="1"/>
  <c r="I111"/>
  <c r="G110"/>
  <c r="H110" s="1"/>
  <c r="I110"/>
  <c r="C107"/>
  <c r="J106"/>
  <c r="H105"/>
  <c r="G105"/>
  <c r="I105"/>
  <c r="J105" s="1"/>
  <c r="I104"/>
  <c r="G104"/>
  <c r="H104" s="1"/>
  <c r="G103"/>
  <c r="H103" s="1"/>
  <c r="D103"/>
  <c r="I103" s="1"/>
  <c r="G102"/>
  <c r="H102" s="1"/>
  <c r="D102"/>
  <c r="I102" s="1"/>
  <c r="G101"/>
  <c r="H101" s="1"/>
  <c r="I101"/>
  <c r="G100"/>
  <c r="H100" s="1"/>
  <c r="I100"/>
  <c r="D88"/>
  <c r="D89"/>
  <c r="I87"/>
  <c r="D78"/>
  <c r="I80"/>
  <c r="D59"/>
  <c r="D58"/>
  <c r="D46"/>
  <c r="D38"/>
  <c r="D36"/>
  <c r="D27"/>
  <c r="C93"/>
  <c r="J92"/>
  <c r="G91"/>
  <c r="H91" s="1"/>
  <c r="I91"/>
  <c r="G90"/>
  <c r="H90" s="1"/>
  <c r="I90"/>
  <c r="G89"/>
  <c r="H89" s="1"/>
  <c r="I89"/>
  <c r="G88"/>
  <c r="H88" s="1"/>
  <c r="I88"/>
  <c r="G87"/>
  <c r="H87" s="1"/>
  <c r="G86"/>
  <c r="H86" s="1"/>
  <c r="I86"/>
  <c r="C83"/>
  <c r="J82"/>
  <c r="G81"/>
  <c r="H81" s="1"/>
  <c r="I81"/>
  <c r="G80"/>
  <c r="H80" s="1"/>
  <c r="G79"/>
  <c r="H79" s="1"/>
  <c r="D79"/>
  <c r="I79" s="1"/>
  <c r="G78"/>
  <c r="H78" s="1"/>
  <c r="I78"/>
  <c r="G77"/>
  <c r="H77" s="1"/>
  <c r="I77"/>
  <c r="G76"/>
  <c r="H76" s="1"/>
  <c r="I76"/>
  <c r="C73"/>
  <c r="J72"/>
  <c r="G71"/>
  <c r="H71" s="1"/>
  <c r="I71"/>
  <c r="G70"/>
  <c r="H70" s="1"/>
  <c r="I70"/>
  <c r="G69"/>
  <c r="H69" s="1"/>
  <c r="I69"/>
  <c r="G68"/>
  <c r="H68" s="1"/>
  <c r="I68"/>
  <c r="G67"/>
  <c r="H67" s="1"/>
  <c r="I67"/>
  <c r="G66"/>
  <c r="H66" s="1"/>
  <c r="I66"/>
  <c r="C63"/>
  <c r="J62"/>
  <c r="G61"/>
  <c r="H61" s="1"/>
  <c r="I61"/>
  <c r="G60"/>
  <c r="H60" s="1"/>
  <c r="I60"/>
  <c r="G59"/>
  <c r="H59" s="1"/>
  <c r="I59"/>
  <c r="G58"/>
  <c r="H58" s="1"/>
  <c r="I58"/>
  <c r="G57"/>
  <c r="H57" s="1"/>
  <c r="I57"/>
  <c r="G56"/>
  <c r="H56" s="1"/>
  <c r="I56"/>
  <c r="C53"/>
  <c r="J52"/>
  <c r="G51"/>
  <c r="H51" s="1"/>
  <c r="I51"/>
  <c r="G50"/>
  <c r="H50" s="1"/>
  <c r="I50"/>
  <c r="G49"/>
  <c r="H49" s="1"/>
  <c r="I49"/>
  <c r="G48"/>
  <c r="H48" s="1"/>
  <c r="G47"/>
  <c r="H47" s="1"/>
  <c r="I47"/>
  <c r="H46"/>
  <c r="G46"/>
  <c r="I46"/>
  <c r="J46" s="1"/>
  <c r="C43"/>
  <c r="J42"/>
  <c r="G41"/>
  <c r="H41" s="1"/>
  <c r="I41"/>
  <c r="G40"/>
  <c r="H40" s="1"/>
  <c r="I40"/>
  <c r="G39"/>
  <c r="H39" s="1"/>
  <c r="I39"/>
  <c r="G38"/>
  <c r="H38" s="1"/>
  <c r="I38"/>
  <c r="G37"/>
  <c r="H37" s="1"/>
  <c r="I37"/>
  <c r="G36"/>
  <c r="H36" s="1"/>
  <c r="I36"/>
  <c r="C33"/>
  <c r="J32"/>
  <c r="G31"/>
  <c r="H31" s="1"/>
  <c r="I31"/>
  <c r="G30"/>
  <c r="H30" s="1"/>
  <c r="I30"/>
  <c r="G29"/>
  <c r="H29" s="1"/>
  <c r="D29"/>
  <c r="I29" s="1"/>
  <c r="G28"/>
  <c r="H28" s="1"/>
  <c r="I28"/>
  <c r="G27"/>
  <c r="H27" s="1"/>
  <c r="I27"/>
  <c r="G26"/>
  <c r="H26" s="1"/>
  <c r="I26"/>
  <c r="C23"/>
  <c r="J22"/>
  <c r="G21"/>
  <c r="H21" s="1"/>
  <c r="I21"/>
  <c r="G20"/>
  <c r="H20" s="1"/>
  <c r="I20"/>
  <c r="G19"/>
  <c r="H19" s="1"/>
  <c r="I19"/>
  <c r="G18"/>
  <c r="H18" s="1"/>
  <c r="I18"/>
  <c r="G17"/>
  <c r="H17" s="1"/>
  <c r="I17"/>
  <c r="H16"/>
  <c r="G16"/>
  <c r="I16"/>
  <c r="J16" s="1"/>
  <c r="D10"/>
  <c r="D8"/>
  <c r="D7"/>
  <c r="D6"/>
  <c r="F240" i="6"/>
  <c r="K237"/>
  <c r="F237"/>
  <c r="F236"/>
  <c r="F235"/>
  <c r="E237"/>
  <c r="G237" s="1"/>
  <c r="K261"/>
  <c r="K264"/>
  <c r="K260"/>
  <c r="K262"/>
  <c r="K259"/>
  <c r="K263"/>
  <c r="K258"/>
  <c r="K257"/>
  <c r="K256"/>
  <c r="K251"/>
  <c r="F251"/>
  <c r="F248"/>
  <c r="E251"/>
  <c r="K250"/>
  <c r="F250"/>
  <c r="E250"/>
  <c r="K252"/>
  <c r="F252"/>
  <c r="E252"/>
  <c r="K249"/>
  <c r="F246"/>
  <c r="F249"/>
  <c r="E249"/>
  <c r="K253"/>
  <c r="F253"/>
  <c r="E253"/>
  <c r="K248"/>
  <c r="E248"/>
  <c r="K247"/>
  <c r="F247"/>
  <c r="E247"/>
  <c r="K246"/>
  <c r="E246"/>
  <c r="M254"/>
  <c r="J254"/>
  <c r="F254"/>
  <c r="J253"/>
  <c r="L253" s="1"/>
  <c r="J252"/>
  <c r="L252" s="1"/>
  <c r="J251"/>
  <c r="L251" s="1"/>
  <c r="J250"/>
  <c r="L250" s="1"/>
  <c r="J249"/>
  <c r="L249" s="1"/>
  <c r="J248"/>
  <c r="L248" s="1"/>
  <c r="J247"/>
  <c r="L247" s="1"/>
  <c r="K240"/>
  <c r="E240"/>
  <c r="K236"/>
  <c r="K222"/>
  <c r="E236"/>
  <c r="K238"/>
  <c r="F238"/>
  <c r="E238"/>
  <c r="K235"/>
  <c r="E235"/>
  <c r="G235" s="1"/>
  <c r="K239"/>
  <c r="F239"/>
  <c r="E239"/>
  <c r="K234"/>
  <c r="F234"/>
  <c r="E234"/>
  <c r="K233"/>
  <c r="F233"/>
  <c r="E233"/>
  <c r="K232"/>
  <c r="F232"/>
  <c r="E232"/>
  <c r="J240"/>
  <c r="L240" s="1"/>
  <c r="L264" s="1"/>
  <c r="M264" s="1"/>
  <c r="J239"/>
  <c r="L239" s="1"/>
  <c r="J238"/>
  <c r="L238" s="1"/>
  <c r="J237"/>
  <c r="L237" s="1"/>
  <c r="M237" s="1"/>
  <c r="J236"/>
  <c r="L236" s="1"/>
  <c r="M236" s="1"/>
  <c r="J235"/>
  <c r="L235" s="1"/>
  <c r="J234"/>
  <c r="L234" s="1"/>
  <c r="J233"/>
  <c r="L233" s="1"/>
  <c r="G233"/>
  <c r="K223"/>
  <c r="F223"/>
  <c r="E223"/>
  <c r="K226"/>
  <c r="F226"/>
  <c r="E226"/>
  <c r="F222"/>
  <c r="E222"/>
  <c r="K224"/>
  <c r="E224"/>
  <c r="F224" s="1"/>
  <c r="K221"/>
  <c r="E221"/>
  <c r="F221" s="1"/>
  <c r="K225"/>
  <c r="E225"/>
  <c r="F225" s="1"/>
  <c r="K220"/>
  <c r="E220"/>
  <c r="F220" s="1"/>
  <c r="E219"/>
  <c r="K219"/>
  <c r="K218"/>
  <c r="E218"/>
  <c r="F218" s="1"/>
  <c r="H179"/>
  <c r="H178"/>
  <c r="J182"/>
  <c r="H195"/>
  <c r="H194"/>
  <c r="J198"/>
  <c r="H174"/>
  <c r="H173"/>
  <c r="H172"/>
  <c r="H171"/>
  <c r="H170"/>
  <c r="H169"/>
  <c r="H168"/>
  <c r="J177"/>
  <c r="J176"/>
  <c r="H201"/>
  <c r="H200"/>
  <c r="J204"/>
  <c r="H163"/>
  <c r="H162"/>
  <c r="J166"/>
  <c r="H157"/>
  <c r="H156"/>
  <c r="J160"/>
  <c r="H152"/>
  <c r="H151"/>
  <c r="H150"/>
  <c r="H149"/>
  <c r="H148"/>
  <c r="H147"/>
  <c r="H146"/>
  <c r="J155"/>
  <c r="J154"/>
  <c r="I208"/>
  <c r="H207"/>
  <c r="E207"/>
  <c r="F207" s="1"/>
  <c r="H206"/>
  <c r="E206"/>
  <c r="F206" s="1"/>
  <c r="I202"/>
  <c r="E201"/>
  <c r="F201" s="1"/>
  <c r="E200"/>
  <c r="F200" s="1"/>
  <c r="I196"/>
  <c r="E195"/>
  <c r="E194"/>
  <c r="F194" s="1"/>
  <c r="J193"/>
  <c r="J192"/>
  <c r="H190"/>
  <c r="E190"/>
  <c r="F190" s="1"/>
  <c r="H189"/>
  <c r="E189"/>
  <c r="F189" s="1"/>
  <c r="H188"/>
  <c r="E188"/>
  <c r="F188" s="1"/>
  <c r="H187"/>
  <c r="E187"/>
  <c r="H186"/>
  <c r="E186"/>
  <c r="F186" s="1"/>
  <c r="H185"/>
  <c r="E185"/>
  <c r="F185" s="1"/>
  <c r="H184"/>
  <c r="E184"/>
  <c r="F184" s="1"/>
  <c r="I180"/>
  <c r="E179"/>
  <c r="F179" s="1"/>
  <c r="E178"/>
  <c r="F178" s="1"/>
  <c r="E174"/>
  <c r="E173"/>
  <c r="F173" s="1"/>
  <c r="E172"/>
  <c r="F172" s="1"/>
  <c r="E171"/>
  <c r="F171" s="1"/>
  <c r="E170"/>
  <c r="E169"/>
  <c r="F169" s="1"/>
  <c r="E168"/>
  <c r="F168" s="1"/>
  <c r="I164"/>
  <c r="E163"/>
  <c r="F163" s="1"/>
  <c r="E162"/>
  <c r="F162" s="1"/>
  <c r="I158"/>
  <c r="E157"/>
  <c r="F157" s="1"/>
  <c r="E156"/>
  <c r="F156" s="1"/>
  <c r="E152"/>
  <c r="F152" s="1"/>
  <c r="E151"/>
  <c r="F151" s="1"/>
  <c r="E150"/>
  <c r="F150" s="1"/>
  <c r="E149"/>
  <c r="F149" s="1"/>
  <c r="E148"/>
  <c r="F148" s="1"/>
  <c r="E147"/>
  <c r="F147" s="1"/>
  <c r="E146"/>
  <c r="F146" s="1"/>
  <c r="H120"/>
  <c r="H119"/>
  <c r="H118"/>
  <c r="H117"/>
  <c r="H116"/>
  <c r="H115"/>
  <c r="H114"/>
  <c r="J123"/>
  <c r="J122"/>
  <c r="H137"/>
  <c r="H136"/>
  <c r="J140"/>
  <c r="H109"/>
  <c r="H108"/>
  <c r="J112"/>
  <c r="H125"/>
  <c r="H124"/>
  <c r="J128"/>
  <c r="H104"/>
  <c r="H103"/>
  <c r="H102"/>
  <c r="H101"/>
  <c r="H100"/>
  <c r="H99"/>
  <c r="H98"/>
  <c r="J107"/>
  <c r="J106"/>
  <c r="H131"/>
  <c r="H130"/>
  <c r="J134"/>
  <c r="H93"/>
  <c r="H92"/>
  <c r="J96"/>
  <c r="H87"/>
  <c r="H86"/>
  <c r="J90"/>
  <c r="H82"/>
  <c r="H81"/>
  <c r="H80"/>
  <c r="H79"/>
  <c r="H78"/>
  <c r="H77"/>
  <c r="H76"/>
  <c r="J85"/>
  <c r="J84"/>
  <c r="I138"/>
  <c r="E137"/>
  <c r="E136"/>
  <c r="F136" s="1"/>
  <c r="I132"/>
  <c r="E131"/>
  <c r="E130"/>
  <c r="I126"/>
  <c r="E125"/>
  <c r="E124"/>
  <c r="F124" s="1"/>
  <c r="E120"/>
  <c r="F120" s="1"/>
  <c r="E119"/>
  <c r="E118"/>
  <c r="F118" s="1"/>
  <c r="E117"/>
  <c r="E116"/>
  <c r="F116" s="1"/>
  <c r="E115"/>
  <c r="E114"/>
  <c r="F114" s="1"/>
  <c r="I110"/>
  <c r="E109"/>
  <c r="F109" s="1"/>
  <c r="E108"/>
  <c r="E104"/>
  <c r="E103"/>
  <c r="F103" s="1"/>
  <c r="E102"/>
  <c r="E101"/>
  <c r="F101" s="1"/>
  <c r="E100"/>
  <c r="E99"/>
  <c r="F99" s="1"/>
  <c r="E98"/>
  <c r="I94"/>
  <c r="E93"/>
  <c r="E92"/>
  <c r="F92" s="1"/>
  <c r="I88"/>
  <c r="E87"/>
  <c r="F87" s="1"/>
  <c r="E86"/>
  <c r="E82"/>
  <c r="E81"/>
  <c r="F81" s="1"/>
  <c r="E80"/>
  <c r="E79"/>
  <c r="F79" s="1"/>
  <c r="E78"/>
  <c r="E77"/>
  <c r="F77" s="1"/>
  <c r="E76"/>
  <c r="J70"/>
  <c r="H66"/>
  <c r="H67"/>
  <c r="I68"/>
  <c r="E67"/>
  <c r="E66"/>
  <c r="F66" s="1"/>
  <c r="H61"/>
  <c r="H60"/>
  <c r="J64"/>
  <c r="I62"/>
  <c r="E61"/>
  <c r="E60"/>
  <c r="F60" s="1"/>
  <c r="H55"/>
  <c r="H54"/>
  <c r="J58"/>
  <c r="I56"/>
  <c r="E55"/>
  <c r="E54"/>
  <c r="F54" s="1"/>
  <c r="H50"/>
  <c r="H49"/>
  <c r="H48"/>
  <c r="H47"/>
  <c r="H46"/>
  <c r="H45"/>
  <c r="H44"/>
  <c r="J53"/>
  <c r="J52"/>
  <c r="E50"/>
  <c r="E49"/>
  <c r="F49" s="1"/>
  <c r="E48"/>
  <c r="F48" s="1"/>
  <c r="E47"/>
  <c r="F47" s="1"/>
  <c r="E46"/>
  <c r="E45"/>
  <c r="F45" s="1"/>
  <c r="E44"/>
  <c r="F44" s="1"/>
  <c r="J219"/>
  <c r="L219" s="1"/>
  <c r="M219" s="1"/>
  <c r="H39"/>
  <c r="H38"/>
  <c r="J42"/>
  <c r="I40"/>
  <c r="E39"/>
  <c r="E38"/>
  <c r="F38" s="1"/>
  <c r="J37"/>
  <c r="H34"/>
  <c r="H33"/>
  <c r="H32"/>
  <c r="H31"/>
  <c r="H30"/>
  <c r="H29"/>
  <c r="H28"/>
  <c r="J36"/>
  <c r="E34"/>
  <c r="E33"/>
  <c r="F33" s="1"/>
  <c r="E32"/>
  <c r="E31"/>
  <c r="F31" s="1"/>
  <c r="E30"/>
  <c r="E29"/>
  <c r="F29" s="1"/>
  <c r="E28"/>
  <c r="H23"/>
  <c r="H22"/>
  <c r="J26"/>
  <c r="I24"/>
  <c r="E23"/>
  <c r="E22"/>
  <c r="F22" s="1"/>
  <c r="H17"/>
  <c r="H16"/>
  <c r="J20"/>
  <c r="E17"/>
  <c r="F17" s="1"/>
  <c r="E16"/>
  <c r="J15"/>
  <c r="J14"/>
  <c r="H12"/>
  <c r="H11"/>
  <c r="H10"/>
  <c r="H9"/>
  <c r="H8"/>
  <c r="H7"/>
  <c r="H6"/>
  <c r="E12"/>
  <c r="F12" s="1"/>
  <c r="E11"/>
  <c r="E10"/>
  <c r="F10" s="1"/>
  <c r="E9"/>
  <c r="E8"/>
  <c r="F8" s="1"/>
  <c r="E7"/>
  <c r="F7" s="1"/>
  <c r="E6"/>
  <c r="G203" i="7" l="1"/>
  <c r="I203" s="1"/>
  <c r="G204"/>
  <c r="G201"/>
  <c r="I201" s="1"/>
  <c r="G167"/>
  <c r="I167" s="1"/>
  <c r="F152"/>
  <c r="G152" s="1"/>
  <c r="I152" s="1"/>
  <c r="F153"/>
  <c r="G153" s="1"/>
  <c r="I153" s="1"/>
  <c r="G145"/>
  <c r="I145" s="1"/>
  <c r="G143"/>
  <c r="I143"/>
  <c r="G183"/>
  <c r="I183" s="1"/>
  <c r="I204"/>
  <c r="F141"/>
  <c r="G141" s="1"/>
  <c r="F142"/>
  <c r="G142" s="1"/>
  <c r="I142" s="1"/>
  <c r="F144"/>
  <c r="G144" s="1"/>
  <c r="I144" s="1"/>
  <c r="G146"/>
  <c r="I146" s="1"/>
  <c r="F147"/>
  <c r="G147" s="1"/>
  <c r="I147" s="1"/>
  <c r="F149"/>
  <c r="G149" s="1"/>
  <c r="F150"/>
  <c r="G150" s="1"/>
  <c r="I150" s="1"/>
  <c r="G151"/>
  <c r="I151" s="1"/>
  <c r="G154"/>
  <c r="I154" s="1"/>
  <c r="G156"/>
  <c r="I156" s="1"/>
  <c r="G157"/>
  <c r="I157" s="1"/>
  <c r="F158"/>
  <c r="G158" s="1"/>
  <c r="I158" s="1"/>
  <c r="G159"/>
  <c r="I159" s="1"/>
  <c r="G160"/>
  <c r="I160" s="1"/>
  <c r="F161"/>
  <c r="G161" s="1"/>
  <c r="I161" s="1"/>
  <c r="F163"/>
  <c r="G163" s="1"/>
  <c r="F164"/>
  <c r="G164" s="1"/>
  <c r="I164" s="1"/>
  <c r="G165"/>
  <c r="I165" s="1"/>
  <c r="F166"/>
  <c r="G166" s="1"/>
  <c r="I166" s="1"/>
  <c r="G168"/>
  <c r="I168" s="1"/>
  <c r="F169"/>
  <c r="G169" s="1"/>
  <c r="I169" s="1"/>
  <c r="F171"/>
  <c r="G171" s="1"/>
  <c r="F172"/>
  <c r="G172" s="1"/>
  <c r="I172" s="1"/>
  <c r="G173"/>
  <c r="I173" s="1"/>
  <c r="F174"/>
  <c r="G174" s="1"/>
  <c r="I174" s="1"/>
  <c r="F175"/>
  <c r="G175" s="1"/>
  <c r="I175" s="1"/>
  <c r="G176"/>
  <c r="I176" s="1"/>
  <c r="G178"/>
  <c r="I178" s="1"/>
  <c r="G179"/>
  <c r="I179" s="1"/>
  <c r="F180"/>
  <c r="G180" s="1"/>
  <c r="I180" s="1"/>
  <c r="G181"/>
  <c r="I181" s="1"/>
  <c r="F183"/>
  <c r="G184"/>
  <c r="I184" s="1"/>
  <c r="G186"/>
  <c r="I186" s="1"/>
  <c r="G187"/>
  <c r="I187" s="1"/>
  <c r="F188"/>
  <c r="G188" s="1"/>
  <c r="I188" s="1"/>
  <c r="G189"/>
  <c r="I189" s="1"/>
  <c r="G190"/>
  <c r="I190" s="1"/>
  <c r="F191"/>
  <c r="G191" s="1"/>
  <c r="I191" s="1"/>
  <c r="F193"/>
  <c r="G193" s="1"/>
  <c r="F194"/>
  <c r="G194" s="1"/>
  <c r="I194" s="1"/>
  <c r="G195"/>
  <c r="I195" s="1"/>
  <c r="F196"/>
  <c r="G196" s="1"/>
  <c r="I196" s="1"/>
  <c r="F197"/>
  <c r="G197" s="1"/>
  <c r="I197" s="1"/>
  <c r="G198"/>
  <c r="I198" s="1"/>
  <c r="G200"/>
  <c r="I200" s="1"/>
  <c r="F202"/>
  <c r="G202" s="1"/>
  <c r="I202" s="1"/>
  <c r="F205"/>
  <c r="G205" s="1"/>
  <c r="I205" s="1"/>
  <c r="G130"/>
  <c r="G95"/>
  <c r="F99"/>
  <c r="G99" s="1"/>
  <c r="I99" s="1"/>
  <c r="G88"/>
  <c r="I88" s="1"/>
  <c r="G89"/>
  <c r="I89" s="1"/>
  <c r="F90"/>
  <c r="G90" s="1"/>
  <c r="I90" s="1"/>
  <c r="G91"/>
  <c r="I91" s="1"/>
  <c r="G92"/>
  <c r="I92" s="1"/>
  <c r="F93"/>
  <c r="G93" s="1"/>
  <c r="I93" s="1"/>
  <c r="F118"/>
  <c r="G118" s="1"/>
  <c r="I118" s="1"/>
  <c r="F121"/>
  <c r="G121" s="1"/>
  <c r="I121" s="1"/>
  <c r="F123"/>
  <c r="G123" s="1"/>
  <c r="I123" s="1"/>
  <c r="K123" s="1"/>
  <c r="L123" s="1"/>
  <c r="G125"/>
  <c r="I125" s="1"/>
  <c r="G128"/>
  <c r="I128" s="1"/>
  <c r="F132"/>
  <c r="G132" s="1"/>
  <c r="I132" s="1"/>
  <c r="F135"/>
  <c r="G135" s="1"/>
  <c r="I135" s="1"/>
  <c r="G21"/>
  <c r="G23"/>
  <c r="I23" s="1"/>
  <c r="G26"/>
  <c r="I26" s="1"/>
  <c r="G22"/>
  <c r="I22" s="1"/>
  <c r="G24"/>
  <c r="I24" s="1"/>
  <c r="G25"/>
  <c r="I25" s="1"/>
  <c r="G78"/>
  <c r="I78"/>
  <c r="G74"/>
  <c r="I74" s="1"/>
  <c r="F75"/>
  <c r="G75" s="1"/>
  <c r="I75" s="1"/>
  <c r="G76"/>
  <c r="I76" s="1"/>
  <c r="F77"/>
  <c r="G77" s="1"/>
  <c r="I77" s="1"/>
  <c r="F79"/>
  <c r="G79" s="1"/>
  <c r="I79" s="1"/>
  <c r="F81"/>
  <c r="G81" s="1"/>
  <c r="G82"/>
  <c r="I82" s="1"/>
  <c r="F83"/>
  <c r="G83" s="1"/>
  <c r="I83" s="1"/>
  <c r="G84"/>
  <c r="I84" s="1"/>
  <c r="G85"/>
  <c r="I85" s="1"/>
  <c r="F86"/>
  <c r="G86" s="1"/>
  <c r="I86" s="1"/>
  <c r="G96"/>
  <c r="I96" s="1"/>
  <c r="F97"/>
  <c r="G97" s="1"/>
  <c r="I97" s="1"/>
  <c r="G98"/>
  <c r="I98" s="1"/>
  <c r="G100"/>
  <c r="I100" s="1"/>
  <c r="G102"/>
  <c r="F103"/>
  <c r="G103" s="1"/>
  <c r="I103" s="1"/>
  <c r="G104"/>
  <c r="I104" s="1"/>
  <c r="F105"/>
  <c r="G105" s="1"/>
  <c r="I105" s="1"/>
  <c r="F106"/>
  <c r="G106" s="1"/>
  <c r="I106" s="1"/>
  <c r="G107"/>
  <c r="I107" s="1"/>
  <c r="G109"/>
  <c r="F110"/>
  <c r="G110" s="1"/>
  <c r="I110" s="1"/>
  <c r="G111"/>
  <c r="I111" s="1"/>
  <c r="F112"/>
  <c r="G112" s="1"/>
  <c r="I112" s="1"/>
  <c r="G113"/>
  <c r="I113" s="1"/>
  <c r="F114"/>
  <c r="G114" s="1"/>
  <c r="I114" s="1"/>
  <c r="F116"/>
  <c r="G116" s="1"/>
  <c r="G117"/>
  <c r="I117" s="1"/>
  <c r="G119"/>
  <c r="I119" s="1"/>
  <c r="G120"/>
  <c r="I120" s="1"/>
  <c r="G124"/>
  <c r="I124" s="1"/>
  <c r="G126"/>
  <c r="I126" s="1"/>
  <c r="G127"/>
  <c r="I127" s="1"/>
  <c r="G131"/>
  <c r="I131" s="1"/>
  <c r="G133"/>
  <c r="I133" s="1"/>
  <c r="G134"/>
  <c r="I134" s="1"/>
  <c r="G64"/>
  <c r="I64" s="1"/>
  <c r="G66"/>
  <c r="I66" s="1"/>
  <c r="G67"/>
  <c r="I67"/>
  <c r="F63"/>
  <c r="G63" s="1"/>
  <c r="I63" s="1"/>
  <c r="F65"/>
  <c r="G65" s="1"/>
  <c r="I65" s="1"/>
  <c r="F68"/>
  <c r="G68" s="1"/>
  <c r="I68" s="1"/>
  <c r="G57"/>
  <c r="I57" s="1"/>
  <c r="G59"/>
  <c r="I59" s="1"/>
  <c r="G60"/>
  <c r="I60" s="1"/>
  <c r="F56"/>
  <c r="G56" s="1"/>
  <c r="I56" s="1"/>
  <c r="F58"/>
  <c r="G58" s="1"/>
  <c r="I58" s="1"/>
  <c r="F61"/>
  <c r="G61" s="1"/>
  <c r="I61" s="1"/>
  <c r="G51"/>
  <c r="I51" s="1"/>
  <c r="G49"/>
  <c r="I49" s="1"/>
  <c r="G53"/>
  <c r="I53" s="1"/>
  <c r="F50"/>
  <c r="G50" s="1"/>
  <c r="I50" s="1"/>
  <c r="F52"/>
  <c r="G52" s="1"/>
  <c r="I52" s="1"/>
  <c r="F54"/>
  <c r="G54" s="1"/>
  <c r="I54" s="1"/>
  <c r="F42"/>
  <c r="G42" s="1"/>
  <c r="I42" s="1"/>
  <c r="K42" s="1"/>
  <c r="L42" s="1"/>
  <c r="G44"/>
  <c r="G47"/>
  <c r="I47" s="1"/>
  <c r="I44"/>
  <c r="G43"/>
  <c r="I43" s="1"/>
  <c r="G45"/>
  <c r="I45" s="1"/>
  <c r="G46"/>
  <c r="I46" s="1"/>
  <c r="G37"/>
  <c r="I37" s="1"/>
  <c r="G35"/>
  <c r="I35" s="1"/>
  <c r="K35" s="1"/>
  <c r="L35" s="1"/>
  <c r="G39"/>
  <c r="I39" s="1"/>
  <c r="F36"/>
  <c r="G36" s="1"/>
  <c r="I36" s="1"/>
  <c r="F38"/>
  <c r="G38" s="1"/>
  <c r="I38" s="1"/>
  <c r="F40"/>
  <c r="G40" s="1"/>
  <c r="I40" s="1"/>
  <c r="G28"/>
  <c r="I28" s="1"/>
  <c r="K28" s="1"/>
  <c r="L28" s="1"/>
  <c r="G30"/>
  <c r="I30" s="1"/>
  <c r="G33"/>
  <c r="I33" s="1"/>
  <c r="G29"/>
  <c r="I29" s="1"/>
  <c r="G31"/>
  <c r="I31" s="1"/>
  <c r="G32"/>
  <c r="I32" s="1"/>
  <c r="G17"/>
  <c r="I17" s="1"/>
  <c r="G15"/>
  <c r="I15" s="1"/>
  <c r="G19"/>
  <c r="I19"/>
  <c r="G14"/>
  <c r="I14" s="1"/>
  <c r="K14" s="1"/>
  <c r="L14" s="1"/>
  <c r="G16"/>
  <c r="I16" s="1"/>
  <c r="G18"/>
  <c r="I18" s="1"/>
  <c r="J332" i="1"/>
  <c r="J442"/>
  <c r="J443"/>
  <c r="J447" s="1"/>
  <c r="K447" s="1"/>
  <c r="M447" s="1"/>
  <c r="J405"/>
  <c r="K405" s="1"/>
  <c r="M405" s="1"/>
  <c r="J403"/>
  <c r="J404" s="1"/>
  <c r="K404" s="1"/>
  <c r="M404" s="1"/>
  <c r="J411"/>
  <c r="K411" s="1"/>
  <c r="M411" s="1"/>
  <c r="J409"/>
  <c r="J410" s="1"/>
  <c r="K410" s="1"/>
  <c r="M410" s="1"/>
  <c r="J417"/>
  <c r="K417" s="1"/>
  <c r="M417" s="1"/>
  <c r="J415"/>
  <c r="J416" s="1"/>
  <c r="K416" s="1"/>
  <c r="M416" s="1"/>
  <c r="J423"/>
  <c r="K423" s="1"/>
  <c r="M423" s="1"/>
  <c r="J421"/>
  <c r="J422" s="1"/>
  <c r="K422" s="1"/>
  <c r="M422" s="1"/>
  <c r="J429"/>
  <c r="K429" s="1"/>
  <c r="M429" s="1"/>
  <c r="J427"/>
  <c r="J428" s="1"/>
  <c r="K428" s="1"/>
  <c r="M428" s="1"/>
  <c r="J435"/>
  <c r="K435" s="1"/>
  <c r="M435" s="1"/>
  <c r="J433"/>
  <c r="J434" s="1"/>
  <c r="K434" s="1"/>
  <c r="M434" s="1"/>
  <c r="J441"/>
  <c r="K441" s="1"/>
  <c r="M441" s="1"/>
  <c r="J439"/>
  <c r="J440" s="1"/>
  <c r="K440" s="1"/>
  <c r="M440" s="1"/>
  <c r="J445"/>
  <c r="J451"/>
  <c r="J453"/>
  <c r="K453" s="1"/>
  <c r="M453" s="1"/>
  <c r="J235"/>
  <c r="J239"/>
  <c r="J319"/>
  <c r="J331"/>
  <c r="J379"/>
  <c r="J390"/>
  <c r="J395" s="1"/>
  <c r="J372"/>
  <c r="J355"/>
  <c r="J299"/>
  <c r="J366"/>
  <c r="J384"/>
  <c r="J348"/>
  <c r="J349"/>
  <c r="J361"/>
  <c r="J333"/>
  <c r="J343"/>
  <c r="J367"/>
  <c r="J378"/>
  <c r="J383" s="1"/>
  <c r="J385"/>
  <c r="J354"/>
  <c r="J360"/>
  <c r="J373"/>
  <c r="J391"/>
  <c r="J393"/>
  <c r="J303"/>
  <c r="J328"/>
  <c r="J329"/>
  <c r="J300"/>
  <c r="J308"/>
  <c r="J320"/>
  <c r="J321"/>
  <c r="J322"/>
  <c r="J330"/>
  <c r="J342"/>
  <c r="J347" s="1"/>
  <c r="J318"/>
  <c r="J323"/>
  <c r="J310"/>
  <c r="J311"/>
  <c r="J312"/>
  <c r="J313"/>
  <c r="J309"/>
  <c r="J301"/>
  <c r="J302"/>
  <c r="J298"/>
  <c r="J125"/>
  <c r="J289"/>
  <c r="J293"/>
  <c r="J291"/>
  <c r="J288"/>
  <c r="J290"/>
  <c r="J292"/>
  <c r="J246"/>
  <c r="J248"/>
  <c r="J244"/>
  <c r="J277"/>
  <c r="J275"/>
  <c r="J279"/>
  <c r="J278"/>
  <c r="J276"/>
  <c r="J274"/>
  <c r="J131"/>
  <c r="J135"/>
  <c r="J143"/>
  <c r="J152"/>
  <c r="J173"/>
  <c r="J185"/>
  <c r="J234"/>
  <c r="J255"/>
  <c r="J264"/>
  <c r="J133"/>
  <c r="J141"/>
  <c r="J150"/>
  <c r="J171"/>
  <c r="J257"/>
  <c r="J26"/>
  <c r="J111"/>
  <c r="J113"/>
  <c r="J120"/>
  <c r="J122"/>
  <c r="J124"/>
  <c r="J182"/>
  <c r="J184"/>
  <c r="J236"/>
  <c r="J238"/>
  <c r="J266"/>
  <c r="J268"/>
  <c r="J101"/>
  <c r="J103"/>
  <c r="J154"/>
  <c r="J160"/>
  <c r="J162"/>
  <c r="J164"/>
  <c r="J245"/>
  <c r="J247"/>
  <c r="J249"/>
  <c r="J237"/>
  <c r="J226"/>
  <c r="J227"/>
  <c r="J228"/>
  <c r="J229"/>
  <c r="J225"/>
  <c r="J224"/>
  <c r="J267"/>
  <c r="J265"/>
  <c r="J219"/>
  <c r="J206"/>
  <c r="J207"/>
  <c r="J208"/>
  <c r="J205"/>
  <c r="J204"/>
  <c r="J194"/>
  <c r="J195"/>
  <c r="J196"/>
  <c r="J197"/>
  <c r="J198"/>
  <c r="J199"/>
  <c r="J209"/>
  <c r="J214"/>
  <c r="J215"/>
  <c r="J216"/>
  <c r="J217"/>
  <c r="J218"/>
  <c r="J254"/>
  <c r="J256"/>
  <c r="J258"/>
  <c r="J259"/>
  <c r="J153"/>
  <c r="J155"/>
  <c r="J183"/>
  <c r="J181"/>
  <c r="J132"/>
  <c r="J134"/>
  <c r="J130"/>
  <c r="J123"/>
  <c r="J121"/>
  <c r="J102"/>
  <c r="J104"/>
  <c r="J100"/>
  <c r="J110"/>
  <c r="J112"/>
  <c r="J114"/>
  <c r="J115"/>
  <c r="J140"/>
  <c r="J142"/>
  <c r="J144"/>
  <c r="J145"/>
  <c r="J161"/>
  <c r="J163"/>
  <c r="J170"/>
  <c r="J172"/>
  <c r="J174"/>
  <c r="J175"/>
  <c r="J91"/>
  <c r="J89"/>
  <c r="J87"/>
  <c r="J81"/>
  <c r="J79"/>
  <c r="J78"/>
  <c r="J76"/>
  <c r="J77"/>
  <c r="J66"/>
  <c r="J69"/>
  <c r="J71"/>
  <c r="J67"/>
  <c r="J59"/>
  <c r="J61"/>
  <c r="J57"/>
  <c r="J56"/>
  <c r="J49"/>
  <c r="J51"/>
  <c r="J47"/>
  <c r="J36"/>
  <c r="J39"/>
  <c r="J41"/>
  <c r="J37"/>
  <c r="J31"/>
  <c r="J29"/>
  <c r="J27"/>
  <c r="J19"/>
  <c r="J21"/>
  <c r="J17"/>
  <c r="J28"/>
  <c r="J30"/>
  <c r="J48"/>
  <c r="J50"/>
  <c r="J68"/>
  <c r="J70"/>
  <c r="J86"/>
  <c r="J88"/>
  <c r="J90"/>
  <c r="J18"/>
  <c r="J20"/>
  <c r="J38"/>
  <c r="J40"/>
  <c r="J58"/>
  <c r="J60"/>
  <c r="J80"/>
  <c r="L261" i="6"/>
  <c r="M261" s="1"/>
  <c r="L259"/>
  <c r="M259" s="1"/>
  <c r="L258"/>
  <c r="M258" s="1"/>
  <c r="L257"/>
  <c r="M257" s="1"/>
  <c r="M233"/>
  <c r="M250"/>
  <c r="M252"/>
  <c r="M248"/>
  <c r="M247"/>
  <c r="M249"/>
  <c r="M251"/>
  <c r="M253"/>
  <c r="G246"/>
  <c r="J246" s="1"/>
  <c r="G247"/>
  <c r="G248"/>
  <c r="G249"/>
  <c r="G250"/>
  <c r="G251"/>
  <c r="G252"/>
  <c r="G253"/>
  <c r="G254"/>
  <c r="M240"/>
  <c r="G239"/>
  <c r="M234"/>
  <c r="M235"/>
  <c r="M238"/>
  <c r="M239"/>
  <c r="G232"/>
  <c r="J232" s="1"/>
  <c r="G234"/>
  <c r="G236"/>
  <c r="G238"/>
  <c r="G240"/>
  <c r="F219"/>
  <c r="G219" s="1"/>
  <c r="G218"/>
  <c r="J218" s="1"/>
  <c r="L218" s="1"/>
  <c r="M218" s="1"/>
  <c r="G185"/>
  <c r="F187"/>
  <c r="G187" s="1"/>
  <c r="I187" s="1"/>
  <c r="G189"/>
  <c r="G207"/>
  <c r="I207" s="1"/>
  <c r="G178"/>
  <c r="F195"/>
  <c r="G195" s="1"/>
  <c r="I195" s="1"/>
  <c r="G168"/>
  <c r="I168" s="1"/>
  <c r="F170"/>
  <c r="G170" s="1"/>
  <c r="I170" s="1"/>
  <c r="G172"/>
  <c r="F174"/>
  <c r="G174" s="1"/>
  <c r="I174" s="1"/>
  <c r="G200"/>
  <c r="I200" s="1"/>
  <c r="G163"/>
  <c r="G156"/>
  <c r="I156" s="1"/>
  <c r="G146"/>
  <c r="G150"/>
  <c r="G148"/>
  <c r="G152"/>
  <c r="I146"/>
  <c r="I150"/>
  <c r="I172"/>
  <c r="I178"/>
  <c r="I148"/>
  <c r="I152"/>
  <c r="I163"/>
  <c r="I185"/>
  <c r="I189"/>
  <c r="G149"/>
  <c r="I149" s="1"/>
  <c r="G157"/>
  <c r="I157" s="1"/>
  <c r="G162"/>
  <c r="I162" s="1"/>
  <c r="G169"/>
  <c r="I169" s="1"/>
  <c r="G171"/>
  <c r="I171" s="1"/>
  <c r="G173"/>
  <c r="I173" s="1"/>
  <c r="G179"/>
  <c r="I179" s="1"/>
  <c r="G184"/>
  <c r="I184" s="1"/>
  <c r="G186"/>
  <c r="I186" s="1"/>
  <c r="G188"/>
  <c r="I188" s="1"/>
  <c r="G190"/>
  <c r="I190" s="1"/>
  <c r="G194"/>
  <c r="I194" s="1"/>
  <c r="G201"/>
  <c r="I201" s="1"/>
  <c r="G206"/>
  <c r="I206" s="1"/>
  <c r="G147"/>
  <c r="I147" s="1"/>
  <c r="G151"/>
  <c r="I151" s="1"/>
  <c r="G136"/>
  <c r="G103"/>
  <c r="I103" s="1"/>
  <c r="F131"/>
  <c r="G131" s="1"/>
  <c r="I131" s="1"/>
  <c r="F86"/>
  <c r="G86" s="1"/>
  <c r="I86" s="1"/>
  <c r="I136"/>
  <c r="F76"/>
  <c r="G76" s="1"/>
  <c r="I76" s="1"/>
  <c r="G77"/>
  <c r="I77" s="1"/>
  <c r="F78"/>
  <c r="G78" s="1"/>
  <c r="I78" s="1"/>
  <c r="G79"/>
  <c r="I79" s="1"/>
  <c r="F80"/>
  <c r="G80" s="1"/>
  <c r="I80" s="1"/>
  <c r="G81"/>
  <c r="I81" s="1"/>
  <c r="F82"/>
  <c r="G82" s="1"/>
  <c r="I82" s="1"/>
  <c r="G87"/>
  <c r="I87" s="1"/>
  <c r="G92"/>
  <c r="I92" s="1"/>
  <c r="F93"/>
  <c r="G93" s="1"/>
  <c r="I93" s="1"/>
  <c r="F98"/>
  <c r="G98" s="1"/>
  <c r="I98" s="1"/>
  <c r="G99"/>
  <c r="I99" s="1"/>
  <c r="F100"/>
  <c r="G100" s="1"/>
  <c r="I100" s="1"/>
  <c r="G101"/>
  <c r="I101" s="1"/>
  <c r="F102"/>
  <c r="G102" s="1"/>
  <c r="I102" s="1"/>
  <c r="F104"/>
  <c r="G104" s="1"/>
  <c r="I104" s="1"/>
  <c r="F108"/>
  <c r="G108" s="1"/>
  <c r="I108" s="1"/>
  <c r="G109"/>
  <c r="I109" s="1"/>
  <c r="G114"/>
  <c r="I114" s="1"/>
  <c r="F115"/>
  <c r="G115" s="1"/>
  <c r="I115" s="1"/>
  <c r="G116"/>
  <c r="I116" s="1"/>
  <c r="F117"/>
  <c r="G117" s="1"/>
  <c r="I117" s="1"/>
  <c r="G118"/>
  <c r="I118" s="1"/>
  <c r="F119"/>
  <c r="G119" s="1"/>
  <c r="I119" s="1"/>
  <c r="G120"/>
  <c r="I120" s="1"/>
  <c r="G124"/>
  <c r="I124" s="1"/>
  <c r="F125"/>
  <c r="G125" s="1"/>
  <c r="I125" s="1"/>
  <c r="F130"/>
  <c r="G130" s="1"/>
  <c r="I130" s="1"/>
  <c r="F137"/>
  <c r="G137" s="1"/>
  <c r="I137" s="1"/>
  <c r="G66"/>
  <c r="I66" s="1"/>
  <c r="F67"/>
  <c r="G67" s="1"/>
  <c r="I67" s="1"/>
  <c r="G60"/>
  <c r="I60" s="1"/>
  <c r="F61"/>
  <c r="G61" s="1"/>
  <c r="I61" s="1"/>
  <c r="G54"/>
  <c r="I54" s="1"/>
  <c r="F55"/>
  <c r="G55" s="1"/>
  <c r="I55" s="1"/>
  <c r="G44"/>
  <c r="F46"/>
  <c r="G46" s="1"/>
  <c r="I46" s="1"/>
  <c r="G48"/>
  <c r="F50"/>
  <c r="G50" s="1"/>
  <c r="I50" s="1"/>
  <c r="I44"/>
  <c r="I48"/>
  <c r="G45"/>
  <c r="I45" s="1"/>
  <c r="G47"/>
  <c r="I47" s="1"/>
  <c r="G49"/>
  <c r="I49" s="1"/>
  <c r="F39"/>
  <c r="G39" s="1"/>
  <c r="I39" s="1"/>
  <c r="G38"/>
  <c r="I38" s="1"/>
  <c r="F34"/>
  <c r="G34" s="1"/>
  <c r="I34" s="1"/>
  <c r="F28"/>
  <c r="G28" s="1"/>
  <c r="I28" s="1"/>
  <c r="G29"/>
  <c r="I29" s="1"/>
  <c r="F30"/>
  <c r="G30" s="1"/>
  <c r="I30" s="1"/>
  <c r="G31"/>
  <c r="I31" s="1"/>
  <c r="F32"/>
  <c r="G32" s="1"/>
  <c r="I32" s="1"/>
  <c r="G33"/>
  <c r="I33" s="1"/>
  <c r="F23"/>
  <c r="G23" s="1"/>
  <c r="I23" s="1"/>
  <c r="G22"/>
  <c r="I22" s="1"/>
  <c r="F6"/>
  <c r="G6" s="1"/>
  <c r="F11"/>
  <c r="G11" s="1"/>
  <c r="I11" s="1"/>
  <c r="F16"/>
  <c r="G16" s="1"/>
  <c r="I16" s="1"/>
  <c r="G17"/>
  <c r="I17" s="1"/>
  <c r="I18"/>
  <c r="G8"/>
  <c r="I8" s="1"/>
  <c r="F9"/>
  <c r="G9" s="1"/>
  <c r="I9" s="1"/>
  <c r="G10"/>
  <c r="I10" s="1"/>
  <c r="G12"/>
  <c r="I12" s="1"/>
  <c r="G7"/>
  <c r="I7" s="1"/>
  <c r="K387" i="5"/>
  <c r="K386"/>
  <c r="K385"/>
  <c r="K384"/>
  <c r="K383"/>
  <c r="K382"/>
  <c r="K381"/>
  <c r="K380"/>
  <c r="K379"/>
  <c r="J384"/>
  <c r="L384" s="1"/>
  <c r="J387"/>
  <c r="L387" s="1"/>
  <c r="J383"/>
  <c r="J385"/>
  <c r="J382"/>
  <c r="L382" s="1"/>
  <c r="J386"/>
  <c r="J381"/>
  <c r="J379"/>
  <c r="L379" s="1"/>
  <c r="J380"/>
  <c r="L380" s="1"/>
  <c r="L385"/>
  <c r="L386"/>
  <c r="H336"/>
  <c r="H335"/>
  <c r="H334"/>
  <c r="H333"/>
  <c r="H332"/>
  <c r="H331"/>
  <c r="H330"/>
  <c r="H329"/>
  <c r="H328"/>
  <c r="H327"/>
  <c r="H326"/>
  <c r="H325"/>
  <c r="H324"/>
  <c r="J337"/>
  <c r="J377"/>
  <c r="H322"/>
  <c r="H321"/>
  <c r="H320"/>
  <c r="H319"/>
  <c r="H318"/>
  <c r="H317"/>
  <c r="H316"/>
  <c r="H315"/>
  <c r="H314"/>
  <c r="H313"/>
  <c r="H312"/>
  <c r="H311"/>
  <c r="J323"/>
  <c r="H349"/>
  <c r="H348"/>
  <c r="H347"/>
  <c r="H346"/>
  <c r="H345"/>
  <c r="H344"/>
  <c r="H343"/>
  <c r="H342"/>
  <c r="H341"/>
  <c r="H340"/>
  <c r="H339"/>
  <c r="J350"/>
  <c r="H309"/>
  <c r="H308"/>
  <c r="H307"/>
  <c r="H306"/>
  <c r="H305"/>
  <c r="H304"/>
  <c r="H303"/>
  <c r="H302"/>
  <c r="H301"/>
  <c r="H300"/>
  <c r="H299"/>
  <c r="J310"/>
  <c r="H363"/>
  <c r="H362"/>
  <c r="H361"/>
  <c r="H360"/>
  <c r="H359"/>
  <c r="H358"/>
  <c r="H357"/>
  <c r="H356"/>
  <c r="H355"/>
  <c r="H354"/>
  <c r="H353"/>
  <c r="H352"/>
  <c r="J364"/>
  <c r="H297"/>
  <c r="H296"/>
  <c r="H295"/>
  <c r="H294"/>
  <c r="H293"/>
  <c r="H292"/>
  <c r="H291"/>
  <c r="H290"/>
  <c r="H289"/>
  <c r="H288"/>
  <c r="H287"/>
  <c r="H286"/>
  <c r="J298"/>
  <c r="H284"/>
  <c r="H283"/>
  <c r="H282"/>
  <c r="H281"/>
  <c r="H280"/>
  <c r="H279"/>
  <c r="H278"/>
  <c r="H277"/>
  <c r="H276"/>
  <c r="H275"/>
  <c r="H274"/>
  <c r="H273"/>
  <c r="J285"/>
  <c r="H271"/>
  <c r="H270"/>
  <c r="H269"/>
  <c r="H268"/>
  <c r="H267"/>
  <c r="H266"/>
  <c r="H265"/>
  <c r="H264"/>
  <c r="H263"/>
  <c r="H262"/>
  <c r="H261"/>
  <c r="H260"/>
  <c r="H259"/>
  <c r="H258"/>
  <c r="H257"/>
  <c r="J272"/>
  <c r="H376"/>
  <c r="E376"/>
  <c r="H375"/>
  <c r="E375"/>
  <c r="F375" s="1"/>
  <c r="H374"/>
  <c r="E374"/>
  <c r="H373"/>
  <c r="E373"/>
  <c r="F373" s="1"/>
  <c r="H372"/>
  <c r="E372"/>
  <c r="H371"/>
  <c r="E371"/>
  <c r="F371" s="1"/>
  <c r="H370"/>
  <c r="E370"/>
  <c r="H369"/>
  <c r="E369"/>
  <c r="F369" s="1"/>
  <c r="H368"/>
  <c r="F368"/>
  <c r="E368"/>
  <c r="H367"/>
  <c r="E367"/>
  <c r="F367" s="1"/>
  <c r="H366"/>
  <c r="E366"/>
  <c r="H365"/>
  <c r="E365"/>
  <c r="F365" s="1"/>
  <c r="E363"/>
  <c r="F363" s="1"/>
  <c r="E362"/>
  <c r="E361"/>
  <c r="F361" s="1"/>
  <c r="E360"/>
  <c r="E359"/>
  <c r="F359" s="1"/>
  <c r="E358"/>
  <c r="E357"/>
  <c r="F357" s="1"/>
  <c r="E356"/>
  <c r="F355"/>
  <c r="E355"/>
  <c r="E354"/>
  <c r="E353"/>
  <c r="F353" s="1"/>
  <c r="E352"/>
  <c r="E349"/>
  <c r="E348"/>
  <c r="F348" s="1"/>
  <c r="E347"/>
  <c r="E346"/>
  <c r="F346" s="1"/>
  <c r="E345"/>
  <c r="F344"/>
  <c r="E344"/>
  <c r="E343"/>
  <c r="E342"/>
  <c r="F342" s="1"/>
  <c r="E341"/>
  <c r="E340"/>
  <c r="F340" s="1"/>
  <c r="E339"/>
  <c r="E336"/>
  <c r="E335"/>
  <c r="F335" s="1"/>
  <c r="E334"/>
  <c r="E333"/>
  <c r="F333" s="1"/>
  <c r="E332"/>
  <c r="E331"/>
  <c r="F331" s="1"/>
  <c r="E330"/>
  <c r="E329"/>
  <c r="F329" s="1"/>
  <c r="E328"/>
  <c r="E327"/>
  <c r="F327" s="1"/>
  <c r="E326"/>
  <c r="E325"/>
  <c r="F325" s="1"/>
  <c r="E324"/>
  <c r="E322"/>
  <c r="E321"/>
  <c r="F321" s="1"/>
  <c r="E320"/>
  <c r="E319"/>
  <c r="F319" s="1"/>
  <c r="E318"/>
  <c r="E317"/>
  <c r="F317" s="1"/>
  <c r="E316"/>
  <c r="E315"/>
  <c r="F315" s="1"/>
  <c r="E314"/>
  <c r="E313"/>
  <c r="F313" s="1"/>
  <c r="E312"/>
  <c r="E311"/>
  <c r="F311" s="1"/>
  <c r="E309"/>
  <c r="F309" s="1"/>
  <c r="F308"/>
  <c r="E308"/>
  <c r="E307"/>
  <c r="F307" s="1"/>
  <c r="E306"/>
  <c r="E305"/>
  <c r="F305" s="1"/>
  <c r="E304"/>
  <c r="E303"/>
  <c r="F303" s="1"/>
  <c r="E302"/>
  <c r="E301"/>
  <c r="F301" s="1"/>
  <c r="E300"/>
  <c r="E299"/>
  <c r="F299" s="1"/>
  <c r="E297"/>
  <c r="F297" s="1"/>
  <c r="E296"/>
  <c r="E295"/>
  <c r="F295" s="1"/>
  <c r="E294"/>
  <c r="E293"/>
  <c r="F293" s="1"/>
  <c r="E292"/>
  <c r="E291"/>
  <c r="F291" s="1"/>
  <c r="E290"/>
  <c r="E289"/>
  <c r="F289" s="1"/>
  <c r="E288"/>
  <c r="E287"/>
  <c r="F287" s="1"/>
  <c r="E286"/>
  <c r="E284"/>
  <c r="E283"/>
  <c r="F283" s="1"/>
  <c r="E282"/>
  <c r="E281"/>
  <c r="F281" s="1"/>
  <c r="E280"/>
  <c r="E279"/>
  <c r="F279" s="1"/>
  <c r="E278"/>
  <c r="E277"/>
  <c r="F277" s="1"/>
  <c r="E276"/>
  <c r="E275"/>
  <c r="F275" s="1"/>
  <c r="E274"/>
  <c r="E273"/>
  <c r="F273" s="1"/>
  <c r="E271"/>
  <c r="F271" s="1"/>
  <c r="E270"/>
  <c r="E269"/>
  <c r="F269" s="1"/>
  <c r="E268"/>
  <c r="E267"/>
  <c r="F267" s="1"/>
  <c r="E266"/>
  <c r="E265"/>
  <c r="F265" s="1"/>
  <c r="E264"/>
  <c r="E263"/>
  <c r="F263" s="1"/>
  <c r="E262"/>
  <c r="E261"/>
  <c r="F261" s="1"/>
  <c r="E260"/>
  <c r="E259"/>
  <c r="F259" s="1"/>
  <c r="E258"/>
  <c r="E257"/>
  <c r="F257" s="1"/>
  <c r="H211"/>
  <c r="H210"/>
  <c r="H209"/>
  <c r="H208"/>
  <c r="H207"/>
  <c r="H206"/>
  <c r="H205"/>
  <c r="H204"/>
  <c r="H203"/>
  <c r="H202"/>
  <c r="H201"/>
  <c r="H200"/>
  <c r="H199"/>
  <c r="J212"/>
  <c r="H224"/>
  <c r="H223"/>
  <c r="H222"/>
  <c r="H221"/>
  <c r="H220"/>
  <c r="H219"/>
  <c r="H218"/>
  <c r="H217"/>
  <c r="H216"/>
  <c r="H215"/>
  <c r="H214"/>
  <c r="J225"/>
  <c r="H251"/>
  <c r="H250"/>
  <c r="H249"/>
  <c r="H248"/>
  <c r="H247"/>
  <c r="H246"/>
  <c r="H245"/>
  <c r="H244"/>
  <c r="H243"/>
  <c r="H242"/>
  <c r="H241"/>
  <c r="H240"/>
  <c r="J252"/>
  <c r="H197"/>
  <c r="H196"/>
  <c r="H195"/>
  <c r="H194"/>
  <c r="H193"/>
  <c r="H192"/>
  <c r="H191"/>
  <c r="H190"/>
  <c r="H189"/>
  <c r="H188"/>
  <c r="H187"/>
  <c r="H186"/>
  <c r="J198"/>
  <c r="H184"/>
  <c r="H183"/>
  <c r="H182"/>
  <c r="H181"/>
  <c r="H180"/>
  <c r="H179"/>
  <c r="H178"/>
  <c r="H177"/>
  <c r="H176"/>
  <c r="H175"/>
  <c r="H174"/>
  <c r="J185"/>
  <c r="H238"/>
  <c r="H237"/>
  <c r="H236"/>
  <c r="H235"/>
  <c r="H234"/>
  <c r="H233"/>
  <c r="H232"/>
  <c r="H231"/>
  <c r="H230"/>
  <c r="H229"/>
  <c r="H228"/>
  <c r="H227"/>
  <c r="J239"/>
  <c r="H172"/>
  <c r="H171"/>
  <c r="H170"/>
  <c r="H169"/>
  <c r="H168"/>
  <c r="H167"/>
  <c r="H166"/>
  <c r="H165"/>
  <c r="H164"/>
  <c r="H163"/>
  <c r="H162"/>
  <c r="H161"/>
  <c r="J173"/>
  <c r="F170"/>
  <c r="E170"/>
  <c r="F157"/>
  <c r="E157"/>
  <c r="H159"/>
  <c r="H158"/>
  <c r="H157"/>
  <c r="H156"/>
  <c r="H155"/>
  <c r="H154"/>
  <c r="H153"/>
  <c r="H152"/>
  <c r="H151"/>
  <c r="H150"/>
  <c r="H149"/>
  <c r="H148"/>
  <c r="J160"/>
  <c r="H146"/>
  <c r="H145"/>
  <c r="H144"/>
  <c r="H143"/>
  <c r="H142"/>
  <c r="H141"/>
  <c r="H140"/>
  <c r="H139"/>
  <c r="H138"/>
  <c r="H137"/>
  <c r="H136"/>
  <c r="H135"/>
  <c r="H134"/>
  <c r="H133"/>
  <c r="H132"/>
  <c r="J147"/>
  <c r="E251"/>
  <c r="F251" s="1"/>
  <c r="E250"/>
  <c r="F250" s="1"/>
  <c r="F249"/>
  <c r="E249"/>
  <c r="E248"/>
  <c r="F248" s="1"/>
  <c r="E247"/>
  <c r="F247" s="1"/>
  <c r="E246"/>
  <c r="F246" s="1"/>
  <c r="F245"/>
  <c r="E245"/>
  <c r="E244"/>
  <c r="F244" s="1"/>
  <c r="E243"/>
  <c r="F243" s="1"/>
  <c r="E242"/>
  <c r="F242" s="1"/>
  <c r="F241"/>
  <c r="E241"/>
  <c r="E240"/>
  <c r="F240" s="1"/>
  <c r="E238"/>
  <c r="F238" s="1"/>
  <c r="F237"/>
  <c r="E237"/>
  <c r="E236"/>
  <c r="F236" s="1"/>
  <c r="F235"/>
  <c r="E235"/>
  <c r="E234"/>
  <c r="F234" s="1"/>
  <c r="E233"/>
  <c r="E232"/>
  <c r="F232" s="1"/>
  <c r="F231"/>
  <c r="E231"/>
  <c r="E230"/>
  <c r="F230" s="1"/>
  <c r="F229"/>
  <c r="E229"/>
  <c r="G229" s="1"/>
  <c r="E228"/>
  <c r="F228" s="1"/>
  <c r="F227"/>
  <c r="E227"/>
  <c r="E224"/>
  <c r="E223"/>
  <c r="F223" s="1"/>
  <c r="E222"/>
  <c r="F222" s="1"/>
  <c r="E221"/>
  <c r="F221" s="1"/>
  <c r="E220"/>
  <c r="E219"/>
  <c r="F219" s="1"/>
  <c r="E218"/>
  <c r="F218" s="1"/>
  <c r="E217"/>
  <c r="F217" s="1"/>
  <c r="E216"/>
  <c r="E215"/>
  <c r="F215" s="1"/>
  <c r="E214"/>
  <c r="F214" s="1"/>
  <c r="F211"/>
  <c r="E211"/>
  <c r="G211" s="1"/>
  <c r="E210"/>
  <c r="F210" s="1"/>
  <c r="F209"/>
  <c r="E209"/>
  <c r="G209" s="1"/>
  <c r="E208"/>
  <c r="F208" s="1"/>
  <c r="F207"/>
  <c r="E207"/>
  <c r="G207" s="1"/>
  <c r="E206"/>
  <c r="F206" s="1"/>
  <c r="F205"/>
  <c r="E205"/>
  <c r="G205" s="1"/>
  <c r="E204"/>
  <c r="F204" s="1"/>
  <c r="F203"/>
  <c r="E203"/>
  <c r="G203" s="1"/>
  <c r="E202"/>
  <c r="F202" s="1"/>
  <c r="F201"/>
  <c r="E201"/>
  <c r="G201" s="1"/>
  <c r="E200"/>
  <c r="F200" s="1"/>
  <c r="F199"/>
  <c r="E199"/>
  <c r="G199" s="1"/>
  <c r="E197"/>
  <c r="E196"/>
  <c r="F196" s="1"/>
  <c r="F195"/>
  <c r="E195"/>
  <c r="E194"/>
  <c r="F194" s="1"/>
  <c r="E193"/>
  <c r="E192"/>
  <c r="F192" s="1"/>
  <c r="F191"/>
  <c r="E191"/>
  <c r="E190"/>
  <c r="F190" s="1"/>
  <c r="E189"/>
  <c r="E188"/>
  <c r="F188" s="1"/>
  <c r="F187"/>
  <c r="E187"/>
  <c r="E186"/>
  <c r="F186" s="1"/>
  <c r="E184"/>
  <c r="F184" s="1"/>
  <c r="F183"/>
  <c r="E183"/>
  <c r="E182"/>
  <c r="F182" s="1"/>
  <c r="F181"/>
  <c r="E181"/>
  <c r="E180"/>
  <c r="F180" s="1"/>
  <c r="F179"/>
  <c r="E179"/>
  <c r="E178"/>
  <c r="F178" s="1"/>
  <c r="E177"/>
  <c r="F177" s="1"/>
  <c r="E176"/>
  <c r="F176" s="1"/>
  <c r="F175"/>
  <c r="E175"/>
  <c r="E174"/>
  <c r="F174" s="1"/>
  <c r="E172"/>
  <c r="F172" s="1"/>
  <c r="F171"/>
  <c r="E171"/>
  <c r="F169"/>
  <c r="E169"/>
  <c r="G169" s="1"/>
  <c r="E168"/>
  <c r="F168" s="1"/>
  <c r="F167"/>
  <c r="E167"/>
  <c r="E166"/>
  <c r="F166" s="1"/>
  <c r="F165"/>
  <c r="E165"/>
  <c r="E164"/>
  <c r="F164" s="1"/>
  <c r="F163"/>
  <c r="E163"/>
  <c r="E162"/>
  <c r="F162" s="1"/>
  <c r="F161"/>
  <c r="E161"/>
  <c r="E159"/>
  <c r="E158"/>
  <c r="F158" s="1"/>
  <c r="G157"/>
  <c r="E156"/>
  <c r="F156" s="1"/>
  <c r="E155"/>
  <c r="E154"/>
  <c r="F154" s="1"/>
  <c r="F153"/>
  <c r="E153"/>
  <c r="E152"/>
  <c r="F152" s="1"/>
  <c r="E151"/>
  <c r="E150"/>
  <c r="F150" s="1"/>
  <c r="F149"/>
  <c r="E149"/>
  <c r="E148"/>
  <c r="F148" s="1"/>
  <c r="E146"/>
  <c r="F146" s="1"/>
  <c r="F145"/>
  <c r="E145"/>
  <c r="E144"/>
  <c r="F144" s="1"/>
  <c r="F143"/>
  <c r="E143"/>
  <c r="E142"/>
  <c r="F142" s="1"/>
  <c r="F141"/>
  <c r="E141"/>
  <c r="G141" s="1"/>
  <c r="E140"/>
  <c r="F140" s="1"/>
  <c r="F139"/>
  <c r="E139"/>
  <c r="E138"/>
  <c r="F138" s="1"/>
  <c r="E137"/>
  <c r="F137" s="1"/>
  <c r="E136"/>
  <c r="F136" s="1"/>
  <c r="F135"/>
  <c r="E135"/>
  <c r="E134"/>
  <c r="F134" s="1"/>
  <c r="F133"/>
  <c r="E133"/>
  <c r="E132"/>
  <c r="F132" s="1"/>
  <c r="E19"/>
  <c r="F19" s="1"/>
  <c r="E18"/>
  <c r="F18" s="1"/>
  <c r="E17"/>
  <c r="F17" s="1"/>
  <c r="E16"/>
  <c r="F16" s="1"/>
  <c r="E83"/>
  <c r="F83" s="1"/>
  <c r="E84"/>
  <c r="F84" s="1"/>
  <c r="H86"/>
  <c r="H85"/>
  <c r="H84"/>
  <c r="H80"/>
  <c r="H79"/>
  <c r="H83"/>
  <c r="J87"/>
  <c r="H78"/>
  <c r="H82"/>
  <c r="H81"/>
  <c r="H77"/>
  <c r="H76"/>
  <c r="H75"/>
  <c r="H74"/>
  <c r="H126"/>
  <c r="H125"/>
  <c r="E124"/>
  <c r="F124" s="1"/>
  <c r="H121"/>
  <c r="H120"/>
  <c r="H124"/>
  <c r="H119"/>
  <c r="H123"/>
  <c r="H122"/>
  <c r="H118"/>
  <c r="H117"/>
  <c r="H116"/>
  <c r="H115"/>
  <c r="J127"/>
  <c r="H70"/>
  <c r="E70"/>
  <c r="F70" s="1"/>
  <c r="H72"/>
  <c r="H71"/>
  <c r="H67"/>
  <c r="H66"/>
  <c r="H65"/>
  <c r="H69"/>
  <c r="H68"/>
  <c r="H64"/>
  <c r="H63"/>
  <c r="H62"/>
  <c r="H61"/>
  <c r="J73"/>
  <c r="H99"/>
  <c r="H98"/>
  <c r="E97"/>
  <c r="F97" s="1"/>
  <c r="H94"/>
  <c r="H93"/>
  <c r="H97"/>
  <c r="H92"/>
  <c r="H96"/>
  <c r="H95"/>
  <c r="H91"/>
  <c r="H90"/>
  <c r="H89"/>
  <c r="J100"/>
  <c r="H59"/>
  <c r="H58"/>
  <c r="J60"/>
  <c r="H54"/>
  <c r="H53"/>
  <c r="H57"/>
  <c r="H56"/>
  <c r="H52"/>
  <c r="H55"/>
  <c r="H51"/>
  <c r="H50"/>
  <c r="H49"/>
  <c r="E57"/>
  <c r="F57" s="1"/>
  <c r="E56"/>
  <c r="F56" s="1"/>
  <c r="E111"/>
  <c r="F111" s="1"/>
  <c r="H113"/>
  <c r="H112"/>
  <c r="H108"/>
  <c r="H107"/>
  <c r="H111"/>
  <c r="H106"/>
  <c r="H110"/>
  <c r="H109"/>
  <c r="H105"/>
  <c r="H104"/>
  <c r="H103"/>
  <c r="H102"/>
  <c r="J114"/>
  <c r="H47"/>
  <c r="H46"/>
  <c r="H42"/>
  <c r="H41"/>
  <c r="H45"/>
  <c r="H40"/>
  <c r="H44"/>
  <c r="H43"/>
  <c r="H39"/>
  <c r="H38"/>
  <c r="H37"/>
  <c r="H36"/>
  <c r="J48"/>
  <c r="E45"/>
  <c r="F45" s="1"/>
  <c r="J35"/>
  <c r="H34"/>
  <c r="H33"/>
  <c r="H32"/>
  <c r="H31"/>
  <c r="H30"/>
  <c r="H29"/>
  <c r="H28"/>
  <c r="H27"/>
  <c r="H26"/>
  <c r="H25"/>
  <c r="H24"/>
  <c r="H23"/>
  <c r="E32"/>
  <c r="F32" s="1"/>
  <c r="E126"/>
  <c r="E125"/>
  <c r="F125" s="1"/>
  <c r="E123"/>
  <c r="E122"/>
  <c r="F122" s="1"/>
  <c r="E121"/>
  <c r="E120"/>
  <c r="F120" s="1"/>
  <c r="E119"/>
  <c r="E118"/>
  <c r="F118" s="1"/>
  <c r="E117"/>
  <c r="E116"/>
  <c r="F116" s="1"/>
  <c r="E115"/>
  <c r="E113"/>
  <c r="E112"/>
  <c r="F112" s="1"/>
  <c r="E110"/>
  <c r="E109"/>
  <c r="F109" s="1"/>
  <c r="E108"/>
  <c r="E107"/>
  <c r="F107" s="1"/>
  <c r="E106"/>
  <c r="E105"/>
  <c r="F105" s="1"/>
  <c r="E104"/>
  <c r="E103"/>
  <c r="F103" s="1"/>
  <c r="E102"/>
  <c r="E99"/>
  <c r="E98"/>
  <c r="F98" s="1"/>
  <c r="E96"/>
  <c r="E95"/>
  <c r="F95" s="1"/>
  <c r="E94"/>
  <c r="E93"/>
  <c r="F93" s="1"/>
  <c r="E92"/>
  <c r="E91"/>
  <c r="F91" s="1"/>
  <c r="E90"/>
  <c r="F90" s="1"/>
  <c r="E89"/>
  <c r="E86"/>
  <c r="E85"/>
  <c r="F85" s="1"/>
  <c r="E82"/>
  <c r="E81"/>
  <c r="F81" s="1"/>
  <c r="E80"/>
  <c r="E79"/>
  <c r="F79" s="1"/>
  <c r="E78"/>
  <c r="E77"/>
  <c r="F77" s="1"/>
  <c r="E76"/>
  <c r="E75"/>
  <c r="F75" s="1"/>
  <c r="E74"/>
  <c r="E72"/>
  <c r="E71"/>
  <c r="F71" s="1"/>
  <c r="E69"/>
  <c r="E68"/>
  <c r="F68" s="1"/>
  <c r="E67"/>
  <c r="E66"/>
  <c r="F66" s="1"/>
  <c r="E65"/>
  <c r="E64"/>
  <c r="F64" s="1"/>
  <c r="E63"/>
  <c r="E62"/>
  <c r="F62" s="1"/>
  <c r="E61"/>
  <c r="E59"/>
  <c r="F59" s="1"/>
  <c r="E58"/>
  <c r="F58" s="1"/>
  <c r="E55"/>
  <c r="F55" s="1"/>
  <c r="E54"/>
  <c r="F54" s="1"/>
  <c r="E53"/>
  <c r="F53" s="1"/>
  <c r="E52"/>
  <c r="F52" s="1"/>
  <c r="E51"/>
  <c r="F51" s="1"/>
  <c r="E50"/>
  <c r="F50" s="1"/>
  <c r="E49"/>
  <c r="F49" s="1"/>
  <c r="E47"/>
  <c r="E46"/>
  <c r="F46" s="1"/>
  <c r="E44"/>
  <c r="F44" s="1"/>
  <c r="E43"/>
  <c r="F43" s="1"/>
  <c r="E42"/>
  <c r="F42" s="1"/>
  <c r="E41"/>
  <c r="F41" s="1"/>
  <c r="E40"/>
  <c r="F40" s="1"/>
  <c r="E39"/>
  <c r="F39" s="1"/>
  <c r="E38"/>
  <c r="E37"/>
  <c r="F37" s="1"/>
  <c r="E36"/>
  <c r="E34"/>
  <c r="E33"/>
  <c r="F33" s="1"/>
  <c r="E31"/>
  <c r="E30"/>
  <c r="F30" s="1"/>
  <c r="E29"/>
  <c r="E28"/>
  <c r="F28" s="1"/>
  <c r="E27"/>
  <c r="E26"/>
  <c r="F26" s="1"/>
  <c r="E25"/>
  <c r="E24"/>
  <c r="F24" s="1"/>
  <c r="E23"/>
  <c r="H19"/>
  <c r="H18"/>
  <c r="H17"/>
  <c r="H16"/>
  <c r="H15"/>
  <c r="H14"/>
  <c r="J22"/>
  <c r="H20"/>
  <c r="H21"/>
  <c r="H13"/>
  <c r="H12"/>
  <c r="H11"/>
  <c r="H10"/>
  <c r="H9"/>
  <c r="H8"/>
  <c r="H7"/>
  <c r="E21"/>
  <c r="F21" s="1"/>
  <c r="E20"/>
  <c r="F20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K107" i="4"/>
  <c r="D106"/>
  <c r="D105"/>
  <c r="D104"/>
  <c r="D103"/>
  <c r="E106"/>
  <c r="E105"/>
  <c r="F105" s="1"/>
  <c r="E104"/>
  <c r="E103"/>
  <c r="F103" s="1"/>
  <c r="D52"/>
  <c r="K55"/>
  <c r="K154"/>
  <c r="D153"/>
  <c r="D152"/>
  <c r="D151"/>
  <c r="D150"/>
  <c r="E153"/>
  <c r="F153" s="1"/>
  <c r="E152"/>
  <c r="F152" s="1"/>
  <c r="E151"/>
  <c r="F151" s="1"/>
  <c r="E150"/>
  <c r="F150" s="1"/>
  <c r="K102"/>
  <c r="D101"/>
  <c r="D100"/>
  <c r="D99"/>
  <c r="D98"/>
  <c r="E101"/>
  <c r="E100"/>
  <c r="F100" s="1"/>
  <c r="E99"/>
  <c r="E98"/>
  <c r="F98" s="1"/>
  <c r="G98" s="1"/>
  <c r="I98" s="1"/>
  <c r="D47"/>
  <c r="K50"/>
  <c r="K148"/>
  <c r="D147"/>
  <c r="D146"/>
  <c r="D145"/>
  <c r="D144"/>
  <c r="E147"/>
  <c r="E146"/>
  <c r="F146" s="1"/>
  <c r="E145"/>
  <c r="E144"/>
  <c r="F144" s="1"/>
  <c r="K96"/>
  <c r="D95"/>
  <c r="D94"/>
  <c r="D93"/>
  <c r="D92"/>
  <c r="E95"/>
  <c r="E94"/>
  <c r="F94" s="1"/>
  <c r="G94" s="1"/>
  <c r="I94" s="1"/>
  <c r="E93"/>
  <c r="F93" s="1"/>
  <c r="E92"/>
  <c r="F92" s="1"/>
  <c r="D41"/>
  <c r="K44"/>
  <c r="K142"/>
  <c r="D141"/>
  <c r="D140"/>
  <c r="D139"/>
  <c r="D138"/>
  <c r="E141"/>
  <c r="E140"/>
  <c r="F140" s="1"/>
  <c r="G140" s="1"/>
  <c r="I140" s="1"/>
  <c r="E139"/>
  <c r="E138"/>
  <c r="F138" s="1"/>
  <c r="K90"/>
  <c r="D89"/>
  <c r="D88"/>
  <c r="D87"/>
  <c r="D86"/>
  <c r="E89"/>
  <c r="E88"/>
  <c r="F88" s="1"/>
  <c r="G88" s="1"/>
  <c r="I88" s="1"/>
  <c r="E87"/>
  <c r="E86"/>
  <c r="F86" s="1"/>
  <c r="G86" s="1"/>
  <c r="I86" s="1"/>
  <c r="D35"/>
  <c r="K38"/>
  <c r="K137"/>
  <c r="D136"/>
  <c r="D135"/>
  <c r="D134"/>
  <c r="D133"/>
  <c r="E136"/>
  <c r="E135"/>
  <c r="F135" s="1"/>
  <c r="G135" s="1"/>
  <c r="I135" s="1"/>
  <c r="E134"/>
  <c r="F134" s="1"/>
  <c r="E133"/>
  <c r="F133" s="1"/>
  <c r="K85"/>
  <c r="D84"/>
  <c r="D83"/>
  <c r="D82"/>
  <c r="D81"/>
  <c r="E84"/>
  <c r="E83"/>
  <c r="F83" s="1"/>
  <c r="E82"/>
  <c r="E81"/>
  <c r="F81" s="1"/>
  <c r="D30"/>
  <c r="K33"/>
  <c r="D131"/>
  <c r="D130"/>
  <c r="D129"/>
  <c r="D128"/>
  <c r="K132"/>
  <c r="E131"/>
  <c r="E130"/>
  <c r="F130" s="1"/>
  <c r="G130" s="1"/>
  <c r="I130" s="1"/>
  <c r="E129"/>
  <c r="E128"/>
  <c r="F128" s="1"/>
  <c r="D79"/>
  <c r="D78"/>
  <c r="D77"/>
  <c r="D76"/>
  <c r="K80"/>
  <c r="E79"/>
  <c r="F79" s="1"/>
  <c r="E78"/>
  <c r="F78" s="1"/>
  <c r="E77"/>
  <c r="F77" s="1"/>
  <c r="E76"/>
  <c r="F76" s="1"/>
  <c r="D25"/>
  <c r="K28"/>
  <c r="K127"/>
  <c r="D124"/>
  <c r="D72"/>
  <c r="K75"/>
  <c r="D20"/>
  <c r="K23"/>
  <c r="D119"/>
  <c r="K122"/>
  <c r="K70"/>
  <c r="D67"/>
  <c r="D15"/>
  <c r="K18"/>
  <c r="D10"/>
  <c r="D62"/>
  <c r="D114"/>
  <c r="K117"/>
  <c r="K65"/>
  <c r="K13"/>
  <c r="E291"/>
  <c r="E290"/>
  <c r="E289"/>
  <c r="E288"/>
  <c r="E286"/>
  <c r="E285"/>
  <c r="E284"/>
  <c r="E283"/>
  <c r="E280"/>
  <c r="E279"/>
  <c r="E278"/>
  <c r="E277"/>
  <c r="E274"/>
  <c r="E273"/>
  <c r="E272"/>
  <c r="E271"/>
  <c r="E269"/>
  <c r="E268"/>
  <c r="E267"/>
  <c r="E266"/>
  <c r="E264"/>
  <c r="E263"/>
  <c r="E262"/>
  <c r="E261"/>
  <c r="E259"/>
  <c r="E258"/>
  <c r="E257"/>
  <c r="E256"/>
  <c r="E254"/>
  <c r="E253"/>
  <c r="E252"/>
  <c r="E251"/>
  <c r="E249"/>
  <c r="F249" s="1"/>
  <c r="M248"/>
  <c r="F248"/>
  <c r="E248"/>
  <c r="M247"/>
  <c r="E247"/>
  <c r="F247" s="1"/>
  <c r="M246"/>
  <c r="E246"/>
  <c r="F246" s="1"/>
  <c r="M196"/>
  <c r="M195"/>
  <c r="M194"/>
  <c r="E239"/>
  <c r="E238"/>
  <c r="F238" s="1"/>
  <c r="G238" s="1"/>
  <c r="I238" s="1"/>
  <c r="E237"/>
  <c r="E236"/>
  <c r="F236" s="1"/>
  <c r="E234"/>
  <c r="E233"/>
  <c r="F233" s="1"/>
  <c r="G233" s="1"/>
  <c r="I233" s="1"/>
  <c r="E232"/>
  <c r="E231"/>
  <c r="F231" s="1"/>
  <c r="E228"/>
  <c r="F228" s="1"/>
  <c r="E227"/>
  <c r="F227" s="1"/>
  <c r="G227" s="1"/>
  <c r="I227" s="1"/>
  <c r="E226"/>
  <c r="F226" s="1"/>
  <c r="E225"/>
  <c r="F225" s="1"/>
  <c r="E222"/>
  <c r="F222" s="1"/>
  <c r="E221"/>
  <c r="F221" s="1"/>
  <c r="G221" s="1"/>
  <c r="I221" s="1"/>
  <c r="E220"/>
  <c r="F220" s="1"/>
  <c r="E219"/>
  <c r="F219" s="1"/>
  <c r="E217"/>
  <c r="F217" s="1"/>
  <c r="E216"/>
  <c r="F216" s="1"/>
  <c r="G216" s="1"/>
  <c r="I216" s="1"/>
  <c r="E215"/>
  <c r="F215" s="1"/>
  <c r="G215"/>
  <c r="I215" s="1"/>
  <c r="E214"/>
  <c r="F214" s="1"/>
  <c r="G214"/>
  <c r="I214" s="1"/>
  <c r="E212"/>
  <c r="F212" s="1"/>
  <c r="E211"/>
  <c r="F211" s="1"/>
  <c r="E210"/>
  <c r="F210" s="1"/>
  <c r="F209"/>
  <c r="E209"/>
  <c r="G209"/>
  <c r="I209" s="1"/>
  <c r="E207"/>
  <c r="F207" s="1"/>
  <c r="E206"/>
  <c r="F206" s="1"/>
  <c r="G206" s="1"/>
  <c r="I206" s="1"/>
  <c r="E205"/>
  <c r="F205" s="1"/>
  <c r="G205"/>
  <c r="I205" s="1"/>
  <c r="E204"/>
  <c r="F204" s="1"/>
  <c r="G204"/>
  <c r="I204" s="1"/>
  <c r="E202"/>
  <c r="F202" s="1"/>
  <c r="E201"/>
  <c r="F201" s="1"/>
  <c r="E200"/>
  <c r="F200" s="1"/>
  <c r="E199"/>
  <c r="F199" s="1"/>
  <c r="E197"/>
  <c r="F197" s="1"/>
  <c r="G197"/>
  <c r="I197" s="1"/>
  <c r="E196"/>
  <c r="F196" s="1"/>
  <c r="G196"/>
  <c r="I196" s="1"/>
  <c r="E195"/>
  <c r="F195" s="1"/>
  <c r="G195"/>
  <c r="I195" s="1"/>
  <c r="E194"/>
  <c r="F194" s="1"/>
  <c r="G194"/>
  <c r="I194" s="1"/>
  <c r="I198" s="1"/>
  <c r="J198" s="1"/>
  <c r="M166"/>
  <c r="M165"/>
  <c r="M164"/>
  <c r="E188"/>
  <c r="E187"/>
  <c r="F187" s="1"/>
  <c r="E186"/>
  <c r="E185"/>
  <c r="F185" s="1"/>
  <c r="E182"/>
  <c r="E181"/>
  <c r="F181" s="1"/>
  <c r="E180"/>
  <c r="E179"/>
  <c r="F179" s="1"/>
  <c r="E177"/>
  <c r="E176"/>
  <c r="F176" s="1"/>
  <c r="G176" s="1"/>
  <c r="I176" s="1"/>
  <c r="E175"/>
  <c r="F175" s="1"/>
  <c r="E174"/>
  <c r="F174" s="1"/>
  <c r="E172"/>
  <c r="E171"/>
  <c r="F171" s="1"/>
  <c r="E170"/>
  <c r="F170" s="1"/>
  <c r="E169"/>
  <c r="F169" s="1"/>
  <c r="E167"/>
  <c r="F167" s="1"/>
  <c r="E166"/>
  <c r="F166" s="1"/>
  <c r="E165"/>
  <c r="F165" s="1"/>
  <c r="E164"/>
  <c r="F164" s="1"/>
  <c r="D126"/>
  <c r="D125"/>
  <c r="D123"/>
  <c r="D121"/>
  <c r="D120"/>
  <c r="D118"/>
  <c r="D116"/>
  <c r="D115"/>
  <c r="D113"/>
  <c r="E158"/>
  <c r="E157"/>
  <c r="F157" s="1"/>
  <c r="E156"/>
  <c r="E155"/>
  <c r="F155" s="1"/>
  <c r="E126"/>
  <c r="F126" s="1"/>
  <c r="E125"/>
  <c r="F125" s="1"/>
  <c r="E124"/>
  <c r="F124" s="1"/>
  <c r="E123"/>
  <c r="F123" s="1"/>
  <c r="E121"/>
  <c r="F121" s="1"/>
  <c r="E120"/>
  <c r="F120" s="1"/>
  <c r="E119"/>
  <c r="F119" s="1"/>
  <c r="E118"/>
  <c r="F118" s="1"/>
  <c r="E116"/>
  <c r="F116" s="1"/>
  <c r="E115"/>
  <c r="F115" s="1"/>
  <c r="E114"/>
  <c r="F114" s="1"/>
  <c r="E113"/>
  <c r="F113" s="1"/>
  <c r="D74"/>
  <c r="D73"/>
  <c r="D71"/>
  <c r="D69"/>
  <c r="D68"/>
  <c r="D66"/>
  <c r="D64"/>
  <c r="D63"/>
  <c r="D61"/>
  <c r="E74"/>
  <c r="F74" s="1"/>
  <c r="E73"/>
  <c r="F73" s="1"/>
  <c r="E72"/>
  <c r="F72" s="1"/>
  <c r="E71"/>
  <c r="F71" s="1"/>
  <c r="E69"/>
  <c r="F69" s="1"/>
  <c r="E68"/>
  <c r="F68" s="1"/>
  <c r="E67"/>
  <c r="F67" s="1"/>
  <c r="E66"/>
  <c r="F66" s="1"/>
  <c r="E64"/>
  <c r="F64" s="1"/>
  <c r="E63"/>
  <c r="F63" s="1"/>
  <c r="E62"/>
  <c r="F62" s="1"/>
  <c r="E61"/>
  <c r="F61" s="1"/>
  <c r="D54"/>
  <c r="D53"/>
  <c r="D51"/>
  <c r="E54"/>
  <c r="E53"/>
  <c r="F53" s="1"/>
  <c r="G53" s="1"/>
  <c r="I53" s="1"/>
  <c r="E52"/>
  <c r="E51"/>
  <c r="F51" s="1"/>
  <c r="D49"/>
  <c r="D48"/>
  <c r="D46"/>
  <c r="E49"/>
  <c r="F49" s="1"/>
  <c r="E48"/>
  <c r="F48" s="1"/>
  <c r="E47"/>
  <c r="F47" s="1"/>
  <c r="E46"/>
  <c r="F46" s="1"/>
  <c r="D43"/>
  <c r="D42"/>
  <c r="D40"/>
  <c r="E43"/>
  <c r="F43" s="1"/>
  <c r="E42"/>
  <c r="F42" s="1"/>
  <c r="E41"/>
  <c r="F41" s="1"/>
  <c r="E40"/>
  <c r="F40" s="1"/>
  <c r="D37"/>
  <c r="D36"/>
  <c r="D34"/>
  <c r="E37"/>
  <c r="F37" s="1"/>
  <c r="G37" s="1"/>
  <c r="I37" s="1"/>
  <c r="E36"/>
  <c r="F36" s="1"/>
  <c r="E35"/>
  <c r="F35" s="1"/>
  <c r="E34"/>
  <c r="F34" s="1"/>
  <c r="D32"/>
  <c r="D31"/>
  <c r="D29"/>
  <c r="E32"/>
  <c r="E31"/>
  <c r="F31" s="1"/>
  <c r="G31" s="1"/>
  <c r="I31" s="1"/>
  <c r="E30"/>
  <c r="E29"/>
  <c r="F29" s="1"/>
  <c r="D27"/>
  <c r="D26"/>
  <c r="D24"/>
  <c r="E27"/>
  <c r="F27" s="1"/>
  <c r="E26"/>
  <c r="F26" s="1"/>
  <c r="E25"/>
  <c r="F25" s="1"/>
  <c r="E24"/>
  <c r="F24" s="1"/>
  <c r="G24" s="1"/>
  <c r="I24" s="1"/>
  <c r="D22"/>
  <c r="D21"/>
  <c r="D19"/>
  <c r="E22"/>
  <c r="E21"/>
  <c r="F21" s="1"/>
  <c r="G21" s="1"/>
  <c r="I21" s="1"/>
  <c r="E20"/>
  <c r="E19"/>
  <c r="F19" s="1"/>
  <c r="D17"/>
  <c r="D16"/>
  <c r="D14"/>
  <c r="E17"/>
  <c r="F17" s="1"/>
  <c r="E16"/>
  <c r="F16" s="1"/>
  <c r="E15"/>
  <c r="F15" s="1"/>
  <c r="E14"/>
  <c r="F14" s="1"/>
  <c r="E12"/>
  <c r="F12" s="1"/>
  <c r="E11"/>
  <c r="F11" s="1"/>
  <c r="E10"/>
  <c r="F10" s="1"/>
  <c r="E9"/>
  <c r="F9" s="1"/>
  <c r="D12"/>
  <c r="D11"/>
  <c r="D9"/>
  <c r="J226" i="6"/>
  <c r="L226" s="1"/>
  <c r="J225"/>
  <c r="L225" s="1"/>
  <c r="M225" s="1"/>
  <c r="J224"/>
  <c r="L224" s="1"/>
  <c r="M224" s="1"/>
  <c r="M156" i="7" l="1"/>
  <c r="I193"/>
  <c r="M193"/>
  <c r="I171"/>
  <c r="M171"/>
  <c r="I163"/>
  <c r="M163"/>
  <c r="I149"/>
  <c r="M149"/>
  <c r="I141"/>
  <c r="M141"/>
  <c r="I206"/>
  <c r="K186"/>
  <c r="L186" s="1"/>
  <c r="I192"/>
  <c r="K192" s="1"/>
  <c r="K156"/>
  <c r="L156" s="1"/>
  <c r="I162"/>
  <c r="K162" s="1"/>
  <c r="M186"/>
  <c r="M178"/>
  <c r="I185"/>
  <c r="K185" s="1"/>
  <c r="K178"/>
  <c r="L178" s="1"/>
  <c r="I109"/>
  <c r="K109" s="1"/>
  <c r="L109" s="1"/>
  <c r="M109"/>
  <c r="I130"/>
  <c r="K130" s="1"/>
  <c r="L130" s="1"/>
  <c r="M130"/>
  <c r="I102"/>
  <c r="M102"/>
  <c r="I116"/>
  <c r="M116"/>
  <c r="I95"/>
  <c r="K95" s="1"/>
  <c r="L95" s="1"/>
  <c r="M95"/>
  <c r="M88"/>
  <c r="K88"/>
  <c r="L88" s="1"/>
  <c r="I94"/>
  <c r="K94" s="1"/>
  <c r="I21"/>
  <c r="K21" s="1"/>
  <c r="L21" s="1"/>
  <c r="M21"/>
  <c r="M74"/>
  <c r="I136"/>
  <c r="K136" s="1"/>
  <c r="K216" s="1"/>
  <c r="L216" s="1"/>
  <c r="I129"/>
  <c r="K129" s="1"/>
  <c r="I81"/>
  <c r="I87" s="1"/>
  <c r="K87" s="1"/>
  <c r="M81"/>
  <c r="I101"/>
  <c r="K101" s="1"/>
  <c r="I115"/>
  <c r="K115" s="1"/>
  <c r="I108"/>
  <c r="K108" s="1"/>
  <c r="K102"/>
  <c r="L102" s="1"/>
  <c r="K74"/>
  <c r="L74" s="1"/>
  <c r="I80"/>
  <c r="K80" s="1"/>
  <c r="I122"/>
  <c r="K122" s="1"/>
  <c r="K116"/>
  <c r="L116" s="1"/>
  <c r="K81"/>
  <c r="L81" s="1"/>
  <c r="K49"/>
  <c r="L49" s="1"/>
  <c r="I55"/>
  <c r="K55" s="1"/>
  <c r="I69"/>
  <c r="K69" s="1"/>
  <c r="K63"/>
  <c r="L63" s="1"/>
  <c r="I62"/>
  <c r="K62" s="1"/>
  <c r="K56"/>
  <c r="L56" s="1"/>
  <c r="I48"/>
  <c r="K48" s="1"/>
  <c r="I41"/>
  <c r="K41" s="1"/>
  <c r="I34"/>
  <c r="K34" s="1"/>
  <c r="I20"/>
  <c r="K20" s="1"/>
  <c r="J446" i="1"/>
  <c r="K446" s="1"/>
  <c r="M446" s="1"/>
  <c r="J452"/>
  <c r="J394"/>
  <c r="J389"/>
  <c r="J365"/>
  <c r="J359"/>
  <c r="J377"/>
  <c r="J351"/>
  <c r="J371"/>
  <c r="K371" s="1"/>
  <c r="M371" s="1"/>
  <c r="J375"/>
  <c r="J381"/>
  <c r="J382" s="1"/>
  <c r="J387"/>
  <c r="J388" s="1"/>
  <c r="J353"/>
  <c r="K353" s="1"/>
  <c r="M353" s="1"/>
  <c r="J241"/>
  <c r="J253"/>
  <c r="K253" s="1"/>
  <c r="M253" s="1"/>
  <c r="K389"/>
  <c r="M389" s="1"/>
  <c r="K383"/>
  <c r="M383" s="1"/>
  <c r="J369"/>
  <c r="J315"/>
  <c r="K388"/>
  <c r="M388" s="1"/>
  <c r="K382"/>
  <c r="M382" s="1"/>
  <c r="J307"/>
  <c r="K307" s="1"/>
  <c r="M307" s="1"/>
  <c r="J327"/>
  <c r="K327" s="1"/>
  <c r="M327" s="1"/>
  <c r="J335"/>
  <c r="K377"/>
  <c r="M377" s="1"/>
  <c r="K365"/>
  <c r="M365" s="1"/>
  <c r="J363"/>
  <c r="J364" s="1"/>
  <c r="K359"/>
  <c r="M359" s="1"/>
  <c r="J357"/>
  <c r="J358" s="1"/>
  <c r="J352"/>
  <c r="K352" s="1"/>
  <c r="M352" s="1"/>
  <c r="J233"/>
  <c r="K233" s="1"/>
  <c r="M233" s="1"/>
  <c r="J337"/>
  <c r="K337" s="1"/>
  <c r="M337" s="1"/>
  <c r="J325"/>
  <c r="J326" s="1"/>
  <c r="K326" s="1"/>
  <c r="M326" s="1"/>
  <c r="J129"/>
  <c r="K129" s="1"/>
  <c r="M129" s="1"/>
  <c r="J137"/>
  <c r="J187"/>
  <c r="J159"/>
  <c r="K159" s="1"/>
  <c r="M159" s="1"/>
  <c r="J305"/>
  <c r="J25"/>
  <c r="K25" s="1"/>
  <c r="M25" s="1"/>
  <c r="K347"/>
  <c r="M347" s="1"/>
  <c r="J345"/>
  <c r="J317"/>
  <c r="K317" s="1"/>
  <c r="M317" s="1"/>
  <c r="J53"/>
  <c r="J271"/>
  <c r="J189"/>
  <c r="K189" s="1"/>
  <c r="M189" s="1"/>
  <c r="J297"/>
  <c r="K297" s="1"/>
  <c r="M297" s="1"/>
  <c r="J295"/>
  <c r="J251"/>
  <c r="J23"/>
  <c r="J24" s="1"/>
  <c r="K24" s="1"/>
  <c r="M24" s="1"/>
  <c r="J73"/>
  <c r="J35"/>
  <c r="K35" s="1"/>
  <c r="M35" s="1"/>
  <c r="J139"/>
  <c r="K139" s="1"/>
  <c r="M139" s="1"/>
  <c r="J167"/>
  <c r="J127"/>
  <c r="J213"/>
  <c r="K213" s="1"/>
  <c r="M213" s="1"/>
  <c r="J273"/>
  <c r="K273" s="1"/>
  <c r="J243"/>
  <c r="K243" s="1"/>
  <c r="M243" s="1"/>
  <c r="J281"/>
  <c r="J283"/>
  <c r="M283" s="1"/>
  <c r="J33"/>
  <c r="J34" s="1"/>
  <c r="K34" s="1"/>
  <c r="M34" s="1"/>
  <c r="J157"/>
  <c r="J158" s="1"/>
  <c r="K158" s="1"/>
  <c r="M158" s="1"/>
  <c r="J109"/>
  <c r="K109" s="1"/>
  <c r="M109" s="1"/>
  <c r="J211"/>
  <c r="J212" s="1"/>
  <c r="K212" s="1"/>
  <c r="M212" s="1"/>
  <c r="J231"/>
  <c r="J263"/>
  <c r="K263" s="1"/>
  <c r="M263" s="1"/>
  <c r="J261"/>
  <c r="J223"/>
  <c r="K223" s="1"/>
  <c r="M223" s="1"/>
  <c r="J221"/>
  <c r="J203"/>
  <c r="K203" s="1"/>
  <c r="M203" s="1"/>
  <c r="J201"/>
  <c r="J169"/>
  <c r="K169" s="1"/>
  <c r="M169" s="1"/>
  <c r="J107"/>
  <c r="J149"/>
  <c r="K149" s="1"/>
  <c r="M149" s="1"/>
  <c r="J147"/>
  <c r="J119"/>
  <c r="K119" s="1"/>
  <c r="M119" s="1"/>
  <c r="J117"/>
  <c r="J179"/>
  <c r="K179" s="1"/>
  <c r="M179" s="1"/>
  <c r="J177"/>
  <c r="J93"/>
  <c r="J95"/>
  <c r="K95" s="1"/>
  <c r="M95" s="1"/>
  <c r="J85"/>
  <c r="K85" s="1"/>
  <c r="M85" s="1"/>
  <c r="J83"/>
  <c r="J75"/>
  <c r="K75" s="1"/>
  <c r="M75" s="1"/>
  <c r="J63"/>
  <c r="J65"/>
  <c r="K65" s="1"/>
  <c r="M65" s="1"/>
  <c r="J55"/>
  <c r="K55" s="1"/>
  <c r="M55" s="1"/>
  <c r="J45"/>
  <c r="K45" s="1"/>
  <c r="M45" s="1"/>
  <c r="J43"/>
  <c r="L263" i="6"/>
  <c r="M263" s="1"/>
  <c r="L262"/>
  <c r="M262" s="1"/>
  <c r="L232"/>
  <c r="L246"/>
  <c r="M246" s="1"/>
  <c r="M226"/>
  <c r="I209"/>
  <c r="I210"/>
  <c r="I197"/>
  <c r="I199" s="1"/>
  <c r="K199" s="1"/>
  <c r="I198"/>
  <c r="K198" s="1"/>
  <c r="I191"/>
  <c r="I193" s="1"/>
  <c r="K193" s="1"/>
  <c r="I192"/>
  <c r="K192" s="1"/>
  <c r="I204"/>
  <c r="K204" s="1"/>
  <c r="I203"/>
  <c r="I160"/>
  <c r="K160" s="1"/>
  <c r="I159"/>
  <c r="I154"/>
  <c r="K154" s="1"/>
  <c r="I153"/>
  <c r="I165"/>
  <c r="I166"/>
  <c r="K166" s="1"/>
  <c r="I182"/>
  <c r="K182" s="1"/>
  <c r="I181"/>
  <c r="I176"/>
  <c r="K176" s="1"/>
  <c r="I175"/>
  <c r="I134"/>
  <c r="K134" s="1"/>
  <c r="I133"/>
  <c r="I127"/>
  <c r="I129" s="1"/>
  <c r="K129" s="1"/>
  <c r="I128"/>
  <c r="K128" s="1"/>
  <c r="I112"/>
  <c r="K112" s="1"/>
  <c r="I111"/>
  <c r="I106"/>
  <c r="K106" s="1"/>
  <c r="I105"/>
  <c r="I95"/>
  <c r="I96"/>
  <c r="K96" s="1"/>
  <c r="I84"/>
  <c r="K84" s="1"/>
  <c r="I83"/>
  <c r="I121"/>
  <c r="I122"/>
  <c r="K122" s="1"/>
  <c r="I139"/>
  <c r="I141" s="1"/>
  <c r="K141" s="1"/>
  <c r="I140"/>
  <c r="K140" s="1"/>
  <c r="I90"/>
  <c r="K90" s="1"/>
  <c r="I89"/>
  <c r="I69"/>
  <c r="I71" s="1"/>
  <c r="K71" s="1"/>
  <c r="I70"/>
  <c r="K70" s="1"/>
  <c r="I63"/>
  <c r="I64"/>
  <c r="K64" s="1"/>
  <c r="I57"/>
  <c r="I58"/>
  <c r="K58" s="1"/>
  <c r="I52"/>
  <c r="K52" s="1"/>
  <c r="I51"/>
  <c r="I41"/>
  <c r="I42"/>
  <c r="K42" s="1"/>
  <c r="I36"/>
  <c r="K36" s="1"/>
  <c r="I35"/>
  <c r="I25"/>
  <c r="I26"/>
  <c r="K26" s="1"/>
  <c r="I20"/>
  <c r="I19"/>
  <c r="L383" i="5"/>
  <c r="L381"/>
  <c r="F366"/>
  <c r="G366" s="1"/>
  <c r="I366" s="1"/>
  <c r="G368"/>
  <c r="G344"/>
  <c r="I344" s="1"/>
  <c r="G308"/>
  <c r="G355"/>
  <c r="I308"/>
  <c r="I355"/>
  <c r="I368"/>
  <c r="G257"/>
  <c r="I257" s="1"/>
  <c r="F258"/>
  <c r="G258" s="1"/>
  <c r="I258" s="1"/>
  <c r="G259"/>
  <c r="I259" s="1"/>
  <c r="F260"/>
  <c r="G260" s="1"/>
  <c r="I260" s="1"/>
  <c r="G261"/>
  <c r="I261" s="1"/>
  <c r="F262"/>
  <c r="G262" s="1"/>
  <c r="I262" s="1"/>
  <c r="G263"/>
  <c r="I263" s="1"/>
  <c r="F264"/>
  <c r="G264" s="1"/>
  <c r="I264" s="1"/>
  <c r="G265"/>
  <c r="I265" s="1"/>
  <c r="F266"/>
  <c r="G266" s="1"/>
  <c r="I266" s="1"/>
  <c r="G267"/>
  <c r="I267" s="1"/>
  <c r="F268"/>
  <c r="G268" s="1"/>
  <c r="I268" s="1"/>
  <c r="G269"/>
  <c r="I269" s="1"/>
  <c r="F270"/>
  <c r="G270" s="1"/>
  <c r="I270" s="1"/>
  <c r="G271"/>
  <c r="I271" s="1"/>
  <c r="G273"/>
  <c r="I273" s="1"/>
  <c r="F274"/>
  <c r="G274" s="1"/>
  <c r="I274" s="1"/>
  <c r="G275"/>
  <c r="I275" s="1"/>
  <c r="F276"/>
  <c r="G276" s="1"/>
  <c r="I276" s="1"/>
  <c r="G277"/>
  <c r="I277" s="1"/>
  <c r="F278"/>
  <c r="G278" s="1"/>
  <c r="I278" s="1"/>
  <c r="G279"/>
  <c r="I279" s="1"/>
  <c r="F280"/>
  <c r="G280" s="1"/>
  <c r="I280" s="1"/>
  <c r="G281"/>
  <c r="I281" s="1"/>
  <c r="F282"/>
  <c r="G282" s="1"/>
  <c r="I282" s="1"/>
  <c r="G283"/>
  <c r="I283" s="1"/>
  <c r="F284"/>
  <c r="G284" s="1"/>
  <c r="I284" s="1"/>
  <c r="F286"/>
  <c r="G286" s="1"/>
  <c r="I286" s="1"/>
  <c r="G287"/>
  <c r="I287" s="1"/>
  <c r="F288"/>
  <c r="G288" s="1"/>
  <c r="I288" s="1"/>
  <c r="G289"/>
  <c r="I289" s="1"/>
  <c r="F290"/>
  <c r="G290" s="1"/>
  <c r="I290" s="1"/>
  <c r="G291"/>
  <c r="I291" s="1"/>
  <c r="F292"/>
  <c r="G292" s="1"/>
  <c r="I292" s="1"/>
  <c r="G293"/>
  <c r="I293" s="1"/>
  <c r="F294"/>
  <c r="G294" s="1"/>
  <c r="I294" s="1"/>
  <c r="G295"/>
  <c r="I295" s="1"/>
  <c r="F296"/>
  <c r="G296" s="1"/>
  <c r="I296" s="1"/>
  <c r="G297"/>
  <c r="I297" s="1"/>
  <c r="G299"/>
  <c r="I299" s="1"/>
  <c r="F300"/>
  <c r="G300" s="1"/>
  <c r="I300" s="1"/>
  <c r="G301"/>
  <c r="I301" s="1"/>
  <c r="F302"/>
  <c r="G302" s="1"/>
  <c r="I302" s="1"/>
  <c r="G303"/>
  <c r="I303" s="1"/>
  <c r="F304"/>
  <c r="G304" s="1"/>
  <c r="I304" s="1"/>
  <c r="G305"/>
  <c r="I305" s="1"/>
  <c r="F306"/>
  <c r="G306" s="1"/>
  <c r="I306" s="1"/>
  <c r="G307"/>
  <c r="I307" s="1"/>
  <c r="G309"/>
  <c r="I309" s="1"/>
  <c r="G311"/>
  <c r="I311" s="1"/>
  <c r="F312"/>
  <c r="G312" s="1"/>
  <c r="I312" s="1"/>
  <c r="G313"/>
  <c r="I313" s="1"/>
  <c r="F314"/>
  <c r="G314" s="1"/>
  <c r="I314" s="1"/>
  <c r="G315"/>
  <c r="I315" s="1"/>
  <c r="F316"/>
  <c r="G316" s="1"/>
  <c r="I316" s="1"/>
  <c r="G317"/>
  <c r="I317" s="1"/>
  <c r="F318"/>
  <c r="G318" s="1"/>
  <c r="I318" s="1"/>
  <c r="G319"/>
  <c r="I319" s="1"/>
  <c r="F320"/>
  <c r="G320" s="1"/>
  <c r="I320" s="1"/>
  <c r="G321"/>
  <c r="I321" s="1"/>
  <c r="F322"/>
  <c r="G322" s="1"/>
  <c r="I322" s="1"/>
  <c r="F324"/>
  <c r="G324" s="1"/>
  <c r="I324" s="1"/>
  <c r="G325"/>
  <c r="I325" s="1"/>
  <c r="F326"/>
  <c r="G326" s="1"/>
  <c r="I326" s="1"/>
  <c r="G327"/>
  <c r="I327" s="1"/>
  <c r="F328"/>
  <c r="G328" s="1"/>
  <c r="I328" s="1"/>
  <c r="G329"/>
  <c r="I329" s="1"/>
  <c r="F330"/>
  <c r="G330" s="1"/>
  <c r="I330" s="1"/>
  <c r="G331"/>
  <c r="I331" s="1"/>
  <c r="F332"/>
  <c r="G332" s="1"/>
  <c r="I332" s="1"/>
  <c r="G333"/>
  <c r="I333" s="1"/>
  <c r="F334"/>
  <c r="G334" s="1"/>
  <c r="I334" s="1"/>
  <c r="G335"/>
  <c r="I335" s="1"/>
  <c r="F336"/>
  <c r="G336" s="1"/>
  <c r="I336" s="1"/>
  <c r="F339"/>
  <c r="G339" s="1"/>
  <c r="I339" s="1"/>
  <c r="G340"/>
  <c r="I340" s="1"/>
  <c r="F341"/>
  <c r="G341" s="1"/>
  <c r="I341" s="1"/>
  <c r="G342"/>
  <c r="I342" s="1"/>
  <c r="F343"/>
  <c r="G343" s="1"/>
  <c r="I343" s="1"/>
  <c r="F345"/>
  <c r="G345" s="1"/>
  <c r="I345" s="1"/>
  <c r="G346"/>
  <c r="I346" s="1"/>
  <c r="F347"/>
  <c r="G347" s="1"/>
  <c r="I347" s="1"/>
  <c r="G348"/>
  <c r="I348" s="1"/>
  <c r="F349"/>
  <c r="G349" s="1"/>
  <c r="I349" s="1"/>
  <c r="F352"/>
  <c r="G352" s="1"/>
  <c r="I352" s="1"/>
  <c r="G353"/>
  <c r="I353" s="1"/>
  <c r="F354"/>
  <c r="G354" s="1"/>
  <c r="I354" s="1"/>
  <c r="F356"/>
  <c r="G356" s="1"/>
  <c r="I356" s="1"/>
  <c r="G357"/>
  <c r="I357" s="1"/>
  <c r="F358"/>
  <c r="G358" s="1"/>
  <c r="I358" s="1"/>
  <c r="G359"/>
  <c r="I359" s="1"/>
  <c r="F360"/>
  <c r="G360" s="1"/>
  <c r="I360" s="1"/>
  <c r="G361"/>
  <c r="I361" s="1"/>
  <c r="F362"/>
  <c r="G362" s="1"/>
  <c r="I362" s="1"/>
  <c r="G363"/>
  <c r="I363" s="1"/>
  <c r="G365"/>
  <c r="I365" s="1"/>
  <c r="G367"/>
  <c r="I367" s="1"/>
  <c r="G369"/>
  <c r="I369" s="1"/>
  <c r="F370"/>
  <c r="G370" s="1"/>
  <c r="I370" s="1"/>
  <c r="G371"/>
  <c r="I371" s="1"/>
  <c r="F372"/>
  <c r="G372" s="1"/>
  <c r="I372" s="1"/>
  <c r="G373"/>
  <c r="I373" s="1"/>
  <c r="F374"/>
  <c r="G374" s="1"/>
  <c r="I374" s="1"/>
  <c r="G375"/>
  <c r="I375" s="1"/>
  <c r="F376"/>
  <c r="G376" s="1"/>
  <c r="I376" s="1"/>
  <c r="G241"/>
  <c r="G245"/>
  <c r="G249"/>
  <c r="G243"/>
  <c r="G247"/>
  <c r="G251"/>
  <c r="G187"/>
  <c r="F189"/>
  <c r="G189" s="1"/>
  <c r="I189" s="1"/>
  <c r="G191"/>
  <c r="F193"/>
  <c r="G193" s="1"/>
  <c r="I193" s="1"/>
  <c r="G195"/>
  <c r="F197"/>
  <c r="G197" s="1"/>
  <c r="I197" s="1"/>
  <c r="G214"/>
  <c r="F216"/>
  <c r="G216" s="1"/>
  <c r="I216" s="1"/>
  <c r="G218"/>
  <c r="F220"/>
  <c r="G220" s="1"/>
  <c r="I220" s="1"/>
  <c r="G222"/>
  <c r="F224"/>
  <c r="G224" s="1"/>
  <c r="I224" s="1"/>
  <c r="G175"/>
  <c r="G179"/>
  <c r="G183"/>
  <c r="G177"/>
  <c r="G181"/>
  <c r="G237"/>
  <c r="G227"/>
  <c r="G231"/>
  <c r="F233"/>
  <c r="G233" s="1"/>
  <c r="I233" s="1"/>
  <c r="G235"/>
  <c r="G163"/>
  <c r="G167"/>
  <c r="G171"/>
  <c r="G161"/>
  <c r="G165"/>
  <c r="G149"/>
  <c r="F151"/>
  <c r="G151" s="1"/>
  <c r="I151" s="1"/>
  <c r="G153"/>
  <c r="F155"/>
  <c r="G155" s="1"/>
  <c r="I155" s="1"/>
  <c r="F159"/>
  <c r="G159" s="1"/>
  <c r="I159" s="1"/>
  <c r="G135"/>
  <c r="G139"/>
  <c r="G143"/>
  <c r="G133"/>
  <c r="G137"/>
  <c r="G145"/>
  <c r="I135"/>
  <c r="I139"/>
  <c r="I143"/>
  <c r="I161"/>
  <c r="I165"/>
  <c r="I169"/>
  <c r="I177"/>
  <c r="I181"/>
  <c r="I199"/>
  <c r="I203"/>
  <c r="I207"/>
  <c r="I211"/>
  <c r="I214"/>
  <c r="I218"/>
  <c r="I222"/>
  <c r="I229"/>
  <c r="I237"/>
  <c r="I241"/>
  <c r="I245"/>
  <c r="I249"/>
  <c r="I133"/>
  <c r="I137"/>
  <c r="I141"/>
  <c r="I145"/>
  <c r="I149"/>
  <c r="I153"/>
  <c r="I157"/>
  <c r="I163"/>
  <c r="I167"/>
  <c r="I171"/>
  <c r="I175"/>
  <c r="I179"/>
  <c r="I183"/>
  <c r="I187"/>
  <c r="I191"/>
  <c r="I195"/>
  <c r="I201"/>
  <c r="I205"/>
  <c r="I209"/>
  <c r="I227"/>
  <c r="I231"/>
  <c r="I235"/>
  <c r="I243"/>
  <c r="I247"/>
  <c r="I251"/>
  <c r="G132"/>
  <c r="I132" s="1"/>
  <c r="G134"/>
  <c r="I134" s="1"/>
  <c r="G136"/>
  <c r="I136" s="1"/>
  <c r="G138"/>
  <c r="I138" s="1"/>
  <c r="G140"/>
  <c r="I140" s="1"/>
  <c r="G142"/>
  <c r="I142" s="1"/>
  <c r="G144"/>
  <c r="I144" s="1"/>
  <c r="G146"/>
  <c r="I146" s="1"/>
  <c r="G148"/>
  <c r="I148" s="1"/>
  <c r="G150"/>
  <c r="I150" s="1"/>
  <c r="G152"/>
  <c r="I152" s="1"/>
  <c r="G154"/>
  <c r="I154" s="1"/>
  <c r="G156"/>
  <c r="I156" s="1"/>
  <c r="G158"/>
  <c r="I158" s="1"/>
  <c r="G162"/>
  <c r="I162" s="1"/>
  <c r="G164"/>
  <c r="I164" s="1"/>
  <c r="G166"/>
  <c r="I166" s="1"/>
  <c r="G168"/>
  <c r="I168" s="1"/>
  <c r="G170"/>
  <c r="I170" s="1"/>
  <c r="G172"/>
  <c r="I172" s="1"/>
  <c r="G174"/>
  <c r="I174" s="1"/>
  <c r="G176"/>
  <c r="I176" s="1"/>
  <c r="G178"/>
  <c r="I178" s="1"/>
  <c r="G180"/>
  <c r="I180" s="1"/>
  <c r="G182"/>
  <c r="I182" s="1"/>
  <c r="G184"/>
  <c r="I184" s="1"/>
  <c r="G186"/>
  <c r="I186" s="1"/>
  <c r="G188"/>
  <c r="I188" s="1"/>
  <c r="G190"/>
  <c r="I190" s="1"/>
  <c r="G192"/>
  <c r="I192" s="1"/>
  <c r="G194"/>
  <c r="I194" s="1"/>
  <c r="G196"/>
  <c r="I196" s="1"/>
  <c r="G200"/>
  <c r="I200" s="1"/>
  <c r="G202"/>
  <c r="I202" s="1"/>
  <c r="G204"/>
  <c r="I204" s="1"/>
  <c r="G206"/>
  <c r="I206" s="1"/>
  <c r="G208"/>
  <c r="I208" s="1"/>
  <c r="G210"/>
  <c r="I210" s="1"/>
  <c r="G215"/>
  <c r="I215" s="1"/>
  <c r="G217"/>
  <c r="I217" s="1"/>
  <c r="G219"/>
  <c r="I219" s="1"/>
  <c r="G221"/>
  <c r="I221" s="1"/>
  <c r="G223"/>
  <c r="I223" s="1"/>
  <c r="G228"/>
  <c r="I228" s="1"/>
  <c r="G230"/>
  <c r="I230" s="1"/>
  <c r="G232"/>
  <c r="I232" s="1"/>
  <c r="G234"/>
  <c r="I234" s="1"/>
  <c r="G236"/>
  <c r="I236" s="1"/>
  <c r="G238"/>
  <c r="I238" s="1"/>
  <c r="G240"/>
  <c r="I240" s="1"/>
  <c r="G242"/>
  <c r="I242" s="1"/>
  <c r="G244"/>
  <c r="I244" s="1"/>
  <c r="G246"/>
  <c r="I246" s="1"/>
  <c r="G248"/>
  <c r="I248" s="1"/>
  <c r="G250"/>
  <c r="I250" s="1"/>
  <c r="G52"/>
  <c r="F115"/>
  <c r="G115" s="1"/>
  <c r="I115" s="1"/>
  <c r="G116"/>
  <c r="I116" s="1"/>
  <c r="F117"/>
  <c r="G117" s="1"/>
  <c r="I117" s="1"/>
  <c r="G118"/>
  <c r="I118" s="1"/>
  <c r="F119"/>
  <c r="G119" s="1"/>
  <c r="I119" s="1"/>
  <c r="G120"/>
  <c r="I120" s="1"/>
  <c r="F121"/>
  <c r="G121" s="1"/>
  <c r="I121" s="1"/>
  <c r="G122"/>
  <c r="I122" s="1"/>
  <c r="F123"/>
  <c r="G123" s="1"/>
  <c r="I123" s="1"/>
  <c r="G124"/>
  <c r="I124" s="1"/>
  <c r="G125"/>
  <c r="I125" s="1"/>
  <c r="F126"/>
  <c r="G126" s="1"/>
  <c r="I126" s="1"/>
  <c r="F102"/>
  <c r="G102" s="1"/>
  <c r="I102" s="1"/>
  <c r="G103"/>
  <c r="I103" s="1"/>
  <c r="F104"/>
  <c r="G104" s="1"/>
  <c r="I104" s="1"/>
  <c r="G105"/>
  <c r="I105" s="1"/>
  <c r="F106"/>
  <c r="G106" s="1"/>
  <c r="I106" s="1"/>
  <c r="G107"/>
  <c r="I107" s="1"/>
  <c r="F108"/>
  <c r="G108" s="1"/>
  <c r="I108" s="1"/>
  <c r="G109"/>
  <c r="I109" s="1"/>
  <c r="F110"/>
  <c r="G110" s="1"/>
  <c r="I110" s="1"/>
  <c r="G111"/>
  <c r="I111" s="1"/>
  <c r="G112"/>
  <c r="I112" s="1"/>
  <c r="F113"/>
  <c r="G113" s="1"/>
  <c r="I113" s="1"/>
  <c r="G17"/>
  <c r="I17" s="1"/>
  <c r="G49"/>
  <c r="I49" s="1"/>
  <c r="F89"/>
  <c r="G89" s="1"/>
  <c r="I89" s="1"/>
  <c r="G90"/>
  <c r="I90" s="1"/>
  <c r="G91"/>
  <c r="I91" s="1"/>
  <c r="F92"/>
  <c r="G92" s="1"/>
  <c r="I92" s="1"/>
  <c r="G93"/>
  <c r="I93" s="1"/>
  <c r="F94"/>
  <c r="G94" s="1"/>
  <c r="I94" s="1"/>
  <c r="G95"/>
  <c r="I95" s="1"/>
  <c r="F96"/>
  <c r="G96" s="1"/>
  <c r="I96" s="1"/>
  <c r="G97"/>
  <c r="I97" s="1"/>
  <c r="G98"/>
  <c r="I98" s="1"/>
  <c r="F99"/>
  <c r="G99" s="1"/>
  <c r="I99" s="1"/>
  <c r="G42"/>
  <c r="G18"/>
  <c r="I18" s="1"/>
  <c r="G19"/>
  <c r="I19" s="1"/>
  <c r="F34"/>
  <c r="G34" s="1"/>
  <c r="I34" s="1"/>
  <c r="F38"/>
  <c r="G38" s="1"/>
  <c r="I38" s="1"/>
  <c r="G40"/>
  <c r="G44"/>
  <c r="I44" s="1"/>
  <c r="F47"/>
  <c r="G47" s="1"/>
  <c r="I47" s="1"/>
  <c r="G54"/>
  <c r="G57"/>
  <c r="I57" s="1"/>
  <c r="G59"/>
  <c r="F74"/>
  <c r="G74" s="1"/>
  <c r="I74" s="1"/>
  <c r="G75"/>
  <c r="I75" s="1"/>
  <c r="F76"/>
  <c r="G76" s="1"/>
  <c r="I76" s="1"/>
  <c r="G77"/>
  <c r="I77" s="1"/>
  <c r="F78"/>
  <c r="G78" s="1"/>
  <c r="I78" s="1"/>
  <c r="G79"/>
  <c r="I79" s="1"/>
  <c r="F80"/>
  <c r="G80" s="1"/>
  <c r="I80" s="1"/>
  <c r="G81"/>
  <c r="I81" s="1"/>
  <c r="F82"/>
  <c r="G82" s="1"/>
  <c r="I82" s="1"/>
  <c r="G83"/>
  <c r="I83" s="1"/>
  <c r="G84"/>
  <c r="I84" s="1"/>
  <c r="G85"/>
  <c r="I85" s="1"/>
  <c r="F86"/>
  <c r="G86" s="1"/>
  <c r="I86" s="1"/>
  <c r="F61"/>
  <c r="G61" s="1"/>
  <c r="I61" s="1"/>
  <c r="G62"/>
  <c r="I62" s="1"/>
  <c r="F63"/>
  <c r="G63" s="1"/>
  <c r="I63" s="1"/>
  <c r="G64"/>
  <c r="I64" s="1"/>
  <c r="F65"/>
  <c r="G65" s="1"/>
  <c r="I65" s="1"/>
  <c r="G66"/>
  <c r="I66" s="1"/>
  <c r="F67"/>
  <c r="G67" s="1"/>
  <c r="I67" s="1"/>
  <c r="G68"/>
  <c r="I68" s="1"/>
  <c r="F69"/>
  <c r="G69" s="1"/>
  <c r="I69" s="1"/>
  <c r="G70"/>
  <c r="I70" s="1"/>
  <c r="G71"/>
  <c r="I71" s="1"/>
  <c r="F72"/>
  <c r="G72" s="1"/>
  <c r="I72" s="1"/>
  <c r="I52"/>
  <c r="I54"/>
  <c r="I59"/>
  <c r="G50"/>
  <c r="I50" s="1"/>
  <c r="G51"/>
  <c r="I51" s="1"/>
  <c r="G53"/>
  <c r="I53" s="1"/>
  <c r="G55"/>
  <c r="I55" s="1"/>
  <c r="G56"/>
  <c r="I56" s="1"/>
  <c r="G58"/>
  <c r="I58" s="1"/>
  <c r="I40"/>
  <c r="I42"/>
  <c r="F36"/>
  <c r="G36" s="1"/>
  <c r="I36" s="1"/>
  <c r="G37"/>
  <c r="I37" s="1"/>
  <c r="G39"/>
  <c r="I39" s="1"/>
  <c r="G41"/>
  <c r="I41" s="1"/>
  <c r="G43"/>
  <c r="I43" s="1"/>
  <c r="G45"/>
  <c r="I45" s="1"/>
  <c r="G46"/>
  <c r="I46" s="1"/>
  <c r="F23"/>
  <c r="G23" s="1"/>
  <c r="I23" s="1"/>
  <c r="G24"/>
  <c r="I24" s="1"/>
  <c r="F25"/>
  <c r="G25" s="1"/>
  <c r="I25" s="1"/>
  <c r="G26"/>
  <c r="I26" s="1"/>
  <c r="F27"/>
  <c r="G27" s="1"/>
  <c r="I27" s="1"/>
  <c r="G28"/>
  <c r="I28" s="1"/>
  <c r="F29"/>
  <c r="G29" s="1"/>
  <c r="I29" s="1"/>
  <c r="G30"/>
  <c r="I30" s="1"/>
  <c r="F31"/>
  <c r="G31" s="1"/>
  <c r="I31" s="1"/>
  <c r="G32"/>
  <c r="I32" s="1"/>
  <c r="G33"/>
  <c r="I33" s="1"/>
  <c r="G16"/>
  <c r="I16" s="1"/>
  <c r="G175" i="4"/>
  <c r="I175" s="1"/>
  <c r="G248"/>
  <c r="I248" s="1"/>
  <c r="G152"/>
  <c r="I152" s="1"/>
  <c r="G181"/>
  <c r="I181" s="1"/>
  <c r="G76"/>
  <c r="I76" s="1"/>
  <c r="G105"/>
  <c r="I105" s="1"/>
  <c r="G103"/>
  <c r="I103" s="1"/>
  <c r="F104"/>
  <c r="G104" s="1"/>
  <c r="I104" s="1"/>
  <c r="F106"/>
  <c r="G106" s="1"/>
  <c r="I106" s="1"/>
  <c r="G150"/>
  <c r="I150" s="1"/>
  <c r="G151"/>
  <c r="I151" s="1"/>
  <c r="G153"/>
  <c r="I153" s="1"/>
  <c r="G100"/>
  <c r="I100" s="1"/>
  <c r="F99"/>
  <c r="G99" s="1"/>
  <c r="I99" s="1"/>
  <c r="F101"/>
  <c r="G101" s="1"/>
  <c r="I101" s="1"/>
  <c r="G144"/>
  <c r="I144" s="1"/>
  <c r="G146"/>
  <c r="I146" s="1"/>
  <c r="F145"/>
  <c r="G145" s="1"/>
  <c r="I145" s="1"/>
  <c r="F147"/>
  <c r="G147" s="1"/>
  <c r="I147" s="1"/>
  <c r="G92"/>
  <c r="I92" s="1"/>
  <c r="G93"/>
  <c r="I93" s="1"/>
  <c r="F95"/>
  <c r="G95" s="1"/>
  <c r="I95" s="1"/>
  <c r="G138"/>
  <c r="I138" s="1"/>
  <c r="F139"/>
  <c r="G139" s="1"/>
  <c r="I139" s="1"/>
  <c r="F141"/>
  <c r="G141" s="1"/>
  <c r="I141" s="1"/>
  <c r="F87"/>
  <c r="G87" s="1"/>
  <c r="I87" s="1"/>
  <c r="F89"/>
  <c r="G89" s="1"/>
  <c r="I89" s="1"/>
  <c r="G133"/>
  <c r="I133" s="1"/>
  <c r="G134"/>
  <c r="I134" s="1"/>
  <c r="F136"/>
  <c r="G136" s="1"/>
  <c r="I136" s="1"/>
  <c r="G81"/>
  <c r="I81" s="1"/>
  <c r="G83"/>
  <c r="I83" s="1"/>
  <c r="F82"/>
  <c r="G82" s="1"/>
  <c r="I82" s="1"/>
  <c r="F84"/>
  <c r="G84" s="1"/>
  <c r="I84" s="1"/>
  <c r="G128"/>
  <c r="I128" s="1"/>
  <c r="F129"/>
  <c r="G129" s="1"/>
  <c r="I129" s="1"/>
  <c r="F131"/>
  <c r="G131" s="1"/>
  <c r="I131" s="1"/>
  <c r="G79"/>
  <c r="I79" s="1"/>
  <c r="G78"/>
  <c r="I78" s="1"/>
  <c r="G77"/>
  <c r="I77" s="1"/>
  <c r="G246"/>
  <c r="I246" s="1"/>
  <c r="G247"/>
  <c r="I247" s="1"/>
  <c r="I250" s="1"/>
  <c r="J250" s="1"/>
  <c r="L250" s="1"/>
  <c r="G249"/>
  <c r="I249" s="1"/>
  <c r="F251"/>
  <c r="G251" s="1"/>
  <c r="I251" s="1"/>
  <c r="F252"/>
  <c r="G252" s="1"/>
  <c r="I252" s="1"/>
  <c r="F253"/>
  <c r="G253" s="1"/>
  <c r="I253" s="1"/>
  <c r="F254"/>
  <c r="G254" s="1"/>
  <c r="I254" s="1"/>
  <c r="F256"/>
  <c r="G256" s="1"/>
  <c r="I256" s="1"/>
  <c r="F257"/>
  <c r="G257" s="1"/>
  <c r="I257" s="1"/>
  <c r="F258"/>
  <c r="G258" s="1"/>
  <c r="I258" s="1"/>
  <c r="F259"/>
  <c r="G259" s="1"/>
  <c r="I259" s="1"/>
  <c r="F261"/>
  <c r="G261" s="1"/>
  <c r="I261" s="1"/>
  <c r="F262"/>
  <c r="G262" s="1"/>
  <c r="I262" s="1"/>
  <c r="F263"/>
  <c r="G263" s="1"/>
  <c r="I263" s="1"/>
  <c r="F264"/>
  <c r="G264" s="1"/>
  <c r="I264" s="1"/>
  <c r="F266"/>
  <c r="G266" s="1"/>
  <c r="I266" s="1"/>
  <c r="F267"/>
  <c r="G267" s="1"/>
  <c r="I267" s="1"/>
  <c r="F268"/>
  <c r="G268" s="1"/>
  <c r="I268" s="1"/>
  <c r="F269"/>
  <c r="G269" s="1"/>
  <c r="I269" s="1"/>
  <c r="F271"/>
  <c r="G271" s="1"/>
  <c r="I271" s="1"/>
  <c r="F272"/>
  <c r="G272" s="1"/>
  <c r="I272" s="1"/>
  <c r="F273"/>
  <c r="G273" s="1"/>
  <c r="I273" s="1"/>
  <c r="F274"/>
  <c r="G274" s="1"/>
  <c r="I274" s="1"/>
  <c r="F277"/>
  <c r="G277" s="1"/>
  <c r="I277" s="1"/>
  <c r="F278"/>
  <c r="G278" s="1"/>
  <c r="I278" s="1"/>
  <c r="F279"/>
  <c r="G279" s="1"/>
  <c r="I279" s="1"/>
  <c r="F280"/>
  <c r="G280" s="1"/>
  <c r="I280" s="1"/>
  <c r="F283"/>
  <c r="G283" s="1"/>
  <c r="I283" s="1"/>
  <c r="F284"/>
  <c r="G284" s="1"/>
  <c r="I284" s="1"/>
  <c r="F285"/>
  <c r="G285" s="1"/>
  <c r="I285" s="1"/>
  <c r="F286"/>
  <c r="G286" s="1"/>
  <c r="I286" s="1"/>
  <c r="F288"/>
  <c r="G288" s="1"/>
  <c r="I288" s="1"/>
  <c r="F289"/>
  <c r="G289" s="1"/>
  <c r="I289" s="1"/>
  <c r="F290"/>
  <c r="G290" s="1"/>
  <c r="I290" s="1"/>
  <c r="F291"/>
  <c r="G291" s="1"/>
  <c r="I291" s="1"/>
  <c r="G236"/>
  <c r="I236" s="1"/>
  <c r="G231"/>
  <c r="I231" s="1"/>
  <c r="G228"/>
  <c r="I228" s="1"/>
  <c r="G219"/>
  <c r="I219" s="1"/>
  <c r="G222"/>
  <c r="I222" s="1"/>
  <c r="L198"/>
  <c r="G199"/>
  <c r="I199" s="1"/>
  <c r="G200"/>
  <c r="I200" s="1"/>
  <c r="G201"/>
  <c r="I201" s="1"/>
  <c r="G202"/>
  <c r="I202" s="1"/>
  <c r="G207"/>
  <c r="I207" s="1"/>
  <c r="I208" s="1"/>
  <c r="J208" s="1"/>
  <c r="L208" s="1"/>
  <c r="G210"/>
  <c r="I210" s="1"/>
  <c r="G211"/>
  <c r="I211" s="1"/>
  <c r="G212"/>
  <c r="I212" s="1"/>
  <c r="G217"/>
  <c r="I217" s="1"/>
  <c r="I218" s="1"/>
  <c r="J218" s="1"/>
  <c r="L218" s="1"/>
  <c r="G220"/>
  <c r="I220" s="1"/>
  <c r="G225"/>
  <c r="I225" s="1"/>
  <c r="G226"/>
  <c r="I226" s="1"/>
  <c r="F232"/>
  <c r="G232" s="1"/>
  <c r="I232" s="1"/>
  <c r="F234"/>
  <c r="G234" s="1"/>
  <c r="I234" s="1"/>
  <c r="F237"/>
  <c r="G237" s="1"/>
  <c r="I237" s="1"/>
  <c r="F239"/>
  <c r="G239" s="1"/>
  <c r="I239" s="1"/>
  <c r="G185"/>
  <c r="I185" s="1"/>
  <c r="G157"/>
  <c r="I157" s="1"/>
  <c r="G25"/>
  <c r="I25" s="1"/>
  <c r="G164"/>
  <c r="I164" s="1"/>
  <c r="G165"/>
  <c r="I165" s="1"/>
  <c r="G166"/>
  <c r="I166" s="1"/>
  <c r="G169"/>
  <c r="I169" s="1"/>
  <c r="G170"/>
  <c r="I170" s="1"/>
  <c r="G171"/>
  <c r="I171" s="1"/>
  <c r="G174"/>
  <c r="I174" s="1"/>
  <c r="G179"/>
  <c r="I179" s="1"/>
  <c r="G187"/>
  <c r="I187" s="1"/>
  <c r="G167"/>
  <c r="I167" s="1"/>
  <c r="F172"/>
  <c r="G172" s="1"/>
  <c r="I172" s="1"/>
  <c r="F177"/>
  <c r="G177" s="1"/>
  <c r="I177" s="1"/>
  <c r="F180"/>
  <c r="G180" s="1"/>
  <c r="I180" s="1"/>
  <c r="F182"/>
  <c r="G182" s="1"/>
  <c r="I182" s="1"/>
  <c r="F186"/>
  <c r="G186" s="1"/>
  <c r="I186" s="1"/>
  <c r="F188"/>
  <c r="G188" s="1"/>
  <c r="I188" s="1"/>
  <c r="G155"/>
  <c r="I155" s="1"/>
  <c r="G123"/>
  <c r="I123" s="1"/>
  <c r="G124"/>
  <c r="I124" s="1"/>
  <c r="G125"/>
  <c r="I125" s="1"/>
  <c r="G126"/>
  <c r="I126" s="1"/>
  <c r="G113"/>
  <c r="I113" s="1"/>
  <c r="G114"/>
  <c r="I114" s="1"/>
  <c r="G115"/>
  <c r="I115" s="1"/>
  <c r="G116"/>
  <c r="I116" s="1"/>
  <c r="G118"/>
  <c r="I118" s="1"/>
  <c r="G119"/>
  <c r="I119" s="1"/>
  <c r="G120"/>
  <c r="I120" s="1"/>
  <c r="G121"/>
  <c r="I121" s="1"/>
  <c r="F156"/>
  <c r="G156" s="1"/>
  <c r="I156" s="1"/>
  <c r="F158"/>
  <c r="G158" s="1"/>
  <c r="I158" s="1"/>
  <c r="G71"/>
  <c r="I71" s="1"/>
  <c r="G72"/>
  <c r="I72" s="1"/>
  <c r="G73"/>
  <c r="I73" s="1"/>
  <c r="G74"/>
  <c r="I74" s="1"/>
  <c r="G61"/>
  <c r="I61" s="1"/>
  <c r="G62"/>
  <c r="I62" s="1"/>
  <c r="G63"/>
  <c r="I63" s="1"/>
  <c r="G64"/>
  <c r="I64" s="1"/>
  <c r="G66"/>
  <c r="I66" s="1"/>
  <c r="G67"/>
  <c r="I67" s="1"/>
  <c r="G68"/>
  <c r="I68" s="1"/>
  <c r="G69"/>
  <c r="I69" s="1"/>
  <c r="G51"/>
  <c r="I51" s="1"/>
  <c r="F52"/>
  <c r="G52" s="1"/>
  <c r="I52" s="1"/>
  <c r="F54"/>
  <c r="G54" s="1"/>
  <c r="I54" s="1"/>
  <c r="G46"/>
  <c r="I46" s="1"/>
  <c r="G47"/>
  <c r="I47" s="1"/>
  <c r="G48"/>
  <c r="I48" s="1"/>
  <c r="G49"/>
  <c r="I49" s="1"/>
  <c r="G40"/>
  <c r="I40" s="1"/>
  <c r="G41"/>
  <c r="I41" s="1"/>
  <c r="G42"/>
  <c r="I42" s="1"/>
  <c r="G43"/>
  <c r="I43" s="1"/>
  <c r="G36"/>
  <c r="I36" s="1"/>
  <c r="G35"/>
  <c r="I35" s="1"/>
  <c r="G26"/>
  <c r="I26" s="1"/>
  <c r="G34"/>
  <c r="I34" s="1"/>
  <c r="G29"/>
  <c r="I29" s="1"/>
  <c r="F30"/>
  <c r="G30" s="1"/>
  <c r="I30" s="1"/>
  <c r="F32"/>
  <c r="G32" s="1"/>
  <c r="I32" s="1"/>
  <c r="G27"/>
  <c r="I27" s="1"/>
  <c r="I28" s="1"/>
  <c r="J28" s="1"/>
  <c r="L28" s="1"/>
  <c r="G19"/>
  <c r="I19" s="1"/>
  <c r="F20"/>
  <c r="G20" s="1"/>
  <c r="I20" s="1"/>
  <c r="F22"/>
  <c r="G22" s="1"/>
  <c r="I22" s="1"/>
  <c r="G14"/>
  <c r="I14" s="1"/>
  <c r="G15"/>
  <c r="I15" s="1"/>
  <c r="G16"/>
  <c r="I16" s="1"/>
  <c r="G17"/>
  <c r="I17" s="1"/>
  <c r="G225" i="6"/>
  <c r="G226"/>
  <c r="G224"/>
  <c r="I148" i="7" l="1"/>
  <c r="K148" s="1"/>
  <c r="K141"/>
  <c r="L141" s="1"/>
  <c r="I155"/>
  <c r="K155" s="1"/>
  <c r="K149"/>
  <c r="L149" s="1"/>
  <c r="I170"/>
  <c r="K170" s="1"/>
  <c r="K163"/>
  <c r="L163" s="1"/>
  <c r="I177"/>
  <c r="K177" s="1"/>
  <c r="K171"/>
  <c r="L171" s="1"/>
  <c r="I199"/>
  <c r="K199" s="1"/>
  <c r="K193"/>
  <c r="L193" s="1"/>
  <c r="I27"/>
  <c r="K27" s="1"/>
  <c r="M273" i="1"/>
  <c r="K462"/>
  <c r="M462" s="1"/>
  <c r="J74"/>
  <c r="K74" s="1"/>
  <c r="M74" s="1"/>
  <c r="J252"/>
  <c r="K252" s="1"/>
  <c r="M252" s="1"/>
  <c r="J242"/>
  <c r="K242" s="1"/>
  <c r="M242" s="1"/>
  <c r="J232"/>
  <c r="K232" s="1"/>
  <c r="M232" s="1"/>
  <c r="J376"/>
  <c r="K376" s="1"/>
  <c r="M376" s="1"/>
  <c r="J370"/>
  <c r="K370" s="1"/>
  <c r="M370" s="1"/>
  <c r="J272"/>
  <c r="K272" s="1"/>
  <c r="M272" s="1"/>
  <c r="J128"/>
  <c r="K128" s="1"/>
  <c r="M128" s="1"/>
  <c r="J336"/>
  <c r="K336" s="1"/>
  <c r="M336" s="1"/>
  <c r="J94"/>
  <c r="K94" s="1"/>
  <c r="M94" s="1"/>
  <c r="J306"/>
  <c r="K306" s="1"/>
  <c r="M306" s="1"/>
  <c r="J138"/>
  <c r="K138" s="1"/>
  <c r="M138" s="1"/>
  <c r="K358"/>
  <c r="M358" s="1"/>
  <c r="K364"/>
  <c r="M364" s="1"/>
  <c r="J188"/>
  <c r="K188" s="1"/>
  <c r="M188" s="1"/>
  <c r="J346"/>
  <c r="K346" s="1"/>
  <c r="M346" s="1"/>
  <c r="J316"/>
  <c r="K316" s="1"/>
  <c r="M316" s="1"/>
  <c r="J282"/>
  <c r="M282" s="1"/>
  <c r="J296"/>
  <c r="K296" s="1"/>
  <c r="M296" s="1"/>
  <c r="J108"/>
  <c r="K108" s="1"/>
  <c r="M108" s="1"/>
  <c r="J168"/>
  <c r="K168" s="1"/>
  <c r="M168" s="1"/>
  <c r="J202"/>
  <c r="K202" s="1"/>
  <c r="M202" s="1"/>
  <c r="J262"/>
  <c r="K262" s="1"/>
  <c r="M262" s="1"/>
  <c r="J222"/>
  <c r="K222" s="1"/>
  <c r="M222" s="1"/>
  <c r="J178"/>
  <c r="K178" s="1"/>
  <c r="M178" s="1"/>
  <c r="J118"/>
  <c r="K118" s="1"/>
  <c r="M118" s="1"/>
  <c r="J148"/>
  <c r="K148" s="1"/>
  <c r="M148" s="1"/>
  <c r="J84"/>
  <c r="K84" s="1"/>
  <c r="M84" s="1"/>
  <c r="J64"/>
  <c r="K64" s="1"/>
  <c r="M64" s="1"/>
  <c r="J54"/>
  <c r="K54" s="1"/>
  <c r="M54" s="1"/>
  <c r="J44"/>
  <c r="K44" s="1"/>
  <c r="M44" s="1"/>
  <c r="L256" i="6"/>
  <c r="M256" s="1"/>
  <c r="M232"/>
  <c r="I211"/>
  <c r="I37"/>
  <c r="K37" s="1"/>
  <c r="I53"/>
  <c r="K53" s="1"/>
  <c r="I91"/>
  <c r="K91" s="1"/>
  <c r="I85"/>
  <c r="K85" s="1"/>
  <c r="I107"/>
  <c r="K107" s="1"/>
  <c r="I135"/>
  <c r="K135" s="1"/>
  <c r="I43"/>
  <c r="K43" s="1"/>
  <c r="I167"/>
  <c r="K167" s="1"/>
  <c r="I177"/>
  <c r="K177" s="1"/>
  <c r="I183"/>
  <c r="K183" s="1"/>
  <c r="I155"/>
  <c r="K155" s="1"/>
  <c r="I161"/>
  <c r="K161" s="1"/>
  <c r="I205"/>
  <c r="K205" s="1"/>
  <c r="I113"/>
  <c r="K113" s="1"/>
  <c r="I123"/>
  <c r="K123" s="1"/>
  <c r="I97"/>
  <c r="K97" s="1"/>
  <c r="I65"/>
  <c r="K65" s="1"/>
  <c r="I59"/>
  <c r="K59" s="1"/>
  <c r="I27"/>
  <c r="K27" s="1"/>
  <c r="K20"/>
  <c r="I21"/>
  <c r="K21" s="1"/>
  <c r="I337" i="5"/>
  <c r="K337" s="1"/>
  <c r="I323"/>
  <c r="K323" s="1"/>
  <c r="I310"/>
  <c r="K310" s="1"/>
  <c r="I298"/>
  <c r="K298" s="1"/>
  <c r="I285"/>
  <c r="K285" s="1"/>
  <c r="I364"/>
  <c r="K364" s="1"/>
  <c r="I350"/>
  <c r="K350" s="1"/>
  <c r="I377"/>
  <c r="I272"/>
  <c r="K272" s="1"/>
  <c r="I252"/>
  <c r="K252" s="1"/>
  <c r="I225"/>
  <c r="K225" s="1"/>
  <c r="I212"/>
  <c r="K212" s="1"/>
  <c r="I173"/>
  <c r="K173" s="1"/>
  <c r="I198"/>
  <c r="K198" s="1"/>
  <c r="I185"/>
  <c r="K185" s="1"/>
  <c r="I160"/>
  <c r="K160" s="1"/>
  <c r="I147"/>
  <c r="K147" s="1"/>
  <c r="I239"/>
  <c r="K239" s="1"/>
  <c r="I127"/>
  <c r="K127" s="1"/>
  <c r="I114"/>
  <c r="K114" s="1"/>
  <c r="I100"/>
  <c r="K100" s="1"/>
  <c r="I87"/>
  <c r="K87" s="1"/>
  <c r="I73"/>
  <c r="K73" s="1"/>
  <c r="I60"/>
  <c r="K60" s="1"/>
  <c r="I48"/>
  <c r="K48" s="1"/>
  <c r="I35"/>
  <c r="K35" s="1"/>
  <c r="I38" i="4"/>
  <c r="J38" s="1"/>
  <c r="L38" s="1"/>
  <c r="I159"/>
  <c r="L159" s="1"/>
  <c r="I107"/>
  <c r="J107" s="1"/>
  <c r="L107" s="1"/>
  <c r="I154"/>
  <c r="J154" s="1"/>
  <c r="L154" s="1"/>
  <c r="I102"/>
  <c r="J102" s="1"/>
  <c r="L102" s="1"/>
  <c r="I148"/>
  <c r="J148" s="1"/>
  <c r="L148" s="1"/>
  <c r="I96"/>
  <c r="J96" s="1"/>
  <c r="L96" s="1"/>
  <c r="I142"/>
  <c r="J142" s="1"/>
  <c r="L142" s="1"/>
  <c r="I90"/>
  <c r="J90" s="1"/>
  <c r="L90" s="1"/>
  <c r="I137"/>
  <c r="J137" s="1"/>
  <c r="L137" s="1"/>
  <c r="I85"/>
  <c r="J85" s="1"/>
  <c r="L85" s="1"/>
  <c r="I132"/>
  <c r="J132" s="1"/>
  <c r="L132" s="1"/>
  <c r="I80"/>
  <c r="J80" s="1"/>
  <c r="L80" s="1"/>
  <c r="I292"/>
  <c r="J292" s="1"/>
  <c r="I287"/>
  <c r="J287" s="1"/>
  <c r="I281"/>
  <c r="J281" s="1"/>
  <c r="I275"/>
  <c r="J275" s="1"/>
  <c r="I270"/>
  <c r="J270" s="1"/>
  <c r="I265"/>
  <c r="J265" s="1"/>
  <c r="I260"/>
  <c r="J260" s="1"/>
  <c r="I255"/>
  <c r="J255" s="1"/>
  <c r="I223"/>
  <c r="J223" s="1"/>
  <c r="L223" s="1"/>
  <c r="I213"/>
  <c r="J213" s="1"/>
  <c r="L213" s="1"/>
  <c r="I240"/>
  <c r="J240" s="1"/>
  <c r="L240" s="1"/>
  <c r="I235"/>
  <c r="J235" s="1"/>
  <c r="L235" s="1"/>
  <c r="I203"/>
  <c r="J203" s="1"/>
  <c r="L203" s="1"/>
  <c r="I229"/>
  <c r="J229" s="1"/>
  <c r="L229" s="1"/>
  <c r="I178"/>
  <c r="J178" s="1"/>
  <c r="L178" s="1"/>
  <c r="I173"/>
  <c r="J173" s="1"/>
  <c r="L173" s="1"/>
  <c r="I168"/>
  <c r="J168" s="1"/>
  <c r="L168" s="1"/>
  <c r="I189"/>
  <c r="J189" s="1"/>
  <c r="L189" s="1"/>
  <c r="I183"/>
  <c r="J183" s="1"/>
  <c r="L183" s="1"/>
  <c r="I127"/>
  <c r="J127" s="1"/>
  <c r="L127" s="1"/>
  <c r="I117"/>
  <c r="J117" s="1"/>
  <c r="L117" s="1"/>
  <c r="I122"/>
  <c r="J122" s="1"/>
  <c r="L122" s="1"/>
  <c r="I75"/>
  <c r="I65"/>
  <c r="I70"/>
  <c r="I55"/>
  <c r="J55" s="1"/>
  <c r="L55" s="1"/>
  <c r="I50"/>
  <c r="J50" s="1"/>
  <c r="L50" s="1"/>
  <c r="I44"/>
  <c r="J44" s="1"/>
  <c r="L44" s="1"/>
  <c r="I33"/>
  <c r="I23"/>
  <c r="I18"/>
  <c r="L255" l="1"/>
  <c r="L265"/>
  <c r="J297"/>
  <c r="L297" s="1"/>
  <c r="L275"/>
  <c r="J299"/>
  <c r="L299" s="1"/>
  <c r="L287"/>
  <c r="J301"/>
  <c r="L301" s="1"/>
  <c r="L260"/>
  <c r="L270"/>
  <c r="L281"/>
  <c r="J300"/>
  <c r="L300" s="1"/>
  <c r="L292"/>
  <c r="J302"/>
  <c r="L302" s="1"/>
  <c r="J75"/>
  <c r="L75" s="1"/>
  <c r="J70"/>
  <c r="L70" s="1"/>
  <c r="J65"/>
  <c r="L65" s="1"/>
  <c r="J33"/>
  <c r="L33" s="1"/>
  <c r="J23"/>
  <c r="L23" s="1"/>
  <c r="J18"/>
  <c r="L18" s="1"/>
  <c r="J296" l="1"/>
  <c r="L296" s="1"/>
  <c r="J298"/>
  <c r="L298" s="1"/>
  <c r="J295"/>
  <c r="L295" s="1"/>
  <c r="G223" i="6" l="1"/>
  <c r="J223"/>
  <c r="L223" s="1"/>
  <c r="M223" l="1"/>
  <c r="J222"/>
  <c r="L222" s="1"/>
  <c r="L260" s="1"/>
  <c r="M260" s="1"/>
  <c r="J221"/>
  <c r="L221" s="1"/>
  <c r="M221" s="1"/>
  <c r="G220"/>
  <c r="J220"/>
  <c r="M222" l="1"/>
  <c r="L220"/>
  <c r="M220" s="1"/>
  <c r="G222"/>
  <c r="G221"/>
  <c r="C13" i="1" l="1"/>
  <c r="G12" i="7" l="1"/>
  <c r="I12" s="1"/>
  <c r="G11"/>
  <c r="I11" s="1"/>
  <c r="G10"/>
  <c r="I10" s="1"/>
  <c r="G20" i="5" l="1"/>
  <c r="I20" s="1"/>
  <c r="G21"/>
  <c r="I21" s="1"/>
  <c r="G12"/>
  <c r="I12" s="1"/>
  <c r="G13"/>
  <c r="I13" s="1"/>
  <c r="G14"/>
  <c r="I14" s="1"/>
  <c r="G7"/>
  <c r="I7" s="1"/>
  <c r="G9" i="7" l="1"/>
  <c r="I9" l="1"/>
  <c r="G8"/>
  <c r="I8" s="1"/>
  <c r="G7"/>
  <c r="I7" s="1"/>
  <c r="K7" s="1"/>
  <c r="L7" s="1"/>
  <c r="G9" i="1"/>
  <c r="H9" s="1"/>
  <c r="I9"/>
  <c r="G10"/>
  <c r="H10" s="1"/>
  <c r="I10"/>
  <c r="G11"/>
  <c r="H11" s="1"/>
  <c r="I11"/>
  <c r="I13" i="7" l="1"/>
  <c r="K13" s="1"/>
  <c r="J11" i="1"/>
  <c r="J12"/>
  <c r="J10"/>
  <c r="J9"/>
  <c r="I6" i="6" l="1"/>
  <c r="G15" i="5"/>
  <c r="I15" s="1"/>
  <c r="G11"/>
  <c r="I11" s="1"/>
  <c r="G9"/>
  <c r="I9" s="1"/>
  <c r="G10"/>
  <c r="G8"/>
  <c r="I8" s="1"/>
  <c r="G10" i="4"/>
  <c r="I10" s="1"/>
  <c r="G9"/>
  <c r="I9" s="1"/>
  <c r="G11"/>
  <c r="I11" s="1"/>
  <c r="G12"/>
  <c r="I12" s="1"/>
  <c r="I14" i="6" l="1"/>
  <c r="K14" s="1"/>
  <c r="I13"/>
  <c r="I15" s="1"/>
  <c r="K15" s="1"/>
  <c r="I13" i="4"/>
  <c r="J13" s="1"/>
  <c r="J294" s="1"/>
  <c r="L294" s="1"/>
  <c r="I10" i="5"/>
  <c r="I22" l="1"/>
  <c r="K22" s="1"/>
  <c r="G6" i="1"/>
  <c r="H6" s="1"/>
  <c r="I7" l="1"/>
  <c r="I8"/>
  <c r="I6"/>
  <c r="J6" s="1"/>
  <c r="G8"/>
  <c r="H8" s="1"/>
  <c r="G7"/>
  <c r="H7" s="1"/>
  <c r="J8" l="1"/>
  <c r="J7"/>
  <c r="J13" l="1"/>
  <c r="J15"/>
  <c r="K15" s="1"/>
  <c r="L13" i="4"/>
  <c r="J14" i="1" l="1"/>
  <c r="M15"/>
  <c r="K14"/>
  <c r="M14" s="1"/>
</calcChain>
</file>

<file path=xl/sharedStrings.xml><?xml version="1.0" encoding="utf-8"?>
<sst xmlns="http://schemas.openxmlformats.org/spreadsheetml/2006/main" count="2661" uniqueCount="108">
  <si>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</si>
  <si>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</si>
  <si>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</si>
  <si>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</si>
  <si>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</si>
  <si>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</si>
  <si>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</si>
  <si>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</si>
  <si>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</si>
  <si>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</si>
  <si>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</si>
  <si>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</si>
  <si>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</si>
  <si>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</si>
  <si>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Единица измерения нормы</t>
  </si>
  <si>
    <t>Наименование затрат</t>
  </si>
  <si>
    <t>Нормативный объем</t>
  </si>
  <si>
    <t>договор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</si>
  <si>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</si>
  <si>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</si>
  <si>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</si>
  <si>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</si>
  <si>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</si>
  <si>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</si>
  <si>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</si>
  <si>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Гкал.</t>
  </si>
  <si>
    <t>м.куб.</t>
  </si>
  <si>
    <t>Общее полезное время использования имущест.комплекса</t>
  </si>
  <si>
    <t>Время использования имущ.комплекса на 1 уч.</t>
  </si>
  <si>
    <t>Норма ресурса на 1 ед. услуги</t>
  </si>
  <si>
    <t>Тариф (цена), руб.</t>
  </si>
  <si>
    <t>7=4/5*6</t>
  </si>
  <si>
    <t>9=7*8</t>
  </si>
  <si>
    <t>по норме</t>
  </si>
  <si>
    <t>в бюджете</t>
  </si>
  <si>
    <t>Затраты на содержание объектов недвижимого имущества</t>
  </si>
  <si>
    <t>Вывоз мусора</t>
  </si>
  <si>
    <t>Обслуживание пожарной сигнализации</t>
  </si>
  <si>
    <t>Обслуживание КТС</t>
  </si>
  <si>
    <t>Дератизация, дезинсекция</t>
  </si>
  <si>
    <t>Обслуживание аварийного освещения</t>
  </si>
  <si>
    <t>Замеры сопротивления э/проводки</t>
  </si>
  <si>
    <t>Затраты на содержание объектов особоценного движимого имущества, услуги связи</t>
  </si>
  <si>
    <t>заправка картриджей</t>
  </si>
  <si>
    <t>Связь</t>
  </si>
  <si>
    <t>кол-во номеров</t>
  </si>
  <si>
    <t>месяцев</t>
  </si>
  <si>
    <t>10=7*8*9</t>
  </si>
  <si>
    <t>Затраты на оплату труда (с начислениями) работников не принимающих непосредственно участие в оказани услуг</t>
  </si>
  <si>
    <t>уборщик служебного помещения</t>
  </si>
  <si>
    <t>сторож</t>
  </si>
  <si>
    <t>дворник</t>
  </si>
  <si>
    <t>Прочие затраты</t>
  </si>
  <si>
    <t>Норма затрат на 1 ед. услуги</t>
  </si>
  <si>
    <t>Строительные материалы</t>
  </si>
  <si>
    <t>Чистящие, моющие, дезинфицирующие средства, средства гигиены</t>
  </si>
  <si>
    <t>кв.м</t>
  </si>
  <si>
    <t>Тариф (цена 1 кв.м.), руб.</t>
  </si>
  <si>
    <t>Хозтовары</t>
  </si>
  <si>
    <t>6=гр.5/кол.воспит.</t>
  </si>
  <si>
    <t>Время использования имущ.комплекса на 1 восп.</t>
  </si>
  <si>
    <t>Обслуживание теплового узла</t>
  </si>
  <si>
    <t>Промывка, опресовка тепловых сетей</t>
  </si>
  <si>
    <t>муниципальный бюджет</t>
  </si>
  <si>
    <t>Госпошлина</t>
  </si>
  <si>
    <t>Налог за негативное воздейств.на окр.среду</t>
  </si>
  <si>
    <t>краевой бюджет</t>
  </si>
  <si>
    <t>Обучение персонала</t>
  </si>
  <si>
    <t>Медицинский осмотр</t>
  </si>
  <si>
    <t>рабочий по компл.обслуживанию здания</t>
  </si>
  <si>
    <t>Обслуживание "Стрелец-Мониторинг"</t>
  </si>
  <si>
    <t>Школа № 1</t>
  </si>
  <si>
    <t>Время использования имущ.комплекса на 1 учащ.</t>
  </si>
  <si>
    <t>учащихся</t>
  </si>
  <si>
    <t>Общее полезное время использования: 1) 247*8*(182/1974) =1976*0,0922=182,18</t>
  </si>
  <si>
    <t>Время использования имущественного комплекса на 1 восп.: 1)182,18/182= 1,00101</t>
  </si>
  <si>
    <t>Школа № 2</t>
  </si>
  <si>
    <t>Школа № 3</t>
  </si>
  <si>
    <t>Школа № 7</t>
  </si>
  <si>
    <t>Школа № 9</t>
  </si>
  <si>
    <t>Школа № 14</t>
  </si>
  <si>
    <t>Школа № 8</t>
  </si>
  <si>
    <t>Школа № 4</t>
  </si>
  <si>
    <t>Школа № 11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</si>
  <si>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</si>
  <si>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</si>
  <si>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</si>
  <si>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"Реализация дополнительных общеобразовательных общеразвивающих программ"</t>
  </si>
  <si>
    <t>норма на 1</t>
  </si>
  <si>
    <t>УСЛУГА "Предоставление питания"</t>
  </si>
  <si>
    <t>УСЛУГА "Присмотр и уход"</t>
  </si>
  <si>
    <t>Обслуживание видеонаблюдения</t>
  </si>
  <si>
    <t>возмещение расходов (мусор, охрана)</t>
  </si>
  <si>
    <t>Огнезащитная обработка</t>
  </si>
  <si>
    <t>Замена приборов учета</t>
  </si>
  <si>
    <t>Аккредитация, переоформл.лицензии</t>
  </si>
  <si>
    <t>ремонт оборудования</t>
  </si>
  <si>
    <t>обслуживание ГЛОНАСС</t>
  </si>
  <si>
    <t>автострахование</t>
  </si>
  <si>
    <t>тех.осмотр тр.ср.</t>
  </si>
  <si>
    <t>Техобслуживание тр.ср.</t>
  </si>
  <si>
    <t>ГСМ</t>
  </si>
  <si>
    <t>гардеробщик</t>
  </si>
  <si>
    <t>водитель</t>
  </si>
  <si>
    <t>УСЛУГА "Реализация основных общеобразовательных программ среднего образования"</t>
  </si>
  <si>
    <t xml:space="preserve">Затраты на прочие общехозяйственные нужды </t>
  </si>
  <si>
    <t>Зап.части на автотр.средство</t>
  </si>
  <si>
    <t>военно-полевые сборы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</si>
</sst>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0.0000"/>
    <numFmt numFmtId="167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2" fontId="0" fillId="0" borderId="3" xfId="0" applyNumberForma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0" fontId="0" fillId="0" borderId="7" xfId="0" applyBorder="1"/>
    <xf numFmtId="2" fontId="1" fillId="0" borderId="8" xfId="0" applyNumberFormat="1" applyFont="1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2" fontId="2" fillId="0" borderId="11" xfId="0" applyNumberFormat="1" applyFont="1" applyBorder="1"/>
    <xf numFmtId="2" fontId="3" fillId="0" borderId="10" xfId="0" applyNumberFormat="1" applyFont="1" applyBorder="1"/>
    <xf numFmtId="2" fontId="1" fillId="0" borderId="12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1" fillId="0" borderId="5" xfId="0" applyNumberFormat="1" applyFont="1" applyBorder="1"/>
    <xf numFmtId="165" fontId="1" fillId="0" borderId="1" xfId="0" applyNumberFormat="1" applyFont="1" applyBorder="1"/>
    <xf numFmtId="0" fontId="0" fillId="0" borderId="13" xfId="0" applyBorder="1"/>
    <xf numFmtId="0" fontId="1" fillId="0" borderId="2" xfId="0" applyFont="1" applyBorder="1"/>
    <xf numFmtId="2" fontId="0" fillId="0" borderId="2" xfId="0" applyNumberForma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0" xfId="0" applyFont="1"/>
    <xf numFmtId="165" fontId="1" fillId="0" borderId="15" xfId="0" applyNumberFormat="1" applyFont="1" applyBorder="1"/>
    <xf numFmtId="0" fontId="1" fillId="0" borderId="1" xfId="0" applyFont="1" applyBorder="1" applyAlignment="1">
      <alignment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/>
    <xf numFmtId="0" fontId="4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2" fontId="2" fillId="0" borderId="10" xfId="0" applyNumberFormat="1" applyFont="1" applyBorder="1"/>
    <xf numFmtId="165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2" fontId="1" fillId="0" borderId="0" xfId="0" applyNumberFormat="1" applyFont="1" applyBorder="1"/>
    <xf numFmtId="2" fontId="3" fillId="0" borderId="0" xfId="0" applyNumberFormat="1" applyFont="1" applyBorder="1"/>
    <xf numFmtId="2" fontId="2" fillId="0" borderId="0" xfId="0" applyNumberFormat="1" applyFont="1" applyBorder="1"/>
    <xf numFmtId="0" fontId="1" fillId="0" borderId="5" xfId="0" applyFont="1" applyBorder="1" applyAlignment="1">
      <alignment horizontal="center"/>
    </xf>
    <xf numFmtId="2" fontId="1" fillId="0" borderId="15" xfId="0" applyNumberFormat="1" applyFont="1" applyBorder="1"/>
    <xf numFmtId="165" fontId="1" fillId="0" borderId="16" xfId="0" applyNumberFormat="1" applyFont="1" applyBorder="1"/>
    <xf numFmtId="0" fontId="1" fillId="0" borderId="17" xfId="0" applyFont="1" applyBorder="1"/>
    <xf numFmtId="1" fontId="1" fillId="0" borderId="3" xfId="0" applyNumberFormat="1" applyFont="1" applyBorder="1"/>
    <xf numFmtId="0" fontId="0" fillId="0" borderId="7" xfId="0" applyBorder="1" applyAlignment="1">
      <alignment horizontal="left"/>
    </xf>
    <xf numFmtId="0" fontId="8" fillId="0" borderId="0" xfId="0" applyFont="1"/>
    <xf numFmtId="0" fontId="1" fillId="0" borderId="2" xfId="0" applyFont="1" applyBorder="1" applyAlignment="1">
      <alignment wrapText="1"/>
    </xf>
    <xf numFmtId="1" fontId="0" fillId="0" borderId="18" xfId="0" applyNumberFormat="1" applyBorder="1" applyAlignment="1">
      <alignment horizontal="center"/>
    </xf>
    <xf numFmtId="167" fontId="1" fillId="0" borderId="0" xfId="0" applyNumberFormat="1" applyFont="1"/>
    <xf numFmtId="0" fontId="0" fillId="0" borderId="19" xfId="0" applyBorder="1"/>
    <xf numFmtId="0" fontId="1" fillId="0" borderId="18" xfId="0" applyFont="1" applyBorder="1"/>
    <xf numFmtId="2" fontId="2" fillId="0" borderId="18" xfId="0" applyNumberFormat="1" applyFont="1" applyBorder="1"/>
    <xf numFmtId="2" fontId="2" fillId="0" borderId="20" xfId="0" applyNumberFormat="1" applyFont="1" applyBorder="1"/>
    <xf numFmtId="0" fontId="9" fillId="0" borderId="0" xfId="0" applyFont="1"/>
    <xf numFmtId="2" fontId="0" fillId="0" borderId="18" xfId="0" applyNumberFormat="1" applyBorder="1"/>
    <xf numFmtId="2" fontId="3" fillId="0" borderId="2" xfId="0" applyNumberFormat="1" applyFont="1" applyBorder="1"/>
    <xf numFmtId="2" fontId="2" fillId="0" borderId="2" xfId="0" applyNumberFormat="1" applyFont="1" applyBorder="1"/>
    <xf numFmtId="2" fontId="2" fillId="0" borderId="14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1" fillId="0" borderId="7" xfId="0" applyFont="1" applyBorder="1"/>
    <xf numFmtId="0" fontId="11" fillId="0" borderId="13" xfId="0" applyFont="1" applyBorder="1" applyAlignment="1">
      <alignment horizontal="left"/>
    </xf>
    <xf numFmtId="0" fontId="1" fillId="0" borderId="23" xfId="0" applyFont="1" applyBorder="1"/>
    <xf numFmtId="1" fontId="1" fillId="0" borderId="5" xfId="0" applyNumberFormat="1" applyFont="1" applyBorder="1"/>
    <xf numFmtId="164" fontId="1" fillId="0" borderId="0" xfId="0" applyNumberFormat="1" applyFont="1"/>
    <xf numFmtId="165" fontId="0" fillId="0" borderId="0" xfId="0" applyNumberFormat="1" applyBorder="1"/>
    <xf numFmtId="2" fontId="2" fillId="0" borderId="8" xfId="0" applyNumberFormat="1" applyFont="1" applyBorder="1"/>
    <xf numFmtId="0" fontId="0" fillId="0" borderId="24" xfId="0" applyBorder="1"/>
    <xf numFmtId="0" fontId="1" fillId="0" borderId="25" xfId="0" applyFont="1" applyBorder="1"/>
    <xf numFmtId="1" fontId="0" fillId="0" borderId="25" xfId="0" applyNumberFormat="1" applyBorder="1" applyAlignment="1">
      <alignment horizontal="center"/>
    </xf>
    <xf numFmtId="2" fontId="2" fillId="0" borderId="25" xfId="0" applyNumberFormat="1" applyFont="1" applyBorder="1"/>
    <xf numFmtId="2" fontId="2" fillId="0" borderId="26" xfId="0" applyNumberFormat="1" applyFont="1" applyBorder="1"/>
    <xf numFmtId="2" fontId="2" fillId="0" borderId="6" xfId="0" applyNumberFormat="1" applyFont="1" applyBorder="1"/>
    <xf numFmtId="0" fontId="1" fillId="0" borderId="10" xfId="0" applyFont="1" applyBorder="1" applyAlignment="1">
      <alignment wrapText="1"/>
    </xf>
    <xf numFmtId="165" fontId="1" fillId="0" borderId="10" xfId="0" applyNumberFormat="1" applyFont="1" applyBorder="1"/>
    <xf numFmtId="166" fontId="0" fillId="0" borderId="10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1" fontId="0" fillId="0" borderId="21" xfId="0" applyNumberFormat="1" applyBorder="1" applyAlignment="1">
      <alignment horizontal="right"/>
    </xf>
    <xf numFmtId="1" fontId="0" fillId="0" borderId="22" xfId="0" applyNumberFormat="1" applyBorder="1" applyAlignment="1">
      <alignment horizontal="right"/>
    </xf>
    <xf numFmtId="0" fontId="1" fillId="2" borderId="1" xfId="0" applyFont="1" applyFill="1" applyBorder="1"/>
    <xf numFmtId="49" fontId="1" fillId="0" borderId="5" xfId="0" applyNumberFormat="1" applyFont="1" applyBorder="1" applyAlignment="1">
      <alignment horizontal="right"/>
    </xf>
    <xf numFmtId="0" fontId="6" fillId="0" borderId="0" xfId="0" applyFont="1" applyAlignment="1"/>
    <xf numFmtId="0" fontId="1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02"/>
  <sheetViews>
    <sheetView topLeftCell="A5" zoomScale="90" zoomScaleNormal="90" workbookViewId="0">
      <pane xSplit="1" ySplit="4" topLeftCell="B9" activePane="bottomRight" state="frozen"/>
      <selection activeCell="A5" sqref="A5"/>
      <selection pane="topRight" activeCell="B5" sqref="B5"/>
      <selection pane="bottomLeft" activeCell="A9" sqref="A9"/>
      <selection pane="bottomRight" activeCell="A5" sqref="A5:XFD5"/>
    </sheetView>
  </sheetViews>
  <sheetFormatPr defaultRowHeight="15"/>
  <cols>
    <col min="1" max="1" width="16.85546875" customWidth="1"/>
    <col min="2" max="2" width="15.7109375" style="1" customWidth="1"/>
    <col min="3" max="3" width="10.42578125" style="1" customWidth="1"/>
    <col min="4" max="4" width="11.28515625" style="1" customWidth="1"/>
    <col min="5" max="5" width="13.85546875" style="1" customWidth="1"/>
    <col min="6" max="6" width="13.42578125" style="1" customWidth="1"/>
    <col min="7" max="7" width="12.5703125" customWidth="1"/>
    <col min="8" max="8" width="9.140625" customWidth="1"/>
    <col min="9" max="9" width="10.85546875" style="1" customWidth="1"/>
    <col min="10" max="10" width="10.42578125" style="1" customWidth="1"/>
    <col min="11" max="11" width="10.7109375" style="1" customWidth="1"/>
    <col min="12" max="12" width="7.85546875" style="1" customWidth="1"/>
    <col min="13" max="13" width="11" style="1" customWidth="1"/>
    <col min="14" max="19" width="9.140625" style="1"/>
  </cols>
  <sheetData>
    <row r="1" spans="1:20" ht="23.25" customHeight="1">
      <c r="A1" s="98" t="s">
        <v>18</v>
      </c>
      <c r="B1" s="98"/>
      <c r="C1" s="98"/>
      <c r="D1" s="98"/>
      <c r="E1" s="98"/>
      <c r="F1" s="98"/>
      <c r="G1" s="98"/>
      <c r="H1" s="98"/>
      <c r="I1" s="98"/>
    </row>
    <row r="2" spans="1:20" ht="15.75">
      <c r="A2" s="42" t="s">
        <v>74</v>
      </c>
    </row>
    <row r="3" spans="1:20" ht="15.75">
      <c r="A3" s="42" t="s">
        <v>75</v>
      </c>
    </row>
    <row r="4" spans="1:20" ht="15.75">
      <c r="A4" s="42"/>
    </row>
    <row r="5" spans="1:20" ht="18.75">
      <c r="A5" s="73" t="s">
        <v>84</v>
      </c>
      <c r="T5" s="1"/>
    </row>
    <row r="6" spans="1:20" ht="15.75" thickBot="1">
      <c r="G6" s="65" t="s">
        <v>63</v>
      </c>
    </row>
    <row r="7" spans="1:20" ht="105">
      <c r="A7" s="27" t="s">
        <v>2</v>
      </c>
      <c r="B7" s="28" t="s">
        <v>19</v>
      </c>
      <c r="C7" s="28" t="s">
        <v>14</v>
      </c>
      <c r="D7" s="28" t="s">
        <v>16</v>
      </c>
      <c r="E7" s="28" t="s">
        <v>27</v>
      </c>
      <c r="F7" s="28" t="s">
        <v>72</v>
      </c>
      <c r="G7" s="28" t="s">
        <v>29</v>
      </c>
      <c r="H7" s="28" t="s">
        <v>30</v>
      </c>
      <c r="I7" s="29" t="s">
        <v>11</v>
      </c>
      <c r="J7" s="2" t="s">
        <v>33</v>
      </c>
      <c r="K7" s="2" t="s">
        <v>34</v>
      </c>
      <c r="L7" s="2"/>
      <c r="M7" s="1" t="s">
        <v>88</v>
      </c>
    </row>
    <row r="8" spans="1:20" ht="15.75" thickBot="1">
      <c r="A8" s="30">
        <v>1</v>
      </c>
      <c r="B8" s="31">
        <v>2</v>
      </c>
      <c r="C8" s="31">
        <v>3</v>
      </c>
      <c r="D8" s="31">
        <v>4</v>
      </c>
      <c r="E8" s="31">
        <v>5</v>
      </c>
      <c r="F8" s="31" t="s">
        <v>59</v>
      </c>
      <c r="G8" s="31" t="s">
        <v>31</v>
      </c>
      <c r="H8" s="32">
        <v>8</v>
      </c>
      <c r="I8" s="33" t="s">
        <v>32</v>
      </c>
    </row>
    <row r="9" spans="1:20">
      <c r="A9" s="13" t="s">
        <v>71</v>
      </c>
      <c r="B9" s="11" t="s">
        <v>20</v>
      </c>
      <c r="C9" s="39" t="s">
        <v>24</v>
      </c>
      <c r="D9" s="63">
        <f>43000*0.4</f>
        <v>17200</v>
      </c>
      <c r="E9" s="60">
        <f>247*8*(A11/1974)</f>
        <v>182.18439716312056</v>
      </c>
      <c r="F9" s="61">
        <f>E9/A11</f>
        <v>1.0010131712259371</v>
      </c>
      <c r="G9" s="45">
        <f>D9/E9*F9</f>
        <v>94.505494505494497</v>
      </c>
      <c r="H9" s="12">
        <v>5.36</v>
      </c>
      <c r="I9" s="26">
        <f>H9*G9</f>
        <v>506.54945054945051</v>
      </c>
    </row>
    <row r="10" spans="1:20">
      <c r="A10" s="81" t="s">
        <v>73</v>
      </c>
      <c r="B10" s="5" t="s">
        <v>21</v>
      </c>
      <c r="C10" s="40" t="s">
        <v>25</v>
      </c>
      <c r="D10" s="8">
        <f>(750-100+9.29435)*0.4</f>
        <v>263.71773999999999</v>
      </c>
      <c r="E10" s="7">
        <f>247*8*(A11/1974)</f>
        <v>182.18439716312056</v>
      </c>
      <c r="F10" s="35">
        <f>E10/A11</f>
        <v>1.0010131712259371</v>
      </c>
      <c r="G10" s="45">
        <f>D10/E10*F10</f>
        <v>1.4489985714285714</v>
      </c>
      <c r="H10" s="6">
        <v>1448.6</v>
      </c>
      <c r="I10" s="26">
        <f t="shared" ref="I10:I12" si="0">H10*G10</f>
        <v>2099.0193305714283</v>
      </c>
    </row>
    <row r="11" spans="1:20">
      <c r="A11" s="82">
        <v>182</v>
      </c>
      <c r="B11" s="37" t="s">
        <v>22</v>
      </c>
      <c r="C11" s="41" t="s">
        <v>26</v>
      </c>
      <c r="D11" s="37">
        <f>950*0.4</f>
        <v>380</v>
      </c>
      <c r="E11" s="7">
        <f>247*8*(A11/1974)</f>
        <v>182.18439716312056</v>
      </c>
      <c r="F11" s="35">
        <f>E11/A11</f>
        <v>1.0010131712259371</v>
      </c>
      <c r="G11" s="45">
        <f t="shared" ref="G11:G12" si="1">D11/E11*F11</f>
        <v>2.087912087912088</v>
      </c>
      <c r="H11" s="38">
        <v>28.7</v>
      </c>
      <c r="I11" s="26">
        <f t="shared" si="0"/>
        <v>59.923076923076927</v>
      </c>
    </row>
    <row r="12" spans="1:20">
      <c r="A12" s="36"/>
      <c r="B12" s="37" t="s">
        <v>23</v>
      </c>
      <c r="C12" s="41" t="s">
        <v>26</v>
      </c>
      <c r="D12" s="37">
        <f>1510*0.4</f>
        <v>604</v>
      </c>
      <c r="E12" s="7">
        <f>247*8*(A11/1974)</f>
        <v>182.18439716312056</v>
      </c>
      <c r="F12" s="35">
        <f>E12/A11</f>
        <v>1.0010131712259371</v>
      </c>
      <c r="G12" s="45">
        <f t="shared" si="1"/>
        <v>3.3186813186813184</v>
      </c>
      <c r="H12" s="38">
        <v>40.76</v>
      </c>
      <c r="I12" s="26">
        <f t="shared" si="0"/>
        <v>135.26945054945054</v>
      </c>
    </row>
    <row r="13" spans="1:20" s="1" customFormat="1" ht="15.75" thickBot="1">
      <c r="A13" s="20"/>
      <c r="B13" s="21"/>
      <c r="C13" s="21"/>
      <c r="D13" s="21"/>
      <c r="E13" s="21"/>
      <c r="F13" s="21"/>
      <c r="G13" s="46"/>
      <c r="H13" s="25"/>
      <c r="I13" s="24">
        <f>SUM(I9:I12)</f>
        <v>2800.7613085934067</v>
      </c>
      <c r="J13" s="3">
        <f>I13*182</f>
        <v>509738.55816400005</v>
      </c>
      <c r="K13" s="3">
        <f>(1308558-17105.8-17105.8)*0.4</f>
        <v>509738.56</v>
      </c>
      <c r="L13" s="3">
        <f>K13-J13</f>
        <v>1.8359999521635473E-3</v>
      </c>
    </row>
    <row r="14" spans="1:20">
      <c r="A14" s="13" t="s">
        <v>76</v>
      </c>
      <c r="B14" s="11" t="s">
        <v>20</v>
      </c>
      <c r="C14" s="39" t="s">
        <v>24</v>
      </c>
      <c r="D14" s="63">
        <f>89000*0.54</f>
        <v>48060</v>
      </c>
      <c r="E14" s="60">
        <f>247*8*(A16/1974)</f>
        <v>294.2978723404255</v>
      </c>
      <c r="F14" s="61">
        <f>E14/A16</f>
        <v>1.0010131712259371</v>
      </c>
      <c r="G14" s="45">
        <f>D14/E14*F14</f>
        <v>163.46938775510205</v>
      </c>
      <c r="H14" s="12">
        <v>5.36</v>
      </c>
      <c r="I14" s="26">
        <f>H14*G14</f>
        <v>876.19591836734708</v>
      </c>
    </row>
    <row r="15" spans="1:20">
      <c r="A15" s="81" t="s">
        <v>73</v>
      </c>
      <c r="B15" s="5" t="s">
        <v>21</v>
      </c>
      <c r="C15" s="40" t="s">
        <v>25</v>
      </c>
      <c r="D15" s="8">
        <f>(1207-150+4.27686)*0.54</f>
        <v>573.08950440000001</v>
      </c>
      <c r="E15" s="7">
        <f>247*8*(A16/1974)</f>
        <v>294.2978723404255</v>
      </c>
      <c r="F15" s="35">
        <f>E15/A16</f>
        <v>1.0010131712259371</v>
      </c>
      <c r="G15" s="45">
        <f>D15/E15*F15</f>
        <v>1.9492840285714288</v>
      </c>
      <c r="H15" s="6">
        <v>1448.6</v>
      </c>
      <c r="I15" s="26">
        <f t="shared" ref="I15:I17" si="2">H15*G15</f>
        <v>2823.7328437885717</v>
      </c>
    </row>
    <row r="16" spans="1:20">
      <c r="A16" s="82">
        <v>294</v>
      </c>
      <c r="B16" s="37" t="s">
        <v>22</v>
      </c>
      <c r="C16" s="41" t="s">
        <v>26</v>
      </c>
      <c r="D16" s="37">
        <f>1600*0.54</f>
        <v>864</v>
      </c>
      <c r="E16" s="7">
        <f>247*8*(A16/1974)</f>
        <v>294.2978723404255</v>
      </c>
      <c r="F16" s="35">
        <f>E16/A16</f>
        <v>1.0010131712259371</v>
      </c>
      <c r="G16" s="45">
        <f t="shared" ref="G16:G17" si="3">D16/E16*F16</f>
        <v>2.9387755102040818</v>
      </c>
      <c r="H16" s="38">
        <v>28.7</v>
      </c>
      <c r="I16" s="26">
        <f t="shared" si="2"/>
        <v>84.342857142857142</v>
      </c>
    </row>
    <row r="17" spans="1:12">
      <c r="A17" s="36"/>
      <c r="B17" s="37" t="s">
        <v>23</v>
      </c>
      <c r="C17" s="41" t="s">
        <v>26</v>
      </c>
      <c r="D17" s="37">
        <f>1600*0.54</f>
        <v>864</v>
      </c>
      <c r="E17" s="7">
        <f>247*8*(A16/1974)</f>
        <v>294.2978723404255</v>
      </c>
      <c r="F17" s="35">
        <f>E17/A16</f>
        <v>1.0010131712259371</v>
      </c>
      <c r="G17" s="45">
        <f t="shared" si="3"/>
        <v>2.9387755102040818</v>
      </c>
      <c r="H17" s="38">
        <v>40.76</v>
      </c>
      <c r="I17" s="26">
        <f t="shared" si="2"/>
        <v>119.78448979591836</v>
      </c>
    </row>
    <row r="18" spans="1:12" s="1" customFormat="1" ht="15.75" thickBot="1">
      <c r="A18" s="20"/>
      <c r="B18" s="21"/>
      <c r="C18" s="21"/>
      <c r="D18" s="21"/>
      <c r="E18" s="21"/>
      <c r="F18" s="21"/>
      <c r="G18" s="46"/>
      <c r="H18" s="25"/>
      <c r="I18" s="24">
        <f>SUM(I14:I17)</f>
        <v>3904.0561090946944</v>
      </c>
      <c r="J18" s="3">
        <f>I18*294</f>
        <v>1147792.4960738402</v>
      </c>
      <c r="K18" s="3">
        <f>(2226061-50901.8-32511.74-17105.8)*0.54</f>
        <v>1147792.4964000001</v>
      </c>
      <c r="L18" s="3">
        <f>K18-J18</f>
        <v>3.2615987583994865E-4</v>
      </c>
    </row>
    <row r="19" spans="1:12">
      <c r="A19" s="13" t="s">
        <v>77</v>
      </c>
      <c r="B19" s="11" t="s">
        <v>20</v>
      </c>
      <c r="C19" s="39" t="s">
        <v>24</v>
      </c>
      <c r="D19" s="63">
        <f>48000*0.42</f>
        <v>20160</v>
      </c>
      <c r="E19" s="60">
        <f>247*8*(A21/1974)</f>
        <v>163.16514690982777</v>
      </c>
      <c r="F19" s="61">
        <f>E19/A21</f>
        <v>1.0010131712259371</v>
      </c>
      <c r="G19" s="45">
        <f>D19/E19*F19</f>
        <v>123.68098159509202</v>
      </c>
      <c r="H19" s="12">
        <v>5.36</v>
      </c>
      <c r="I19" s="26">
        <f>H19*G19</f>
        <v>662.93006134969323</v>
      </c>
    </row>
    <row r="20" spans="1:12">
      <c r="A20" s="81" t="s">
        <v>73</v>
      </c>
      <c r="B20" s="5" t="s">
        <v>21</v>
      </c>
      <c r="C20" s="40" t="s">
        <v>25</v>
      </c>
      <c r="D20" s="8">
        <f>(580-108+0.15606)*0.42</f>
        <v>198.30554520000001</v>
      </c>
      <c r="E20" s="7">
        <f>247*8*(A21/1974)</f>
        <v>163.16514690982777</v>
      </c>
      <c r="F20" s="35">
        <f>E20/A21</f>
        <v>1.0010131712259371</v>
      </c>
      <c r="G20" s="45">
        <f>D20/E20*F20</f>
        <v>1.2165984368098159</v>
      </c>
      <c r="H20" s="6">
        <v>1448.6</v>
      </c>
      <c r="I20" s="26">
        <f t="shared" ref="I20:I22" si="4">H20*G20</f>
        <v>1762.3644955626992</v>
      </c>
    </row>
    <row r="21" spans="1:12">
      <c r="A21" s="82">
        <v>163</v>
      </c>
      <c r="B21" s="37" t="s">
        <v>22</v>
      </c>
      <c r="C21" s="41" t="s">
        <v>26</v>
      </c>
      <c r="D21" s="37">
        <f>960*0.42</f>
        <v>403.2</v>
      </c>
      <c r="E21" s="7">
        <f>247*8*(A21/1974)</f>
        <v>163.16514690982777</v>
      </c>
      <c r="F21" s="35">
        <f>E21/A21</f>
        <v>1.0010131712259371</v>
      </c>
      <c r="G21" s="45">
        <f t="shared" ref="G21:G22" si="5">D21/E21*F21</f>
        <v>2.4736196319018404</v>
      </c>
      <c r="H21" s="38">
        <v>28.7</v>
      </c>
      <c r="I21" s="26">
        <f t="shared" si="4"/>
        <v>70.992883435582812</v>
      </c>
    </row>
    <row r="22" spans="1:12">
      <c r="A22" s="36"/>
      <c r="B22" s="37" t="s">
        <v>23</v>
      </c>
      <c r="C22" s="41" t="s">
        <v>26</v>
      </c>
      <c r="D22" s="37">
        <f>960*0.42</f>
        <v>403.2</v>
      </c>
      <c r="E22" s="7">
        <f>247*8*(A21/1974)</f>
        <v>163.16514690982777</v>
      </c>
      <c r="F22" s="35">
        <f>E22/A21</f>
        <v>1.0010131712259371</v>
      </c>
      <c r="G22" s="45">
        <f t="shared" si="5"/>
        <v>2.4736196319018404</v>
      </c>
      <c r="H22" s="38">
        <v>40.76</v>
      </c>
      <c r="I22" s="26">
        <f t="shared" si="4"/>
        <v>100.82473619631901</v>
      </c>
    </row>
    <row r="23" spans="1:12" s="1" customFormat="1" ht="15.75" thickBot="1">
      <c r="A23" s="20"/>
      <c r="B23" s="21"/>
      <c r="C23" s="21"/>
      <c r="D23" s="21"/>
      <c r="E23" s="21"/>
      <c r="F23" s="21"/>
      <c r="G23" s="46"/>
      <c r="H23" s="25"/>
      <c r="I23" s="24">
        <f>SUM(I19:I22)</f>
        <v>2597.112176544294</v>
      </c>
      <c r="J23" s="3">
        <f>I23*163</f>
        <v>423329.28477671993</v>
      </c>
      <c r="K23" s="3">
        <f>(1106615-60953.74-20628.58-17105.8)*0.42</f>
        <v>423329.28959999996</v>
      </c>
      <c r="L23" s="3">
        <f>K23-J23</f>
        <v>4.8232800327241421E-3</v>
      </c>
    </row>
    <row r="24" spans="1:12">
      <c r="A24" s="13" t="s">
        <v>78</v>
      </c>
      <c r="B24" s="11" t="s">
        <v>20</v>
      </c>
      <c r="C24" s="39" t="s">
        <v>24</v>
      </c>
      <c r="D24" s="63">
        <f>89000*0.44</f>
        <v>39160</v>
      </c>
      <c r="E24" s="60">
        <f>247*8*(A26/1974)</f>
        <v>335.33941236068893</v>
      </c>
      <c r="F24" s="61">
        <f>E24/A26</f>
        <v>1.0010131712259371</v>
      </c>
      <c r="G24" s="45">
        <f>D24/E24*F24</f>
        <v>116.8955223880597</v>
      </c>
      <c r="H24" s="12">
        <v>5.36</v>
      </c>
      <c r="I24" s="26">
        <f>H24*G24</f>
        <v>626.56000000000006</v>
      </c>
    </row>
    <row r="25" spans="1:12">
      <c r="A25" s="81" t="s">
        <v>73</v>
      </c>
      <c r="B25" s="5" t="s">
        <v>21</v>
      </c>
      <c r="C25" s="40" t="s">
        <v>25</v>
      </c>
      <c r="D25" s="8">
        <f>(1400-209+2.153)*0.44</f>
        <v>524.98732000000007</v>
      </c>
      <c r="E25" s="7">
        <f>247*8*(A26/1974)</f>
        <v>335.33941236068893</v>
      </c>
      <c r="F25" s="35">
        <f>E25/A26</f>
        <v>1.0010131712259371</v>
      </c>
      <c r="G25" s="45">
        <f>D25/E25*F25</f>
        <v>1.5671263283582093</v>
      </c>
      <c r="H25" s="6">
        <v>1448.6</v>
      </c>
      <c r="I25" s="26">
        <f t="shared" ref="I25:I27" si="6">H25*G25</f>
        <v>2270.1391992597019</v>
      </c>
    </row>
    <row r="26" spans="1:12">
      <c r="A26" s="82">
        <v>335</v>
      </c>
      <c r="B26" s="37" t="s">
        <v>22</v>
      </c>
      <c r="C26" s="41" t="s">
        <v>26</v>
      </c>
      <c r="D26" s="37">
        <f>2500*0.44</f>
        <v>1100</v>
      </c>
      <c r="E26" s="7">
        <f>247*8*(A26/1974)</f>
        <v>335.33941236068893</v>
      </c>
      <c r="F26" s="35">
        <f>E26/A26</f>
        <v>1.0010131712259371</v>
      </c>
      <c r="G26" s="45">
        <f t="shared" ref="G26:G27" si="7">D26/E26*F26</f>
        <v>3.283582089552239</v>
      </c>
      <c r="H26" s="38">
        <v>28.7</v>
      </c>
      <c r="I26" s="26">
        <f t="shared" si="6"/>
        <v>94.238805970149258</v>
      </c>
    </row>
    <row r="27" spans="1:12">
      <c r="A27" s="36"/>
      <c r="B27" s="37" t="s">
        <v>23</v>
      </c>
      <c r="C27" s="41" t="s">
        <v>26</v>
      </c>
      <c r="D27" s="37">
        <f>2500*0.44</f>
        <v>1100</v>
      </c>
      <c r="E27" s="7">
        <f>247*8*(A26/1974)</f>
        <v>335.33941236068893</v>
      </c>
      <c r="F27" s="35">
        <f>E27/A26</f>
        <v>1.0010131712259371</v>
      </c>
      <c r="G27" s="45">
        <f t="shared" si="7"/>
        <v>3.283582089552239</v>
      </c>
      <c r="H27" s="38">
        <v>40.76</v>
      </c>
      <c r="I27" s="26">
        <f t="shared" si="6"/>
        <v>133.83880597014925</v>
      </c>
    </row>
    <row r="28" spans="1:12" s="1" customFormat="1" ht="15.75" thickBot="1">
      <c r="A28" s="20"/>
      <c r="B28" s="21"/>
      <c r="C28" s="21"/>
      <c r="D28" s="21"/>
      <c r="E28" s="21"/>
      <c r="F28" s="21"/>
      <c r="G28" s="46"/>
      <c r="H28" s="25"/>
      <c r="I28" s="24">
        <f>SUM(I24:I27)</f>
        <v>3124.7768112000003</v>
      </c>
      <c r="J28" s="3">
        <f>I28*A26</f>
        <v>1046800.2317520002</v>
      </c>
      <c r="K28" s="3">
        <f>(2550991-122191.12-32602.64-17105.8)*0.44</f>
        <v>1046800.2336</v>
      </c>
      <c r="L28" s="3">
        <f>K28-J28</f>
        <v>1.847999868914485E-3</v>
      </c>
    </row>
    <row r="29" spans="1:12">
      <c r="A29" s="13" t="s">
        <v>79</v>
      </c>
      <c r="B29" s="11" t="s">
        <v>20</v>
      </c>
      <c r="C29" s="39" t="s">
        <v>24</v>
      </c>
      <c r="D29" s="63">
        <f>185000*0.46</f>
        <v>85100</v>
      </c>
      <c r="E29" s="60">
        <f>247*8*(A31/1974)</f>
        <v>390.3951367781155</v>
      </c>
      <c r="F29" s="61">
        <f>E29/A31</f>
        <v>1.0010131712259371</v>
      </c>
      <c r="G29" s="45">
        <f>D29/E29*F29</f>
        <v>218.2051282051282</v>
      </c>
      <c r="H29" s="12">
        <v>5.36</v>
      </c>
      <c r="I29" s="26">
        <f>H29*G29</f>
        <v>1169.5794871794872</v>
      </c>
    </row>
    <row r="30" spans="1:12">
      <c r="A30" s="81" t="s">
        <v>73</v>
      </c>
      <c r="B30" s="5" t="s">
        <v>21</v>
      </c>
      <c r="C30" s="40" t="s">
        <v>25</v>
      </c>
      <c r="D30" s="8">
        <f>(1900-189+2.97783)*0.46</f>
        <v>788.42980180000006</v>
      </c>
      <c r="E30" s="7">
        <f>247*8*(A31/1974)</f>
        <v>390.3951367781155</v>
      </c>
      <c r="F30" s="35">
        <f>E30/A31</f>
        <v>1.0010131712259371</v>
      </c>
      <c r="G30" s="45">
        <f>D30/E30*F30</f>
        <v>2.0216148764102564</v>
      </c>
      <c r="H30" s="6">
        <v>1448.6</v>
      </c>
      <c r="I30" s="26">
        <f t="shared" ref="I30:I32" si="8">H30*G30</f>
        <v>2928.5113099678974</v>
      </c>
    </row>
    <row r="31" spans="1:12">
      <c r="A31" s="82">
        <v>390</v>
      </c>
      <c r="B31" s="37" t="s">
        <v>22</v>
      </c>
      <c r="C31" s="41" t="s">
        <v>26</v>
      </c>
      <c r="D31" s="37">
        <f>5500*0.46</f>
        <v>2530</v>
      </c>
      <c r="E31" s="7">
        <f>247*8*(A31/1974)</f>
        <v>390.3951367781155</v>
      </c>
      <c r="F31" s="35">
        <f>E31/A31</f>
        <v>1.0010131712259371</v>
      </c>
      <c r="G31" s="45">
        <f t="shared" ref="G31:G32" si="9">D31/E31*F31</f>
        <v>6.4871794871794863</v>
      </c>
      <c r="H31" s="38">
        <v>28.7</v>
      </c>
      <c r="I31" s="26">
        <f t="shared" si="8"/>
        <v>186.18205128205125</v>
      </c>
    </row>
    <row r="32" spans="1:12">
      <c r="A32" s="36"/>
      <c r="B32" s="37" t="s">
        <v>23</v>
      </c>
      <c r="C32" s="41" t="s">
        <v>26</v>
      </c>
      <c r="D32" s="37">
        <f>5500*0.46</f>
        <v>2530</v>
      </c>
      <c r="E32" s="7">
        <f>247*8*(A31/1974)</f>
        <v>390.3951367781155</v>
      </c>
      <c r="F32" s="35">
        <f>E32/A31</f>
        <v>1.0010131712259371</v>
      </c>
      <c r="G32" s="45">
        <f t="shared" si="9"/>
        <v>6.4871794871794863</v>
      </c>
      <c r="H32" s="38">
        <v>40.76</v>
      </c>
      <c r="I32" s="26">
        <f t="shared" si="8"/>
        <v>264.41743589743584</v>
      </c>
    </row>
    <row r="33" spans="1:12" s="1" customFormat="1" ht="15.75" thickBot="1">
      <c r="A33" s="20"/>
      <c r="B33" s="21"/>
      <c r="C33" s="21"/>
      <c r="D33" s="21"/>
      <c r="E33" s="21"/>
      <c r="F33" s="21"/>
      <c r="G33" s="46"/>
      <c r="H33" s="25"/>
      <c r="I33" s="24">
        <f>SUM(I29:I32)</f>
        <v>4548.6902843268717</v>
      </c>
      <c r="J33" s="3">
        <f>I33*A31</f>
        <v>1773989.2108874801</v>
      </c>
      <c r="K33" s="3">
        <f>(3900968-27363.92-17105.8)*0.46</f>
        <v>1773989.2088000001</v>
      </c>
      <c r="L33" s="3">
        <f>K33-J33</f>
        <v>-2.0874799229204655E-3</v>
      </c>
    </row>
    <row r="34" spans="1:12">
      <c r="A34" s="13" t="s">
        <v>80</v>
      </c>
      <c r="B34" s="11" t="s">
        <v>20</v>
      </c>
      <c r="C34" s="39" t="s">
        <v>24</v>
      </c>
      <c r="D34" s="63">
        <f>82000*0.48</f>
        <v>39360</v>
      </c>
      <c r="E34" s="60">
        <f>247*8*(A36/1974)</f>
        <v>265.26849037487335</v>
      </c>
      <c r="F34" s="61">
        <f>E34/A36</f>
        <v>1.0010131712259371</v>
      </c>
      <c r="G34" s="45">
        <f>D34/E34*F34</f>
        <v>148.52830188679243</v>
      </c>
      <c r="H34" s="12">
        <v>5.36</v>
      </c>
      <c r="I34" s="26">
        <f>H34*G34</f>
        <v>796.11169811320747</v>
      </c>
    </row>
    <row r="35" spans="1:12">
      <c r="A35" s="81" t="s">
        <v>73</v>
      </c>
      <c r="B35" s="5" t="s">
        <v>21</v>
      </c>
      <c r="C35" s="40" t="s">
        <v>25</v>
      </c>
      <c r="D35" s="8">
        <f>(800-201+1.02308)*0.48</f>
        <v>288.01107840000003</v>
      </c>
      <c r="E35" s="7">
        <f>247*8*(A36/1974)</f>
        <v>265.26849037487335</v>
      </c>
      <c r="F35" s="35">
        <f>E35/A36</f>
        <v>1.0010131712259371</v>
      </c>
      <c r="G35" s="45">
        <f>D35/E35*F35</f>
        <v>1.0868342581132076</v>
      </c>
      <c r="H35" s="6">
        <v>1448.6</v>
      </c>
      <c r="I35" s="26">
        <f t="shared" ref="I35:I37" si="10">H35*G35</f>
        <v>1574.3881063027923</v>
      </c>
    </row>
    <row r="36" spans="1:12">
      <c r="A36" s="82">
        <v>265</v>
      </c>
      <c r="B36" s="37" t="s">
        <v>22</v>
      </c>
      <c r="C36" s="41" t="s">
        <v>26</v>
      </c>
      <c r="D36" s="37">
        <f>2400*0.48</f>
        <v>1152</v>
      </c>
      <c r="E36" s="7">
        <f>247*8*(A36/1974)</f>
        <v>265.26849037487335</v>
      </c>
      <c r="F36" s="35">
        <f>E36/A36</f>
        <v>1.0010131712259371</v>
      </c>
      <c r="G36" s="45">
        <f t="shared" ref="G36:G37" si="11">D36/E36*F36</f>
        <v>4.3471698113207546</v>
      </c>
      <c r="H36" s="38">
        <v>28.7</v>
      </c>
      <c r="I36" s="26">
        <f t="shared" si="10"/>
        <v>124.76377358490565</v>
      </c>
    </row>
    <row r="37" spans="1:12">
      <c r="A37" s="36"/>
      <c r="B37" s="37" t="s">
        <v>23</v>
      </c>
      <c r="C37" s="41" t="s">
        <v>26</v>
      </c>
      <c r="D37" s="37">
        <f>2400*0.48</f>
        <v>1152</v>
      </c>
      <c r="E37" s="7">
        <f>247*8*(A36/1974)</f>
        <v>265.26849037487335</v>
      </c>
      <c r="F37" s="35">
        <f>E37/A36</f>
        <v>1.0010131712259371</v>
      </c>
      <c r="G37" s="45">
        <f t="shared" si="11"/>
        <v>4.3471698113207546</v>
      </c>
      <c r="H37" s="38">
        <v>40.76</v>
      </c>
      <c r="I37" s="26">
        <f t="shared" si="10"/>
        <v>177.19064150943396</v>
      </c>
    </row>
    <row r="38" spans="1:12" s="1" customFormat="1" ht="15.75" thickBot="1">
      <c r="A38" s="20"/>
      <c r="B38" s="21"/>
      <c r="C38" s="21"/>
      <c r="D38" s="21"/>
      <c r="E38" s="21"/>
      <c r="F38" s="21"/>
      <c r="G38" s="46"/>
      <c r="H38" s="25"/>
      <c r="I38" s="24">
        <f>SUM(I34:I37)</f>
        <v>2672.4542195103395</v>
      </c>
      <c r="J38" s="3">
        <f>I38*A36</f>
        <v>708200.36817023996</v>
      </c>
      <c r="K38" s="3">
        <f>(1667562-151010.46-24028.3-17105.8)*0.48</f>
        <v>708200.37119999994</v>
      </c>
      <c r="L38" s="3">
        <f>K38-J38</f>
        <v>3.0297599732875824E-3</v>
      </c>
    </row>
    <row r="39" spans="1:12" s="1" customFormat="1" ht="15.75" thickBot="1">
      <c r="A39" s="54"/>
      <c r="B39" s="55"/>
      <c r="C39" s="56"/>
      <c r="D39" s="55"/>
      <c r="E39" s="83"/>
      <c r="F39" s="55"/>
      <c r="G39" s="54"/>
      <c r="H39" s="57"/>
      <c r="I39" s="58"/>
    </row>
    <row r="40" spans="1:12">
      <c r="A40" s="13" t="s">
        <v>81</v>
      </c>
      <c r="B40" s="14" t="s">
        <v>20</v>
      </c>
      <c r="C40" s="59" t="s">
        <v>24</v>
      </c>
      <c r="D40" s="84">
        <f>117000*0.39</f>
        <v>45630</v>
      </c>
      <c r="E40" s="60">
        <f>247*8*(A42/1974)</f>
        <v>354.35866261398178</v>
      </c>
      <c r="F40" s="43">
        <f>E40/A42</f>
        <v>1.0010131712259371</v>
      </c>
      <c r="G40" s="52">
        <f>D40/E40*F40</f>
        <v>128.89830508474577</v>
      </c>
      <c r="H40" s="15">
        <v>5.36</v>
      </c>
      <c r="I40" s="17">
        <f>H40*G40</f>
        <v>690.89491525423739</v>
      </c>
    </row>
    <row r="41" spans="1:12">
      <c r="A41" s="81" t="s">
        <v>73</v>
      </c>
      <c r="B41" s="5" t="s">
        <v>21</v>
      </c>
      <c r="C41" s="40" t="s">
        <v>25</v>
      </c>
      <c r="D41" s="8">
        <f>(1892-205+1.16436)*0.39</f>
        <v>658.38410039999997</v>
      </c>
      <c r="E41" s="7">
        <f>247*8*(A42/1974)</f>
        <v>354.35866261398178</v>
      </c>
      <c r="F41" s="35">
        <f>E41/A42</f>
        <v>1.0010131712259371</v>
      </c>
      <c r="G41" s="45">
        <f>D41/E41*F41</f>
        <v>1.8598420915254235</v>
      </c>
      <c r="H41" s="6">
        <v>1448.6</v>
      </c>
      <c r="I41" s="26">
        <f t="shared" ref="I41:I43" si="12">H41*G41</f>
        <v>2694.167253783728</v>
      </c>
    </row>
    <row r="42" spans="1:12">
      <c r="A42" s="82">
        <v>354</v>
      </c>
      <c r="B42" s="37" t="s">
        <v>22</v>
      </c>
      <c r="C42" s="41" t="s">
        <v>26</v>
      </c>
      <c r="D42" s="37">
        <f>2000*0.39</f>
        <v>780</v>
      </c>
      <c r="E42" s="7">
        <f>247*8*(A42/1974)</f>
        <v>354.35866261398178</v>
      </c>
      <c r="F42" s="35">
        <f>E42/A42</f>
        <v>1.0010131712259371</v>
      </c>
      <c r="G42" s="45">
        <f t="shared" ref="G42:G43" si="13">D42/E42*F42</f>
        <v>2.2033898305084745</v>
      </c>
      <c r="H42" s="38">
        <v>28.7</v>
      </c>
      <c r="I42" s="26">
        <f t="shared" si="12"/>
        <v>63.237288135593218</v>
      </c>
    </row>
    <row r="43" spans="1:12">
      <c r="A43" s="36"/>
      <c r="B43" s="37" t="s">
        <v>23</v>
      </c>
      <c r="C43" s="41" t="s">
        <v>26</v>
      </c>
      <c r="D43" s="37">
        <f>2000*0.39</f>
        <v>780</v>
      </c>
      <c r="E43" s="7">
        <f>247*8*(A42/1974)</f>
        <v>354.35866261398178</v>
      </c>
      <c r="F43" s="35">
        <f>E43/A42</f>
        <v>1.0010131712259371</v>
      </c>
      <c r="G43" s="45">
        <f t="shared" si="13"/>
        <v>2.2033898305084745</v>
      </c>
      <c r="H43" s="38">
        <v>40.76</v>
      </c>
      <c r="I43" s="26">
        <f t="shared" si="12"/>
        <v>89.810169491525414</v>
      </c>
    </row>
    <row r="44" spans="1:12" s="1" customFormat="1" ht="15.75" thickBot="1">
      <c r="A44" s="20"/>
      <c r="B44" s="21"/>
      <c r="C44" s="21"/>
      <c r="D44" s="21"/>
      <c r="E44" s="21"/>
      <c r="F44" s="21"/>
      <c r="G44" s="46"/>
      <c r="H44" s="25"/>
      <c r="I44" s="24">
        <f>SUM(I40:I43)</f>
        <v>3538.1096266650839</v>
      </c>
      <c r="J44" s="3">
        <f>I44*A42</f>
        <v>1252490.8078394397</v>
      </c>
      <c r="K44" s="3">
        <f>(3349297-91591.08-29085.22-17105.8)*0.39</f>
        <v>1252490.811</v>
      </c>
      <c r="L44" s="3">
        <f>K44-J44</f>
        <v>3.1605602707713842E-3</v>
      </c>
    </row>
    <row r="45" spans="1:12" s="1" customFormat="1" ht="15.75" thickBot="1">
      <c r="A45" s="54"/>
      <c r="B45" s="55"/>
      <c r="C45" s="56"/>
      <c r="D45" s="55"/>
      <c r="E45" s="62"/>
      <c r="F45" s="55"/>
      <c r="G45" s="54"/>
      <c r="H45" s="57"/>
      <c r="I45" s="58"/>
    </row>
    <row r="46" spans="1:12">
      <c r="A46" s="13" t="s">
        <v>82</v>
      </c>
      <c r="B46" s="14" t="s">
        <v>20</v>
      </c>
      <c r="C46" s="59" t="s">
        <v>24</v>
      </c>
      <c r="D46" s="84">
        <f>57000*0.41</f>
        <v>23370</v>
      </c>
      <c r="E46" s="60">
        <f>247*8*(A48/1974)</f>
        <v>93.094224924012153</v>
      </c>
      <c r="F46" s="43">
        <f>E46/A48</f>
        <v>1.0010131712259371</v>
      </c>
      <c r="G46" s="52">
        <f>D46/E46*F46</f>
        <v>251.29032258064518</v>
      </c>
      <c r="H46" s="15">
        <v>5.36</v>
      </c>
      <c r="I46" s="17">
        <f>H46*G46</f>
        <v>1346.9161290322581</v>
      </c>
    </row>
    <row r="47" spans="1:12">
      <c r="A47" s="81" t="s">
        <v>73</v>
      </c>
      <c r="B47" s="5" t="s">
        <v>21</v>
      </c>
      <c r="C47" s="40" t="s">
        <v>25</v>
      </c>
      <c r="D47" s="8">
        <f>(1060-80+1.91286)*0.41</f>
        <v>402.58427259999996</v>
      </c>
      <c r="E47" s="7">
        <f>247*8*(A48/1974)</f>
        <v>93.094224924012153</v>
      </c>
      <c r="F47" s="35">
        <f>E47/A48</f>
        <v>1.0010131712259371</v>
      </c>
      <c r="G47" s="45">
        <f>D47/E47*F47</f>
        <v>4.328863146236559</v>
      </c>
      <c r="H47" s="6">
        <v>1448.6</v>
      </c>
      <c r="I47" s="26">
        <f t="shared" ref="I47:I49" si="14">H47*G47</f>
        <v>6270.791153638279</v>
      </c>
    </row>
    <row r="48" spans="1:12">
      <c r="A48" s="82">
        <v>93</v>
      </c>
      <c r="B48" s="37" t="s">
        <v>22</v>
      </c>
      <c r="C48" s="41" t="s">
        <v>26</v>
      </c>
      <c r="D48" s="37">
        <f>750*0.41</f>
        <v>307.5</v>
      </c>
      <c r="E48" s="7">
        <f>247*8*(A48/1974)</f>
        <v>93.094224924012153</v>
      </c>
      <c r="F48" s="35">
        <f>E48/A48</f>
        <v>1.0010131712259371</v>
      </c>
      <c r="G48" s="45">
        <f t="shared" ref="G48:G49" si="15">D48/E48*F48</f>
        <v>3.306451612903226</v>
      </c>
      <c r="H48" s="38">
        <v>28.7</v>
      </c>
      <c r="I48" s="26">
        <f t="shared" si="14"/>
        <v>94.895161290322577</v>
      </c>
    </row>
    <row r="49" spans="1:20">
      <c r="A49" s="36"/>
      <c r="B49" s="37" t="s">
        <v>23</v>
      </c>
      <c r="C49" s="41" t="s">
        <v>26</v>
      </c>
      <c r="D49" s="37">
        <f>1150*0.41</f>
        <v>471.5</v>
      </c>
      <c r="E49" s="7">
        <f>247*8*(A48/1974)</f>
        <v>93.094224924012153</v>
      </c>
      <c r="F49" s="35">
        <f>E49/A48</f>
        <v>1.0010131712259371</v>
      </c>
      <c r="G49" s="45">
        <f t="shared" si="15"/>
        <v>5.0698924731182791</v>
      </c>
      <c r="H49" s="38">
        <v>40.76</v>
      </c>
      <c r="I49" s="26">
        <f t="shared" si="14"/>
        <v>206.64881720430105</v>
      </c>
    </row>
    <row r="50" spans="1:20" s="1" customFormat="1" ht="15.75" thickBot="1">
      <c r="A50" s="20"/>
      <c r="B50" s="21"/>
      <c r="C50" s="21"/>
      <c r="D50" s="21"/>
      <c r="E50" s="21"/>
      <c r="F50" s="21"/>
      <c r="G50" s="46"/>
      <c r="H50" s="25"/>
      <c r="I50" s="24">
        <f>SUM(I46:I49)</f>
        <v>7919.2512611651609</v>
      </c>
      <c r="J50" s="3">
        <f>I50*A48</f>
        <v>736490.36728836002</v>
      </c>
      <c r="K50" s="3">
        <f>(1823591-10167.22-17105.8)*0.41</f>
        <v>736490.37179999996</v>
      </c>
      <c r="L50" s="3">
        <f>K50-J50</f>
        <v>4.511639941483736E-3</v>
      </c>
    </row>
    <row r="51" spans="1:20">
      <c r="A51" s="13" t="s">
        <v>83</v>
      </c>
      <c r="B51" s="14" t="s">
        <v>20</v>
      </c>
      <c r="C51" s="59" t="s">
        <v>24</v>
      </c>
      <c r="D51" s="84">
        <f>39000*0.52</f>
        <v>20280</v>
      </c>
      <c r="E51" s="60">
        <f>247*8*(A53/1974)</f>
        <v>106.10739614994934</v>
      </c>
      <c r="F51" s="43">
        <f>E51/A53</f>
        <v>1.0010131712259371</v>
      </c>
      <c r="G51" s="52">
        <f>D51/E51*F51</f>
        <v>191.32075471698113</v>
      </c>
      <c r="H51" s="15">
        <v>5.36</v>
      </c>
      <c r="I51" s="17">
        <f>H51*G51</f>
        <v>1025.4792452830188</v>
      </c>
    </row>
    <row r="52" spans="1:20">
      <c r="A52" s="81" t="s">
        <v>73</v>
      </c>
      <c r="B52" s="5" t="s">
        <v>21</v>
      </c>
      <c r="C52" s="40" t="s">
        <v>25</v>
      </c>
      <c r="D52" s="8">
        <f>(818-66+2.7722)*0.52</f>
        <v>392.48154399999999</v>
      </c>
      <c r="E52" s="7">
        <f>247*8*(A53/1974)</f>
        <v>106.10739614994934</v>
      </c>
      <c r="F52" s="35">
        <f>E52/A53</f>
        <v>1.0010131712259371</v>
      </c>
      <c r="G52" s="45">
        <f>D52/E52*F52</f>
        <v>3.7026560754716979</v>
      </c>
      <c r="H52" s="6">
        <v>1448.6</v>
      </c>
      <c r="I52" s="26">
        <f t="shared" ref="I52:I54" si="16">H52*G52</f>
        <v>5363.6675909283013</v>
      </c>
    </row>
    <row r="53" spans="1:20">
      <c r="A53" s="82">
        <v>106</v>
      </c>
      <c r="B53" s="37" t="s">
        <v>22</v>
      </c>
      <c r="C53" s="41" t="s">
        <v>26</v>
      </c>
      <c r="D53" s="37">
        <f>1000*0.52</f>
        <v>520</v>
      </c>
      <c r="E53" s="7">
        <f>247*8*(A53/1974)</f>
        <v>106.10739614994934</v>
      </c>
      <c r="F53" s="35">
        <f>E53/A53</f>
        <v>1.0010131712259371</v>
      </c>
      <c r="G53" s="45">
        <f t="shared" ref="G53:G54" si="17">D53/E53*F53</f>
        <v>4.9056603773584904</v>
      </c>
      <c r="H53" s="38">
        <v>28.7</v>
      </c>
      <c r="I53" s="26">
        <f t="shared" si="16"/>
        <v>140.79245283018867</v>
      </c>
    </row>
    <row r="54" spans="1:20">
      <c r="A54" s="36"/>
      <c r="B54" s="37" t="s">
        <v>23</v>
      </c>
      <c r="C54" s="41" t="s">
        <v>26</v>
      </c>
      <c r="D54" s="37">
        <f>1300*0.52</f>
        <v>676</v>
      </c>
      <c r="E54" s="7">
        <f>247*8*(A53/1974)</f>
        <v>106.10739614994934</v>
      </c>
      <c r="F54" s="35">
        <f>E54/A53</f>
        <v>1.0010131712259371</v>
      </c>
      <c r="G54" s="45">
        <f t="shared" si="17"/>
        <v>6.3773584905660377</v>
      </c>
      <c r="H54" s="38">
        <v>40.76</v>
      </c>
      <c r="I54" s="26">
        <f t="shared" si="16"/>
        <v>259.94113207547167</v>
      </c>
    </row>
    <row r="55" spans="1:20" s="1" customFormat="1" ht="15.75" thickBot="1">
      <c r="A55" s="20"/>
      <c r="B55" s="21"/>
      <c r="C55" s="21"/>
      <c r="D55" s="21"/>
      <c r="E55" s="21"/>
      <c r="F55" s="21"/>
      <c r="G55" s="46"/>
      <c r="H55" s="25"/>
      <c r="I55" s="24">
        <f>SUM(I51:I54)</f>
        <v>6789.88042111698</v>
      </c>
      <c r="J55" s="3">
        <f>I55*A53</f>
        <v>719727.32463839988</v>
      </c>
      <c r="K55" s="3">
        <f>(1411471-10274.2-17105.8)*0.52</f>
        <v>719727.32000000007</v>
      </c>
      <c r="L55" s="3">
        <f>K55-J55</f>
        <v>-4.6383998123928905E-3</v>
      </c>
    </row>
    <row r="56" spans="1:20" s="1" customFormat="1">
      <c r="A56" s="54"/>
      <c r="B56" s="55"/>
      <c r="C56" s="55"/>
      <c r="D56" s="55"/>
      <c r="E56" s="55"/>
      <c r="F56" s="55"/>
      <c r="G56" s="86"/>
      <c r="H56" s="57"/>
      <c r="I56" s="58"/>
      <c r="J56" s="3"/>
      <c r="K56" s="3"/>
      <c r="L56" s="3"/>
    </row>
    <row r="57" spans="1:20" ht="18.75">
      <c r="A57" s="73" t="s">
        <v>85</v>
      </c>
      <c r="T57" s="1"/>
    </row>
    <row r="58" spans="1:20" ht="15.75" thickBot="1">
      <c r="G58" s="65" t="s">
        <v>63</v>
      </c>
    </row>
    <row r="59" spans="1:20" ht="105">
      <c r="A59" s="27" t="s">
        <v>2</v>
      </c>
      <c r="B59" s="28" t="s">
        <v>19</v>
      </c>
      <c r="C59" s="28" t="s">
        <v>14</v>
      </c>
      <c r="D59" s="28" t="s">
        <v>16</v>
      </c>
      <c r="E59" s="28" t="s">
        <v>27</v>
      </c>
      <c r="F59" s="28" t="s">
        <v>72</v>
      </c>
      <c r="G59" s="28" t="s">
        <v>29</v>
      </c>
      <c r="H59" s="28" t="s">
        <v>30</v>
      </c>
      <c r="I59" s="29" t="s">
        <v>11</v>
      </c>
      <c r="J59" s="2" t="s">
        <v>33</v>
      </c>
      <c r="K59" s="2" t="s">
        <v>34</v>
      </c>
      <c r="L59" s="2"/>
    </row>
    <row r="60" spans="1:20" ht="15.75" thickBot="1">
      <c r="A60" s="30">
        <v>1</v>
      </c>
      <c r="B60" s="31">
        <v>2</v>
      </c>
      <c r="C60" s="31">
        <v>3</v>
      </c>
      <c r="D60" s="31">
        <v>4</v>
      </c>
      <c r="E60" s="31">
        <v>5</v>
      </c>
      <c r="F60" s="31" t="s">
        <v>59</v>
      </c>
      <c r="G60" s="31" t="s">
        <v>31</v>
      </c>
      <c r="H60" s="32">
        <v>8</v>
      </c>
      <c r="I60" s="33" t="s">
        <v>32</v>
      </c>
    </row>
    <row r="61" spans="1:20">
      <c r="A61" s="13" t="s">
        <v>71</v>
      </c>
      <c r="B61" s="11" t="s">
        <v>20</v>
      </c>
      <c r="C61" s="39" t="s">
        <v>24</v>
      </c>
      <c r="D61" s="63">
        <f>43000*0.46</f>
        <v>19780</v>
      </c>
      <c r="E61" s="60">
        <f>247*8*(A63/1974)</f>
        <v>211.21377912867277</v>
      </c>
      <c r="F61" s="61">
        <f>E61/A63</f>
        <v>1.0010131712259374</v>
      </c>
      <c r="G61" s="45">
        <f>D61/E61*F61</f>
        <v>93.744075829383888</v>
      </c>
      <c r="H61" s="12">
        <v>5.36</v>
      </c>
      <c r="I61" s="26">
        <f>H61*G61</f>
        <v>502.4682464454977</v>
      </c>
    </row>
    <row r="62" spans="1:20">
      <c r="A62" s="81" t="s">
        <v>73</v>
      </c>
      <c r="B62" s="5" t="s">
        <v>21</v>
      </c>
      <c r="C62" s="40" t="s">
        <v>25</v>
      </c>
      <c r="D62" s="8">
        <f>(750-100+9.29435)*0.46</f>
        <v>303.27540100000004</v>
      </c>
      <c r="E62" s="7">
        <f>247*8*(A63/1974)</f>
        <v>211.21377912867277</v>
      </c>
      <c r="F62" s="35">
        <f>E62/A63</f>
        <v>1.0010131712259374</v>
      </c>
      <c r="G62" s="45">
        <f>D62/E62*F62</f>
        <v>1.4373241753554507</v>
      </c>
      <c r="H62" s="6">
        <v>1448.6</v>
      </c>
      <c r="I62" s="26">
        <f t="shared" ref="I62:I64" si="18">H62*G62</f>
        <v>2082.1078004199057</v>
      </c>
    </row>
    <row r="63" spans="1:20">
      <c r="A63" s="82">
        <v>211</v>
      </c>
      <c r="B63" s="37" t="s">
        <v>22</v>
      </c>
      <c r="C63" s="41" t="s">
        <v>26</v>
      </c>
      <c r="D63" s="37">
        <f>950*0.46</f>
        <v>437</v>
      </c>
      <c r="E63" s="7">
        <f>247*8*(A63/1974)</f>
        <v>211.21377912867277</v>
      </c>
      <c r="F63" s="35">
        <f>E63/A63</f>
        <v>1.0010131712259374</v>
      </c>
      <c r="G63" s="45">
        <f t="shared" ref="G63:G64" si="19">D63/E63*F63</f>
        <v>2.0710900473933651</v>
      </c>
      <c r="H63" s="38">
        <v>28.7</v>
      </c>
      <c r="I63" s="26">
        <f t="shared" si="18"/>
        <v>59.44028436018958</v>
      </c>
    </row>
    <row r="64" spans="1:20">
      <c r="A64" s="36"/>
      <c r="B64" s="37" t="s">
        <v>23</v>
      </c>
      <c r="C64" s="41" t="s">
        <v>26</v>
      </c>
      <c r="D64" s="37">
        <f>1510*0.46</f>
        <v>694.6</v>
      </c>
      <c r="E64" s="7">
        <f>247*8*(A63/1974)</f>
        <v>211.21377912867277</v>
      </c>
      <c r="F64" s="35">
        <f>E64/A63</f>
        <v>1.0010131712259374</v>
      </c>
      <c r="G64" s="45">
        <f t="shared" si="19"/>
        <v>3.2919431279620857</v>
      </c>
      <c r="H64" s="38">
        <v>40.76</v>
      </c>
      <c r="I64" s="26">
        <f t="shared" si="18"/>
        <v>134.17960189573461</v>
      </c>
    </row>
    <row r="65" spans="1:12" s="1" customFormat="1" ht="15.75" thickBot="1">
      <c r="A65" s="20"/>
      <c r="B65" s="21"/>
      <c r="C65" s="21"/>
      <c r="D65" s="21"/>
      <c r="E65" s="21"/>
      <c r="F65" s="21"/>
      <c r="G65" s="46"/>
      <c r="H65" s="25"/>
      <c r="I65" s="24">
        <f>SUM(I61:I64)</f>
        <v>2778.1959331213279</v>
      </c>
      <c r="J65" s="3">
        <f>I65*A63</f>
        <v>586199.34188860015</v>
      </c>
      <c r="K65" s="3">
        <f>(1308558-17105.8-17105.8)*0.46</f>
        <v>586199.34399999992</v>
      </c>
      <c r="L65" s="3">
        <f>K65-J65</f>
        <v>2.1113997790962458E-3</v>
      </c>
    </row>
    <row r="66" spans="1:12">
      <c r="A66" s="13" t="s">
        <v>76</v>
      </c>
      <c r="B66" s="11" t="s">
        <v>20</v>
      </c>
      <c r="C66" s="39" t="s">
        <v>24</v>
      </c>
      <c r="D66" s="63">
        <f>89000*0.4</f>
        <v>35600</v>
      </c>
      <c r="E66" s="60">
        <f>247*8*(A68/1974)</f>
        <v>219.22188449848025</v>
      </c>
      <c r="F66" s="61">
        <f>E66/A68</f>
        <v>1.0010131712259371</v>
      </c>
      <c r="G66" s="45">
        <f>D66/E66*F66</f>
        <v>162.55707762557077</v>
      </c>
      <c r="H66" s="12">
        <v>5.36</v>
      </c>
      <c r="I66" s="26">
        <f>H66*G66</f>
        <v>871.30593607305934</v>
      </c>
    </row>
    <row r="67" spans="1:12">
      <c r="A67" s="81" t="s">
        <v>73</v>
      </c>
      <c r="B67" s="5" t="s">
        <v>21</v>
      </c>
      <c r="C67" s="40" t="s">
        <v>25</v>
      </c>
      <c r="D67" s="8">
        <f>(1207-150+4.27686)*0.4</f>
        <v>424.51074399999999</v>
      </c>
      <c r="E67" s="7">
        <f>247*8*(A68/1974)</f>
        <v>219.22188449848025</v>
      </c>
      <c r="F67" s="35">
        <f>E67/A68</f>
        <v>1.0010131712259371</v>
      </c>
      <c r="G67" s="45">
        <f>D67/E67*F67</f>
        <v>1.9384052237442921</v>
      </c>
      <c r="H67" s="6">
        <v>1448.6</v>
      </c>
      <c r="I67" s="26">
        <f t="shared" ref="I67:I69" si="20">H67*G67</f>
        <v>2807.9738071159813</v>
      </c>
    </row>
    <row r="68" spans="1:12">
      <c r="A68" s="82">
        <v>219</v>
      </c>
      <c r="B68" s="37" t="s">
        <v>22</v>
      </c>
      <c r="C68" s="41" t="s">
        <v>26</v>
      </c>
      <c r="D68" s="37">
        <f>1600*0.4</f>
        <v>640</v>
      </c>
      <c r="E68" s="7">
        <f>247*8*(A68/1974)</f>
        <v>219.22188449848025</v>
      </c>
      <c r="F68" s="35">
        <f>E68/A68</f>
        <v>1.0010131712259371</v>
      </c>
      <c r="G68" s="45">
        <f t="shared" ref="G68:G69" si="21">D68/E68*F68</f>
        <v>2.9223744292237441</v>
      </c>
      <c r="H68" s="38">
        <v>28.7</v>
      </c>
      <c r="I68" s="26">
        <f t="shared" si="20"/>
        <v>83.87214611872146</v>
      </c>
    </row>
    <row r="69" spans="1:12">
      <c r="A69" s="36"/>
      <c r="B69" s="37" t="s">
        <v>23</v>
      </c>
      <c r="C69" s="41" t="s">
        <v>26</v>
      </c>
      <c r="D69" s="37">
        <f>1600*0.4</f>
        <v>640</v>
      </c>
      <c r="E69" s="7">
        <f>247*8*(A68/1974)</f>
        <v>219.22188449848025</v>
      </c>
      <c r="F69" s="35">
        <f>E69/A68</f>
        <v>1.0010131712259371</v>
      </c>
      <c r="G69" s="45">
        <f t="shared" si="21"/>
        <v>2.9223744292237441</v>
      </c>
      <c r="H69" s="38">
        <v>40.76</v>
      </c>
      <c r="I69" s="26">
        <f t="shared" si="20"/>
        <v>119.11598173515981</v>
      </c>
    </row>
    <row r="70" spans="1:12" s="1" customFormat="1" ht="15.75" thickBot="1">
      <c r="A70" s="20"/>
      <c r="B70" s="21"/>
      <c r="C70" s="21"/>
      <c r="D70" s="21"/>
      <c r="E70" s="21"/>
      <c r="F70" s="21"/>
      <c r="G70" s="46"/>
      <c r="H70" s="25"/>
      <c r="I70" s="24">
        <f>SUM(I66:I69)</f>
        <v>3882.2678710429223</v>
      </c>
      <c r="J70" s="3">
        <f>I70*A68</f>
        <v>850216.66375840001</v>
      </c>
      <c r="K70" s="3">
        <f>(2226061-50901.8-32511.74-17105.8)*0.4</f>
        <v>850216.66400000011</v>
      </c>
      <c r="L70" s="3">
        <f>K70-J70</f>
        <v>2.416000934317708E-4</v>
      </c>
    </row>
    <row r="71" spans="1:12">
      <c r="A71" s="13" t="s">
        <v>77</v>
      </c>
      <c r="B71" s="11" t="s">
        <v>20</v>
      </c>
      <c r="C71" s="39" t="s">
        <v>24</v>
      </c>
      <c r="D71" s="63">
        <f>48000*0.49</f>
        <v>23520</v>
      </c>
      <c r="E71" s="60">
        <f>247*8*(A73/1974)</f>
        <v>188.19047619047618</v>
      </c>
      <c r="F71" s="61">
        <f>E71/A73</f>
        <v>1.0010131712259371</v>
      </c>
      <c r="G71" s="45">
        <f>D71/E71*F71</f>
        <v>125.1063829787234</v>
      </c>
      <c r="H71" s="12">
        <v>5.36</v>
      </c>
      <c r="I71" s="26">
        <f>H71*G71</f>
        <v>670.57021276595754</v>
      </c>
    </row>
    <row r="72" spans="1:12">
      <c r="A72" s="81" t="s">
        <v>73</v>
      </c>
      <c r="B72" s="5" t="s">
        <v>21</v>
      </c>
      <c r="C72" s="40" t="s">
        <v>25</v>
      </c>
      <c r="D72" s="8">
        <f>(580-108+0.15607)*0.49</f>
        <v>231.3564743</v>
      </c>
      <c r="E72" s="7">
        <f>247*8*(A73/1974)</f>
        <v>188.19047619047618</v>
      </c>
      <c r="F72" s="35">
        <f>E72/A73</f>
        <v>1.0010131712259371</v>
      </c>
      <c r="G72" s="45">
        <f>D72/E72*F72</f>
        <v>1.2306195441489363</v>
      </c>
      <c r="H72" s="6">
        <v>1448.6</v>
      </c>
      <c r="I72" s="26">
        <f t="shared" ref="I72:I74" si="22">H72*G72</f>
        <v>1782.6754716541489</v>
      </c>
    </row>
    <row r="73" spans="1:12">
      <c r="A73" s="82">
        <v>188</v>
      </c>
      <c r="B73" s="37" t="s">
        <v>22</v>
      </c>
      <c r="C73" s="41" t="s">
        <v>26</v>
      </c>
      <c r="D73" s="37">
        <f>960*0.49</f>
        <v>470.4</v>
      </c>
      <c r="E73" s="7">
        <f>247*8*(A73/1974)</f>
        <v>188.19047619047618</v>
      </c>
      <c r="F73" s="35">
        <f>E73/A73</f>
        <v>1.0010131712259371</v>
      </c>
      <c r="G73" s="45">
        <f t="shared" ref="G73:G74" si="23">D73/E73*F73</f>
        <v>2.5021276595744681</v>
      </c>
      <c r="H73" s="38">
        <v>28.7</v>
      </c>
      <c r="I73" s="26">
        <f t="shared" si="22"/>
        <v>71.81106382978723</v>
      </c>
    </row>
    <row r="74" spans="1:12">
      <c r="A74" s="36"/>
      <c r="B74" s="37" t="s">
        <v>23</v>
      </c>
      <c r="C74" s="41" t="s">
        <v>26</v>
      </c>
      <c r="D74" s="37">
        <f>960*0.49</f>
        <v>470.4</v>
      </c>
      <c r="E74" s="7">
        <f>247*8*(A73/1974)</f>
        <v>188.19047619047618</v>
      </c>
      <c r="F74" s="35">
        <f>E74/A73</f>
        <v>1.0010131712259371</v>
      </c>
      <c r="G74" s="45">
        <f t="shared" si="23"/>
        <v>2.5021276595744681</v>
      </c>
      <c r="H74" s="38">
        <v>40.76</v>
      </c>
      <c r="I74" s="26">
        <f t="shared" si="22"/>
        <v>101.98672340425532</v>
      </c>
    </row>
    <row r="75" spans="1:12" s="1" customFormat="1" ht="15.75" thickBot="1">
      <c r="A75" s="20"/>
      <c r="B75" s="21"/>
      <c r="C75" s="21"/>
      <c r="D75" s="21"/>
      <c r="E75" s="21"/>
      <c r="F75" s="21"/>
      <c r="G75" s="46"/>
      <c r="H75" s="25"/>
      <c r="I75" s="24">
        <f>SUM(I71:I74)</f>
        <v>2627.043471654149</v>
      </c>
      <c r="J75" s="3">
        <f>I75*A73</f>
        <v>493884.17267098004</v>
      </c>
      <c r="K75" s="3">
        <f>(1106615-60953.74-20628.58-17105.8)*0.49</f>
        <v>493884.17119999998</v>
      </c>
      <c r="L75" s="3">
        <f>K75-J75</f>
        <v>-1.4709800598211586E-3</v>
      </c>
    </row>
    <row r="76" spans="1:12">
      <c r="A76" s="13" t="s">
        <v>78</v>
      </c>
      <c r="B76" s="11" t="s">
        <v>20</v>
      </c>
      <c r="C76" s="39" t="s">
        <v>24</v>
      </c>
      <c r="D76" s="63">
        <f>89000*0.48</f>
        <v>42720</v>
      </c>
      <c r="E76" s="60">
        <f>247*8*(A78/1974)</f>
        <v>370.37487335359674</v>
      </c>
      <c r="F76" s="61">
        <f>E76/A78</f>
        <v>1.0010131712259371</v>
      </c>
      <c r="G76" s="45">
        <f>D76/E76*F76</f>
        <v>115.45945945945945</v>
      </c>
      <c r="H76" s="12">
        <v>5.36</v>
      </c>
      <c r="I76" s="26">
        <f>H76*G76</f>
        <v>618.86270270270268</v>
      </c>
    </row>
    <row r="77" spans="1:12">
      <c r="A77" s="81" t="s">
        <v>73</v>
      </c>
      <c r="B77" s="5" t="s">
        <v>21</v>
      </c>
      <c r="C77" s="40" t="s">
        <v>25</v>
      </c>
      <c r="D77" s="8">
        <f>(1400-209+2.153)*0.48</f>
        <v>572.71343999999999</v>
      </c>
      <c r="E77" s="7">
        <f>247*8*(A78/1974)</f>
        <v>370.37487335359674</v>
      </c>
      <c r="F77" s="35">
        <f>E77/A78</f>
        <v>1.0010131712259371</v>
      </c>
      <c r="G77" s="45">
        <f>D77/E77*F77</f>
        <v>1.5478741621621621</v>
      </c>
      <c r="H77" s="6">
        <v>1448.6</v>
      </c>
      <c r="I77" s="26">
        <f t="shared" ref="I77:I79" si="24">H77*G77</f>
        <v>2242.2505113081079</v>
      </c>
    </row>
    <row r="78" spans="1:12">
      <c r="A78" s="82">
        <v>370</v>
      </c>
      <c r="B78" s="37" t="s">
        <v>22</v>
      </c>
      <c r="C78" s="41" t="s">
        <v>26</v>
      </c>
      <c r="D78" s="37">
        <f>2500*0.48</f>
        <v>1200</v>
      </c>
      <c r="E78" s="7">
        <f>247*8*(A78/1974)</f>
        <v>370.37487335359674</v>
      </c>
      <c r="F78" s="35">
        <f>E78/A78</f>
        <v>1.0010131712259371</v>
      </c>
      <c r="G78" s="45">
        <f t="shared" ref="G78:G79" si="25">D78/E78*F78</f>
        <v>3.243243243243243</v>
      </c>
      <c r="H78" s="38">
        <v>28.7</v>
      </c>
      <c r="I78" s="26">
        <f t="shared" si="24"/>
        <v>93.081081081081066</v>
      </c>
    </row>
    <row r="79" spans="1:12">
      <c r="A79" s="36"/>
      <c r="B79" s="37" t="s">
        <v>23</v>
      </c>
      <c r="C79" s="41" t="s">
        <v>26</v>
      </c>
      <c r="D79" s="37">
        <f>2500*0.48</f>
        <v>1200</v>
      </c>
      <c r="E79" s="7">
        <f>247*8*(A78/1974)</f>
        <v>370.37487335359674</v>
      </c>
      <c r="F79" s="35">
        <f>E79/A78</f>
        <v>1.0010131712259371</v>
      </c>
      <c r="G79" s="45">
        <f t="shared" si="25"/>
        <v>3.243243243243243</v>
      </c>
      <c r="H79" s="38">
        <v>40.76</v>
      </c>
      <c r="I79" s="26">
        <f t="shared" si="24"/>
        <v>132.19459459459458</v>
      </c>
    </row>
    <row r="80" spans="1:12" s="1" customFormat="1" ht="15.75" thickBot="1">
      <c r="A80" s="20"/>
      <c r="B80" s="21"/>
      <c r="C80" s="21"/>
      <c r="D80" s="21"/>
      <c r="E80" s="21"/>
      <c r="F80" s="21"/>
      <c r="G80" s="46"/>
      <c r="H80" s="25"/>
      <c r="I80" s="24">
        <f>SUM(I76:I79)</f>
        <v>3086.3888896864864</v>
      </c>
      <c r="J80" s="3">
        <f>I80*A78</f>
        <v>1141963.889184</v>
      </c>
      <c r="K80" s="3">
        <f>(2550991-122191.12-32602.64-17105.8)*0.48</f>
        <v>1141963.8912</v>
      </c>
      <c r="L80" s="3">
        <f>K80-J80</f>
        <v>2.0159999839961529E-3</v>
      </c>
    </row>
    <row r="81" spans="1:12">
      <c r="A81" s="13" t="s">
        <v>79</v>
      </c>
      <c r="B81" s="11" t="s">
        <v>20</v>
      </c>
      <c r="C81" s="39" t="s">
        <v>24</v>
      </c>
      <c r="D81" s="63">
        <f>185000*0.43</f>
        <v>79550</v>
      </c>
      <c r="E81" s="60">
        <f>247*8*(A83/1974)</f>
        <v>370.37487335359674</v>
      </c>
      <c r="F81" s="61">
        <f>E81/A83</f>
        <v>1.0010131712259371</v>
      </c>
      <c r="G81" s="45">
        <f>D81/E81*F81</f>
        <v>215</v>
      </c>
      <c r="H81" s="12">
        <v>5.36</v>
      </c>
      <c r="I81" s="26">
        <f>H81*G81</f>
        <v>1152.4000000000001</v>
      </c>
    </row>
    <row r="82" spans="1:12">
      <c r="A82" s="81" t="s">
        <v>73</v>
      </c>
      <c r="B82" s="5" t="s">
        <v>21</v>
      </c>
      <c r="C82" s="40" t="s">
        <v>25</v>
      </c>
      <c r="D82" s="8">
        <f>(1900-189+2.97783)*0.43</f>
        <v>737.01046689999998</v>
      </c>
      <c r="E82" s="7">
        <f>247*8*(A83/1974)</f>
        <v>370.37487335359674</v>
      </c>
      <c r="F82" s="35">
        <f>E82/A83</f>
        <v>1.0010131712259371</v>
      </c>
      <c r="G82" s="45">
        <f>D82/E82*F82</f>
        <v>1.9919201808108109</v>
      </c>
      <c r="H82" s="6">
        <v>1448.6</v>
      </c>
      <c r="I82" s="26">
        <f t="shared" ref="I82:I84" si="26">H82*G82</f>
        <v>2885.4955739225406</v>
      </c>
    </row>
    <row r="83" spans="1:12">
      <c r="A83" s="82">
        <v>370</v>
      </c>
      <c r="B83" s="37" t="s">
        <v>22</v>
      </c>
      <c r="C83" s="41" t="s">
        <v>26</v>
      </c>
      <c r="D83" s="37">
        <f>5500*0.43</f>
        <v>2365</v>
      </c>
      <c r="E83" s="7">
        <f>247*8*(A83/1974)</f>
        <v>370.37487335359674</v>
      </c>
      <c r="F83" s="35">
        <f>E83/A83</f>
        <v>1.0010131712259371</v>
      </c>
      <c r="G83" s="45">
        <f t="shared" ref="G83:G84" si="27">D83/E83*F83</f>
        <v>6.3918918918918921</v>
      </c>
      <c r="H83" s="38">
        <v>28.7</v>
      </c>
      <c r="I83" s="26">
        <f t="shared" si="26"/>
        <v>183.4472972972973</v>
      </c>
    </row>
    <row r="84" spans="1:12">
      <c r="A84" s="36"/>
      <c r="B84" s="37" t="s">
        <v>23</v>
      </c>
      <c r="C84" s="41" t="s">
        <v>26</v>
      </c>
      <c r="D84" s="37">
        <f>5500*0.43</f>
        <v>2365</v>
      </c>
      <c r="E84" s="7">
        <f>247*8*(A83/1974)</f>
        <v>370.37487335359674</v>
      </c>
      <c r="F84" s="35">
        <f>E84/A83</f>
        <v>1.0010131712259371</v>
      </c>
      <c r="G84" s="45">
        <f t="shared" si="27"/>
        <v>6.3918918918918921</v>
      </c>
      <c r="H84" s="38">
        <v>40.76</v>
      </c>
      <c r="I84" s="26">
        <f t="shared" si="26"/>
        <v>260.53351351351353</v>
      </c>
    </row>
    <row r="85" spans="1:12" s="1" customFormat="1" ht="15.75" thickBot="1">
      <c r="A85" s="20"/>
      <c r="B85" s="21"/>
      <c r="C85" s="21"/>
      <c r="D85" s="21"/>
      <c r="E85" s="21"/>
      <c r="F85" s="21"/>
      <c r="G85" s="46"/>
      <c r="H85" s="25"/>
      <c r="I85" s="24">
        <f>SUM(I81:I84)</f>
        <v>4481.8763847333521</v>
      </c>
      <c r="J85" s="3">
        <f>I85*A83</f>
        <v>1658294.2623513404</v>
      </c>
      <c r="K85" s="3">
        <f>(3900968-27363.92-17105.8)*0.43</f>
        <v>1658294.2604</v>
      </c>
      <c r="L85" s="3">
        <f>K85-J85</f>
        <v>-1.9513403531163931E-3</v>
      </c>
    </row>
    <row r="86" spans="1:12">
      <c r="A86" s="13" t="s">
        <v>80</v>
      </c>
      <c r="B86" s="11" t="s">
        <v>20</v>
      </c>
      <c r="C86" s="39" t="s">
        <v>24</v>
      </c>
      <c r="D86" s="63">
        <f>82000*0.44</f>
        <v>36080</v>
      </c>
      <c r="E86" s="60">
        <f>247*8*(A88/1974)</f>
        <v>244.24721377912866</v>
      </c>
      <c r="F86" s="61">
        <f>E86/A88</f>
        <v>1.0010131712259371</v>
      </c>
      <c r="G86" s="45">
        <f>D86/E86*F86</f>
        <v>147.86885245901638</v>
      </c>
      <c r="H86" s="12">
        <v>5.36</v>
      </c>
      <c r="I86" s="26">
        <f>H86*G86</f>
        <v>792.57704918032789</v>
      </c>
    </row>
    <row r="87" spans="1:12">
      <c r="A87" s="81" t="s">
        <v>73</v>
      </c>
      <c r="B87" s="5" t="s">
        <v>21</v>
      </c>
      <c r="C87" s="40" t="s">
        <v>25</v>
      </c>
      <c r="D87" s="8">
        <f>(800-201+1.02308)*0.44</f>
        <v>264.01015520000004</v>
      </c>
      <c r="E87" s="7">
        <f>247*8*(A88/1974)</f>
        <v>244.24721377912866</v>
      </c>
      <c r="F87" s="35">
        <f>E87/A88</f>
        <v>1.0010131712259371</v>
      </c>
      <c r="G87" s="45">
        <f>D87/E87*F87</f>
        <v>1.0820088327868855</v>
      </c>
      <c r="H87" s="6">
        <v>1448.6</v>
      </c>
      <c r="I87" s="26">
        <f t="shared" ref="I87:I89" si="28">H87*G87</f>
        <v>1567.3979951750823</v>
      </c>
    </row>
    <row r="88" spans="1:12">
      <c r="A88" s="82">
        <v>244</v>
      </c>
      <c r="B88" s="37" t="s">
        <v>22</v>
      </c>
      <c r="C88" s="41" t="s">
        <v>26</v>
      </c>
      <c r="D88" s="37">
        <f>2400*0.44</f>
        <v>1056</v>
      </c>
      <c r="E88" s="7">
        <f>247*8*(A88/1974)</f>
        <v>244.24721377912866</v>
      </c>
      <c r="F88" s="35">
        <f>E88/A88</f>
        <v>1.0010131712259371</v>
      </c>
      <c r="G88" s="45">
        <f t="shared" ref="G88:G89" si="29">D88/E88*F88</f>
        <v>4.3278688524590168</v>
      </c>
      <c r="H88" s="38">
        <v>28.7</v>
      </c>
      <c r="I88" s="26">
        <f t="shared" si="28"/>
        <v>124.20983606557378</v>
      </c>
    </row>
    <row r="89" spans="1:12">
      <c r="A89" s="36"/>
      <c r="B89" s="37" t="s">
        <v>23</v>
      </c>
      <c r="C89" s="41" t="s">
        <v>26</v>
      </c>
      <c r="D89" s="37">
        <f>2400*0.44</f>
        <v>1056</v>
      </c>
      <c r="E89" s="7">
        <f>247*8*(A88/1974)</f>
        <v>244.24721377912866</v>
      </c>
      <c r="F89" s="35">
        <f>E89/A88</f>
        <v>1.0010131712259371</v>
      </c>
      <c r="G89" s="45">
        <f t="shared" si="29"/>
        <v>4.3278688524590168</v>
      </c>
      <c r="H89" s="38">
        <v>40.76</v>
      </c>
      <c r="I89" s="26">
        <f t="shared" si="28"/>
        <v>176.40393442622951</v>
      </c>
    </row>
    <row r="90" spans="1:12" s="1" customFormat="1" ht="15.75" thickBot="1">
      <c r="A90" s="20"/>
      <c r="B90" s="21"/>
      <c r="C90" s="21"/>
      <c r="D90" s="21"/>
      <c r="E90" s="21"/>
      <c r="F90" s="21"/>
      <c r="G90" s="46"/>
      <c r="H90" s="25"/>
      <c r="I90" s="24">
        <f>SUM(I86:I89)</f>
        <v>2660.5888148472136</v>
      </c>
      <c r="J90" s="3">
        <f>I90*A88</f>
        <v>649183.67082272016</v>
      </c>
      <c r="K90" s="3">
        <f>(1667562-151010.46-24028.3-17105.8)*0.44</f>
        <v>649183.67359999998</v>
      </c>
      <c r="L90" s="3">
        <f>K90-J90</f>
        <v>2.7772798202931881E-3</v>
      </c>
    </row>
    <row r="91" spans="1:12" s="1" customFormat="1" ht="15.75" thickBot="1">
      <c r="A91" s="54"/>
      <c r="B91" s="55"/>
      <c r="C91" s="56"/>
      <c r="D91" s="55"/>
      <c r="E91" s="83"/>
      <c r="F91" s="55"/>
      <c r="G91" s="54"/>
      <c r="H91" s="57"/>
      <c r="I91" s="58"/>
    </row>
    <row r="92" spans="1:12">
      <c r="A92" s="13" t="s">
        <v>81</v>
      </c>
      <c r="B92" s="14" t="s">
        <v>20</v>
      </c>
      <c r="C92" s="59" t="s">
        <v>24</v>
      </c>
      <c r="D92" s="84">
        <f>117000*0.48</f>
        <v>56160</v>
      </c>
      <c r="E92" s="60">
        <f>247*8*(A94/1974)</f>
        <v>433.4387031408308</v>
      </c>
      <c r="F92" s="43">
        <f>E92/A94</f>
        <v>1.0010131712259371</v>
      </c>
      <c r="G92" s="52">
        <f>D92/E92*F92</f>
        <v>129.69976905311779</v>
      </c>
      <c r="H92" s="15">
        <v>5.36</v>
      </c>
      <c r="I92" s="17">
        <f>H92*G92</f>
        <v>695.19076212471145</v>
      </c>
    </row>
    <row r="93" spans="1:12">
      <c r="A93" s="81" t="s">
        <v>73</v>
      </c>
      <c r="B93" s="5" t="s">
        <v>21</v>
      </c>
      <c r="C93" s="40" t="s">
        <v>25</v>
      </c>
      <c r="D93" s="8">
        <f>(1892-205+1.16436)*0.48</f>
        <v>810.31889279999996</v>
      </c>
      <c r="E93" s="7">
        <f>247*8*(A94/1974)</f>
        <v>433.4387031408308</v>
      </c>
      <c r="F93" s="35">
        <f>E93/A94</f>
        <v>1.0010131712259371</v>
      </c>
      <c r="G93" s="45">
        <f>D93/E93*F93</f>
        <v>1.8714062189376441</v>
      </c>
      <c r="H93" s="6">
        <v>1448.6</v>
      </c>
      <c r="I93" s="26">
        <f t="shared" ref="I93:I95" si="30">H93*G93</f>
        <v>2710.9190487530709</v>
      </c>
    </row>
    <row r="94" spans="1:12">
      <c r="A94" s="82">
        <v>433</v>
      </c>
      <c r="B94" s="37" t="s">
        <v>22</v>
      </c>
      <c r="C94" s="41" t="s">
        <v>26</v>
      </c>
      <c r="D94" s="37">
        <f>2000*0.48</f>
        <v>960</v>
      </c>
      <c r="E94" s="7">
        <f>247*8*(A94/1974)</f>
        <v>433.4387031408308</v>
      </c>
      <c r="F94" s="35">
        <f>E94/A94</f>
        <v>1.0010131712259371</v>
      </c>
      <c r="G94" s="45">
        <f t="shared" ref="G94:G95" si="31">D94/E94*F94</f>
        <v>2.2170900692840645</v>
      </c>
      <c r="H94" s="38">
        <v>28.7</v>
      </c>
      <c r="I94" s="26">
        <f t="shared" si="30"/>
        <v>63.63048498845265</v>
      </c>
    </row>
    <row r="95" spans="1:12">
      <c r="A95" s="36"/>
      <c r="B95" s="37" t="s">
        <v>23</v>
      </c>
      <c r="C95" s="41" t="s">
        <v>26</v>
      </c>
      <c r="D95" s="37">
        <f>2000*0.48</f>
        <v>960</v>
      </c>
      <c r="E95" s="7">
        <f>247*8*(A94/1974)</f>
        <v>433.4387031408308</v>
      </c>
      <c r="F95" s="35">
        <f>E95/A94</f>
        <v>1.0010131712259371</v>
      </c>
      <c r="G95" s="45">
        <f t="shared" si="31"/>
        <v>2.2170900692840645</v>
      </c>
      <c r="H95" s="38">
        <v>40.76</v>
      </c>
      <c r="I95" s="26">
        <f t="shared" si="30"/>
        <v>90.368591224018459</v>
      </c>
    </row>
    <row r="96" spans="1:12" s="1" customFormat="1" ht="15.75" thickBot="1">
      <c r="A96" s="20"/>
      <c r="B96" s="21"/>
      <c r="C96" s="21"/>
      <c r="D96" s="21"/>
      <c r="E96" s="21"/>
      <c r="F96" s="21"/>
      <c r="G96" s="46"/>
      <c r="H96" s="25"/>
      <c r="I96" s="24">
        <f>SUM(I92:I95)</f>
        <v>3560.1088870902536</v>
      </c>
      <c r="J96" s="3">
        <f>I96*A94</f>
        <v>1541527.1481100798</v>
      </c>
      <c r="K96" s="3">
        <f>(3349297-91591.08-29085.22-17105.8)*0.48</f>
        <v>1541527.152</v>
      </c>
      <c r="L96" s="3">
        <f>K96-J96</f>
        <v>3.8899201899766922E-3</v>
      </c>
    </row>
    <row r="97" spans="1:20" s="1" customFormat="1" ht="15.75" thickBot="1">
      <c r="A97" s="54"/>
      <c r="B97" s="55"/>
      <c r="C97" s="56"/>
      <c r="D97" s="55"/>
      <c r="E97" s="62"/>
      <c r="F97" s="55"/>
      <c r="G97" s="54"/>
      <c r="H97" s="57"/>
      <c r="I97" s="58"/>
    </row>
    <row r="98" spans="1:20">
      <c r="A98" s="13" t="s">
        <v>82</v>
      </c>
      <c r="B98" s="14" t="s">
        <v>20</v>
      </c>
      <c r="C98" s="59" t="s">
        <v>24</v>
      </c>
      <c r="D98" s="84">
        <f>57000*0.45</f>
        <v>25650</v>
      </c>
      <c r="E98" s="60">
        <f>247*8*(A100/1974)</f>
        <v>103.10435663627153</v>
      </c>
      <c r="F98" s="43">
        <f>E98/A100</f>
        <v>1.0010131712259371</v>
      </c>
      <c r="G98" s="52">
        <f>D98/E98*F98</f>
        <v>249.02912621359221</v>
      </c>
      <c r="H98" s="15">
        <v>5.36</v>
      </c>
      <c r="I98" s="17">
        <f>H98*G98</f>
        <v>1334.7961165048544</v>
      </c>
    </row>
    <row r="99" spans="1:20">
      <c r="A99" s="81" t="s">
        <v>73</v>
      </c>
      <c r="B99" s="5" t="s">
        <v>21</v>
      </c>
      <c r="C99" s="40" t="s">
        <v>25</v>
      </c>
      <c r="D99" s="8">
        <f>(1060-80+1.91286)*0.45</f>
        <v>441.86078700000002</v>
      </c>
      <c r="E99" s="7">
        <f>247*8*(A100/1974)</f>
        <v>103.10435663627153</v>
      </c>
      <c r="F99" s="35">
        <f>E99/A100</f>
        <v>1.0010131712259371</v>
      </c>
      <c r="G99" s="45">
        <f>D99/E99*F99</f>
        <v>4.2899105533980579</v>
      </c>
      <c r="H99" s="6">
        <v>1448.6</v>
      </c>
      <c r="I99" s="26">
        <f t="shared" ref="I99:I101" si="32">H99*G99</f>
        <v>6214.3644276524265</v>
      </c>
    </row>
    <row r="100" spans="1:20">
      <c r="A100" s="82">
        <v>103</v>
      </c>
      <c r="B100" s="37" t="s">
        <v>22</v>
      </c>
      <c r="C100" s="41" t="s">
        <v>26</v>
      </c>
      <c r="D100" s="37">
        <f>750*0.45</f>
        <v>337.5</v>
      </c>
      <c r="E100" s="7">
        <f>247*8*(A100/1974)</f>
        <v>103.10435663627153</v>
      </c>
      <c r="F100" s="35">
        <f>E100/A100</f>
        <v>1.0010131712259371</v>
      </c>
      <c r="G100" s="45">
        <f t="shared" ref="G100:G101" si="33">D100/E100*F100</f>
        <v>3.2766990291262132</v>
      </c>
      <c r="H100" s="38">
        <v>28.7</v>
      </c>
      <c r="I100" s="26">
        <f t="shared" si="32"/>
        <v>94.041262135922324</v>
      </c>
    </row>
    <row r="101" spans="1:20">
      <c r="A101" s="36"/>
      <c r="B101" s="37" t="s">
        <v>23</v>
      </c>
      <c r="C101" s="41" t="s">
        <v>26</v>
      </c>
      <c r="D101" s="37">
        <f>1150*0.45</f>
        <v>517.5</v>
      </c>
      <c r="E101" s="7">
        <f>247*8*(A100/1974)</f>
        <v>103.10435663627153</v>
      </c>
      <c r="F101" s="35">
        <f>E101/A100</f>
        <v>1.0010131712259371</v>
      </c>
      <c r="G101" s="45">
        <f t="shared" si="33"/>
        <v>5.0242718446601939</v>
      </c>
      <c r="H101" s="38">
        <v>40.76</v>
      </c>
      <c r="I101" s="26">
        <f t="shared" si="32"/>
        <v>204.78932038834949</v>
      </c>
    </row>
    <row r="102" spans="1:20" s="1" customFormat="1" ht="15.75" thickBot="1">
      <c r="A102" s="20"/>
      <c r="B102" s="21"/>
      <c r="C102" s="21"/>
      <c r="D102" s="21"/>
      <c r="E102" s="21"/>
      <c r="F102" s="21"/>
      <c r="G102" s="46"/>
      <c r="H102" s="25"/>
      <c r="I102" s="24">
        <f>SUM(I98:I101)</f>
        <v>7847.9911266815525</v>
      </c>
      <c r="J102" s="3">
        <f>I102*A100</f>
        <v>808343.08604819991</v>
      </c>
      <c r="K102" s="3">
        <f>(1823591-10167.22-17105.8)*0.45</f>
        <v>808343.09100000001</v>
      </c>
      <c r="L102" s="3">
        <f>K102-J102</f>
        <v>4.9518001032993197E-3</v>
      </c>
    </row>
    <row r="103" spans="1:20">
      <c r="A103" s="13" t="s">
        <v>83</v>
      </c>
      <c r="B103" s="14" t="s">
        <v>20</v>
      </c>
      <c r="C103" s="59" t="s">
        <v>24</v>
      </c>
      <c r="D103" s="84">
        <f>39000*0.48</f>
        <v>18720</v>
      </c>
      <c r="E103" s="60">
        <f>247*8*(A105/1974)</f>
        <v>115.11651469098277</v>
      </c>
      <c r="F103" s="43">
        <f>E103/A105</f>
        <v>1.0010131712259371</v>
      </c>
      <c r="G103" s="52">
        <f>D103/E103*F103</f>
        <v>162.78260869565216</v>
      </c>
      <c r="H103" s="15">
        <v>5.36</v>
      </c>
      <c r="I103" s="17">
        <f>H103*G103</f>
        <v>872.51478260869567</v>
      </c>
    </row>
    <row r="104" spans="1:20">
      <c r="A104" s="81" t="s">
        <v>73</v>
      </c>
      <c r="B104" s="5" t="s">
        <v>21</v>
      </c>
      <c r="C104" s="40" t="s">
        <v>25</v>
      </c>
      <c r="D104" s="8">
        <f>(818-66+2.7722)*0.48</f>
        <v>362.29065600000001</v>
      </c>
      <c r="E104" s="7">
        <f>247*8*(A105/1974)</f>
        <v>115.11651469098277</v>
      </c>
      <c r="F104" s="35">
        <f>E104/A105</f>
        <v>1.0010131712259371</v>
      </c>
      <c r="G104" s="45">
        <f>D104/E104*F104</f>
        <v>3.1503535304347827</v>
      </c>
      <c r="H104" s="6">
        <v>1448.6</v>
      </c>
      <c r="I104" s="26">
        <f t="shared" ref="I104:I106" si="34">H104*G104</f>
        <v>4563.6021241878261</v>
      </c>
    </row>
    <row r="105" spans="1:20">
      <c r="A105" s="82">
        <v>115</v>
      </c>
      <c r="B105" s="37" t="s">
        <v>22</v>
      </c>
      <c r="C105" s="41" t="s">
        <v>26</v>
      </c>
      <c r="D105" s="37">
        <f>1000*0.48</f>
        <v>480</v>
      </c>
      <c r="E105" s="7">
        <f>247*8*(A105/1974)</f>
        <v>115.11651469098277</v>
      </c>
      <c r="F105" s="35">
        <f>E105/A105</f>
        <v>1.0010131712259371</v>
      </c>
      <c r="G105" s="45">
        <f t="shared" ref="G105:G106" si="35">D105/E105*F105</f>
        <v>4.1739130434782608</v>
      </c>
      <c r="H105" s="38">
        <v>28.7</v>
      </c>
      <c r="I105" s="26">
        <f t="shared" si="34"/>
        <v>119.79130434782608</v>
      </c>
    </row>
    <row r="106" spans="1:20">
      <c r="A106" s="36"/>
      <c r="B106" s="37" t="s">
        <v>23</v>
      </c>
      <c r="C106" s="41" t="s">
        <v>26</v>
      </c>
      <c r="D106" s="37">
        <f>1300*0.48</f>
        <v>624</v>
      </c>
      <c r="E106" s="7">
        <f>247*8*(A105/1974)</f>
        <v>115.11651469098277</v>
      </c>
      <c r="F106" s="35">
        <f>E106/A105</f>
        <v>1.0010131712259371</v>
      </c>
      <c r="G106" s="45">
        <f t="shared" si="35"/>
        <v>5.4260869565217389</v>
      </c>
      <c r="H106" s="38">
        <v>40.76</v>
      </c>
      <c r="I106" s="26">
        <f t="shared" si="34"/>
        <v>221.16730434782608</v>
      </c>
    </row>
    <row r="107" spans="1:20" s="1" customFormat="1" ht="15.75" thickBot="1">
      <c r="A107" s="20"/>
      <c r="B107" s="21"/>
      <c r="C107" s="21"/>
      <c r="D107" s="21"/>
      <c r="E107" s="21"/>
      <c r="F107" s="21"/>
      <c r="G107" s="46"/>
      <c r="H107" s="25"/>
      <c r="I107" s="24">
        <f>SUM(I103:I106)</f>
        <v>5777.0755154921735</v>
      </c>
      <c r="J107" s="3">
        <f>I107*A105</f>
        <v>664363.68428159994</v>
      </c>
      <c r="K107" s="3">
        <f>(1411471-10274.2-17105.8)*0.48</f>
        <v>664363.67999999993</v>
      </c>
      <c r="L107" s="3">
        <f>K107-J107</f>
        <v>-4.2816000059247017E-3</v>
      </c>
    </row>
    <row r="108" spans="1:20" s="1" customFormat="1">
      <c r="A108" s="54"/>
      <c r="B108" s="55"/>
      <c r="C108" s="55"/>
      <c r="D108" s="55"/>
      <c r="E108" s="55"/>
      <c r="F108" s="55"/>
      <c r="G108" s="86"/>
      <c r="H108" s="57"/>
      <c r="I108" s="58"/>
      <c r="J108" s="3"/>
      <c r="K108" s="3"/>
      <c r="L108" s="3"/>
    </row>
    <row r="109" spans="1:20" ht="18.75">
      <c r="A109" s="73" t="s">
        <v>86</v>
      </c>
      <c r="T109" s="1"/>
    </row>
    <row r="110" spans="1:20" ht="15.75" thickBot="1">
      <c r="G110" s="65" t="s">
        <v>63</v>
      </c>
    </row>
    <row r="111" spans="1:20" ht="105">
      <c r="A111" s="27" t="s">
        <v>2</v>
      </c>
      <c r="B111" s="28" t="s">
        <v>19</v>
      </c>
      <c r="C111" s="28" t="s">
        <v>14</v>
      </c>
      <c r="D111" s="28" t="s">
        <v>16</v>
      </c>
      <c r="E111" s="28" t="s">
        <v>27</v>
      </c>
      <c r="F111" s="28" t="s">
        <v>72</v>
      </c>
      <c r="G111" s="28" t="s">
        <v>29</v>
      </c>
      <c r="H111" s="28" t="s">
        <v>30</v>
      </c>
      <c r="I111" s="29" t="s">
        <v>11</v>
      </c>
      <c r="J111" s="2" t="s">
        <v>33</v>
      </c>
      <c r="K111" s="2" t="s">
        <v>34</v>
      </c>
      <c r="L111" s="2"/>
    </row>
    <row r="112" spans="1:20" ht="15.75" thickBot="1">
      <c r="A112" s="30">
        <v>1</v>
      </c>
      <c r="B112" s="31">
        <v>2</v>
      </c>
      <c r="C112" s="31">
        <v>3</v>
      </c>
      <c r="D112" s="31">
        <v>4</v>
      </c>
      <c r="E112" s="31">
        <v>5</v>
      </c>
      <c r="F112" s="31" t="s">
        <v>59</v>
      </c>
      <c r="G112" s="31" t="s">
        <v>31</v>
      </c>
      <c r="H112" s="32">
        <v>8</v>
      </c>
      <c r="I112" s="33" t="s">
        <v>32</v>
      </c>
    </row>
    <row r="113" spans="1:12">
      <c r="A113" s="13" t="s">
        <v>71</v>
      </c>
      <c r="B113" s="11" t="s">
        <v>20</v>
      </c>
      <c r="C113" s="39" t="s">
        <v>24</v>
      </c>
      <c r="D113" s="63">
        <f>43000*0.14</f>
        <v>6020.0000000000009</v>
      </c>
      <c r="E113" s="60">
        <f>247*8*(A115/1974)</f>
        <v>61.061803444782164</v>
      </c>
      <c r="F113" s="61">
        <f>E113/A115</f>
        <v>1.0010131712259371</v>
      </c>
      <c r="G113" s="45">
        <f>D113/E113*F113</f>
        <v>98.688524590163951</v>
      </c>
      <c r="H113" s="12">
        <v>5.36</v>
      </c>
      <c r="I113" s="26">
        <f>H113*G113</f>
        <v>528.97049180327883</v>
      </c>
    </row>
    <row r="114" spans="1:12">
      <c r="A114" s="81" t="s">
        <v>73</v>
      </c>
      <c r="B114" s="5" t="s">
        <v>21</v>
      </c>
      <c r="C114" s="40" t="s">
        <v>25</v>
      </c>
      <c r="D114" s="8">
        <f>(750-100+9.29433)*0.14</f>
        <v>92.301206199999996</v>
      </c>
      <c r="E114" s="7">
        <f>247*8*(A115/1974)</f>
        <v>61.061803444782164</v>
      </c>
      <c r="F114" s="35">
        <f>E114/A115</f>
        <v>1.0010131712259371</v>
      </c>
      <c r="G114" s="45">
        <f>D114/E114*F114</f>
        <v>1.5131345278688524</v>
      </c>
      <c r="H114" s="6">
        <v>1448.6</v>
      </c>
      <c r="I114" s="26">
        <f t="shared" ref="I114:I116" si="36">H114*G114</f>
        <v>2191.9266770708196</v>
      </c>
    </row>
    <row r="115" spans="1:12">
      <c r="A115" s="82">
        <v>61</v>
      </c>
      <c r="B115" s="37" t="s">
        <v>22</v>
      </c>
      <c r="C115" s="41" t="s">
        <v>26</v>
      </c>
      <c r="D115" s="37">
        <f>950*0.14</f>
        <v>133</v>
      </c>
      <c r="E115" s="7">
        <f>247*8*(A115/1974)</f>
        <v>61.061803444782164</v>
      </c>
      <c r="F115" s="35">
        <f>E115/A115</f>
        <v>1.0010131712259371</v>
      </c>
      <c r="G115" s="45">
        <f t="shared" ref="G115:G116" si="37">D115/E115*F115</f>
        <v>2.180327868852459</v>
      </c>
      <c r="H115" s="38">
        <v>28.7</v>
      </c>
      <c r="I115" s="26">
        <f t="shared" si="36"/>
        <v>62.575409836065575</v>
      </c>
    </row>
    <row r="116" spans="1:12">
      <c r="A116" s="36"/>
      <c r="B116" s="37" t="s">
        <v>23</v>
      </c>
      <c r="C116" s="41" t="s">
        <v>26</v>
      </c>
      <c r="D116" s="37">
        <f>1510*0.14</f>
        <v>211.40000000000003</v>
      </c>
      <c r="E116" s="7">
        <f>247*8*(A115/1974)</f>
        <v>61.061803444782164</v>
      </c>
      <c r="F116" s="35">
        <f>E116/A115</f>
        <v>1.0010131712259371</v>
      </c>
      <c r="G116" s="45">
        <f t="shared" si="37"/>
        <v>3.4655737704918037</v>
      </c>
      <c r="H116" s="38">
        <v>40.76</v>
      </c>
      <c r="I116" s="26">
        <f t="shared" si="36"/>
        <v>141.2567868852459</v>
      </c>
    </row>
    <row r="117" spans="1:12" s="1" customFormat="1" ht="15.75" thickBot="1">
      <c r="A117" s="20"/>
      <c r="B117" s="21"/>
      <c r="C117" s="21"/>
      <c r="D117" s="21"/>
      <c r="E117" s="21"/>
      <c r="F117" s="21"/>
      <c r="G117" s="46"/>
      <c r="H117" s="25"/>
      <c r="I117" s="24">
        <f>SUM(I113:I116)</f>
        <v>2924.7293655954099</v>
      </c>
      <c r="J117" s="3">
        <f>I117*A115</f>
        <v>178408.49130132</v>
      </c>
      <c r="K117" s="3">
        <f>(1308558-17105.8-17105.8)*0.14</f>
        <v>178408.49600000001</v>
      </c>
      <c r="L117" s="3">
        <f>K117-J117</f>
        <v>4.6986800152808428E-3</v>
      </c>
    </row>
    <row r="118" spans="1:12">
      <c r="A118" s="13" t="s">
        <v>76</v>
      </c>
      <c r="B118" s="11" t="s">
        <v>20</v>
      </c>
      <c r="C118" s="39" t="s">
        <v>24</v>
      </c>
      <c r="D118" s="63">
        <f>89000*0.06</f>
        <v>5340</v>
      </c>
      <c r="E118" s="60">
        <f>247*8*(A120/1974)</f>
        <v>34.034447821681866</v>
      </c>
      <c r="F118" s="61">
        <f>E118/A120</f>
        <v>1.0010131712259371</v>
      </c>
      <c r="G118" s="45">
        <f>D118/E118*F118</f>
        <v>157.05882352941174</v>
      </c>
      <c r="H118" s="12">
        <v>5.36</v>
      </c>
      <c r="I118" s="26">
        <f>H118*G118</f>
        <v>841.83529411764698</v>
      </c>
    </row>
    <row r="119" spans="1:12">
      <c r="A119" s="81" t="s">
        <v>73</v>
      </c>
      <c r="B119" s="5" t="s">
        <v>21</v>
      </c>
      <c r="C119" s="40" t="s">
        <v>25</v>
      </c>
      <c r="D119" s="8">
        <f>(1207-150+4.27686)*0.06</f>
        <v>63.676611599999994</v>
      </c>
      <c r="E119" s="7">
        <f>247*8*(A120/1974)</f>
        <v>34.034447821681866</v>
      </c>
      <c r="F119" s="35">
        <f>E119/A120</f>
        <v>1.0010131712259371</v>
      </c>
      <c r="G119" s="45">
        <f>D119/E119*F119</f>
        <v>1.8728415176470585</v>
      </c>
      <c r="H119" s="6">
        <v>1448.6</v>
      </c>
      <c r="I119" s="26">
        <f t="shared" ref="I119:I121" si="38">H119*G119</f>
        <v>2712.9982224635287</v>
      </c>
    </row>
    <row r="120" spans="1:12">
      <c r="A120" s="82">
        <v>34</v>
      </c>
      <c r="B120" s="37" t="s">
        <v>22</v>
      </c>
      <c r="C120" s="41" t="s">
        <v>26</v>
      </c>
      <c r="D120" s="37">
        <f>1600*0.06</f>
        <v>96</v>
      </c>
      <c r="E120" s="7">
        <f>247*8*(A120/1974)</f>
        <v>34.034447821681866</v>
      </c>
      <c r="F120" s="35">
        <f>E120/A120</f>
        <v>1.0010131712259371</v>
      </c>
      <c r="G120" s="45">
        <f t="shared" ref="G120:G121" si="39">D120/E120*F120</f>
        <v>2.8235294117647056</v>
      </c>
      <c r="H120" s="38">
        <v>28.7</v>
      </c>
      <c r="I120" s="26">
        <f t="shared" si="38"/>
        <v>81.035294117647055</v>
      </c>
    </row>
    <row r="121" spans="1:12">
      <c r="A121" s="36"/>
      <c r="B121" s="37" t="s">
        <v>23</v>
      </c>
      <c r="C121" s="41" t="s">
        <v>26</v>
      </c>
      <c r="D121" s="37">
        <f>1600*0.06</f>
        <v>96</v>
      </c>
      <c r="E121" s="7">
        <f>247*8*(A120/1974)</f>
        <v>34.034447821681866</v>
      </c>
      <c r="F121" s="35">
        <f>E121/A120</f>
        <v>1.0010131712259371</v>
      </c>
      <c r="G121" s="45">
        <f t="shared" si="39"/>
        <v>2.8235294117647056</v>
      </c>
      <c r="H121" s="38">
        <v>40.76</v>
      </c>
      <c r="I121" s="26">
        <f t="shared" si="38"/>
        <v>115.08705882352939</v>
      </c>
    </row>
    <row r="122" spans="1:12" s="1" customFormat="1" ht="15.75" thickBot="1">
      <c r="A122" s="20"/>
      <c r="B122" s="21"/>
      <c r="C122" s="21"/>
      <c r="D122" s="21"/>
      <c r="E122" s="21"/>
      <c r="F122" s="21"/>
      <c r="G122" s="46"/>
      <c r="H122" s="25"/>
      <c r="I122" s="24">
        <f>SUM(I118:I121)</f>
        <v>3750.9558695223523</v>
      </c>
      <c r="J122" s="3">
        <f>I122*A120</f>
        <v>127532.49956375998</v>
      </c>
      <c r="K122" s="3">
        <f>(2226061-50901.8-32511.74-17105.8)*0.06</f>
        <v>127532.49960000001</v>
      </c>
      <c r="L122" s="3">
        <f>K122-J122</f>
        <v>3.6240031477063894E-5</v>
      </c>
    </row>
    <row r="123" spans="1:12">
      <c r="A123" s="13" t="s">
        <v>77</v>
      </c>
      <c r="B123" s="11" t="s">
        <v>20</v>
      </c>
      <c r="C123" s="39" t="s">
        <v>24</v>
      </c>
      <c r="D123" s="63">
        <f>48000*0.09</f>
        <v>4320</v>
      </c>
      <c r="E123" s="60">
        <f>247*8*(A125/1974)</f>
        <v>35.035460992907801</v>
      </c>
      <c r="F123" s="61">
        <f>E123/A125</f>
        <v>1.0010131712259371</v>
      </c>
      <c r="G123" s="45">
        <f>D123/E123*F123</f>
        <v>123.42857142857143</v>
      </c>
      <c r="H123" s="12">
        <v>5.36</v>
      </c>
      <c r="I123" s="26">
        <f>H123*G123</f>
        <v>661.57714285714292</v>
      </c>
    </row>
    <row r="124" spans="1:12">
      <c r="A124" s="81" t="s">
        <v>73</v>
      </c>
      <c r="B124" s="5" t="s">
        <v>21</v>
      </c>
      <c r="C124" s="40" t="s">
        <v>25</v>
      </c>
      <c r="D124" s="8">
        <f>(580-108+0.15607)*0.09</f>
        <v>42.494046300000001</v>
      </c>
      <c r="E124" s="7">
        <f>247*8*(A125/1974)</f>
        <v>35.035460992907801</v>
      </c>
      <c r="F124" s="35">
        <f>E124/A125</f>
        <v>1.0010131712259371</v>
      </c>
      <c r="G124" s="45">
        <f>D124/E124*F124</f>
        <v>1.2141156085714286</v>
      </c>
      <c r="H124" s="6">
        <v>1448.6</v>
      </c>
      <c r="I124" s="26">
        <f t="shared" ref="I124:I126" si="40">H124*G124</f>
        <v>1758.7678705765713</v>
      </c>
    </row>
    <row r="125" spans="1:12">
      <c r="A125" s="82">
        <v>35</v>
      </c>
      <c r="B125" s="37" t="s">
        <v>22</v>
      </c>
      <c r="C125" s="41" t="s">
        <v>26</v>
      </c>
      <c r="D125" s="37">
        <f>960*0.09</f>
        <v>86.399999999999991</v>
      </c>
      <c r="E125" s="7">
        <f>247*8*(A125/1974)</f>
        <v>35.035460992907801</v>
      </c>
      <c r="F125" s="35">
        <f>E125/A125</f>
        <v>1.0010131712259371</v>
      </c>
      <c r="G125" s="45">
        <f t="shared" ref="G125:G126" si="41">D125/E125*F125</f>
        <v>2.4685714285714284</v>
      </c>
      <c r="H125" s="38">
        <v>28.7</v>
      </c>
      <c r="I125" s="26">
        <f t="shared" si="40"/>
        <v>70.847999999999999</v>
      </c>
    </row>
    <row r="126" spans="1:12">
      <c r="A126" s="36"/>
      <c r="B126" s="37" t="s">
        <v>23</v>
      </c>
      <c r="C126" s="41" t="s">
        <v>26</v>
      </c>
      <c r="D126" s="37">
        <f>960*0.09</f>
        <v>86.399999999999991</v>
      </c>
      <c r="E126" s="7">
        <f>247*8*(A125/1974)</f>
        <v>35.035460992907801</v>
      </c>
      <c r="F126" s="35">
        <f>E126/A125</f>
        <v>1.0010131712259371</v>
      </c>
      <c r="G126" s="45">
        <f t="shared" si="41"/>
        <v>2.4685714285714284</v>
      </c>
      <c r="H126" s="38">
        <v>40.76</v>
      </c>
      <c r="I126" s="26">
        <f t="shared" si="40"/>
        <v>100.61897142857141</v>
      </c>
    </row>
    <row r="127" spans="1:12" s="1" customFormat="1" ht="15.75" thickBot="1">
      <c r="A127" s="20"/>
      <c r="B127" s="21"/>
      <c r="C127" s="21"/>
      <c r="D127" s="21"/>
      <c r="E127" s="21"/>
      <c r="F127" s="21"/>
      <c r="G127" s="46"/>
      <c r="H127" s="25"/>
      <c r="I127" s="24">
        <f>SUM(I123:I126)</f>
        <v>2591.811984862286</v>
      </c>
      <c r="J127" s="3">
        <f>I127*A125</f>
        <v>90713.419470180015</v>
      </c>
      <c r="K127" s="3">
        <f>(1106615-60953.74-20628.58-17105.8)*0.09</f>
        <v>90713.419200000004</v>
      </c>
      <c r="L127" s="3">
        <f>K127-J127</f>
        <v>-2.7018001128453761E-4</v>
      </c>
    </row>
    <row r="128" spans="1:12">
      <c r="A128" s="13" t="s">
        <v>78</v>
      </c>
      <c r="B128" s="11" t="s">
        <v>20</v>
      </c>
      <c r="C128" s="39" t="s">
        <v>24</v>
      </c>
      <c r="D128" s="63">
        <f>89000*0.08</f>
        <v>7120</v>
      </c>
      <c r="E128" s="60">
        <f>247*8*(A130/1974)</f>
        <v>60.060790273556229</v>
      </c>
      <c r="F128" s="61">
        <f>E128/A130</f>
        <v>1.0010131712259371</v>
      </c>
      <c r="G128" s="45">
        <f>D128/E128*F128</f>
        <v>118.66666666666667</v>
      </c>
      <c r="H128" s="12">
        <v>5.36</v>
      </c>
      <c r="I128" s="26">
        <f>H128*G128</f>
        <v>636.0533333333334</v>
      </c>
    </row>
    <row r="129" spans="1:12">
      <c r="A129" s="81" t="s">
        <v>73</v>
      </c>
      <c r="B129" s="5" t="s">
        <v>21</v>
      </c>
      <c r="C129" s="40" t="s">
        <v>25</v>
      </c>
      <c r="D129" s="8">
        <f>(1400-209+2.153)*0.08</f>
        <v>95.452240000000003</v>
      </c>
      <c r="E129" s="7">
        <f>247*8*(A130/1974)</f>
        <v>60.060790273556229</v>
      </c>
      <c r="F129" s="35">
        <f>E129/A130</f>
        <v>1.0010131712259371</v>
      </c>
      <c r="G129" s="45">
        <f>D129/E129*F129</f>
        <v>1.5908706666666668</v>
      </c>
      <c r="H129" s="6">
        <v>1448.6</v>
      </c>
      <c r="I129" s="26">
        <f t="shared" ref="I129:I131" si="42">H129*G129</f>
        <v>2304.5352477333331</v>
      </c>
    </row>
    <row r="130" spans="1:12">
      <c r="A130" s="82">
        <v>60</v>
      </c>
      <c r="B130" s="37" t="s">
        <v>22</v>
      </c>
      <c r="C130" s="41" t="s">
        <v>26</v>
      </c>
      <c r="D130" s="37">
        <f>2500*0.08</f>
        <v>200</v>
      </c>
      <c r="E130" s="7">
        <f>247*8*(A130/1974)</f>
        <v>60.060790273556229</v>
      </c>
      <c r="F130" s="35">
        <f>E130/A130</f>
        <v>1.0010131712259371</v>
      </c>
      <c r="G130" s="45">
        <f t="shared" ref="G130:G131" si="43">D130/E130*F130</f>
        <v>3.333333333333333</v>
      </c>
      <c r="H130" s="38">
        <v>28.7</v>
      </c>
      <c r="I130" s="26">
        <f t="shared" si="42"/>
        <v>95.666666666666657</v>
      </c>
    </row>
    <row r="131" spans="1:12">
      <c r="A131" s="36"/>
      <c r="B131" s="37" t="s">
        <v>23</v>
      </c>
      <c r="C131" s="41" t="s">
        <v>26</v>
      </c>
      <c r="D131" s="37">
        <f>2500*0.08</f>
        <v>200</v>
      </c>
      <c r="E131" s="7">
        <f>247*8*(A130/1974)</f>
        <v>60.060790273556229</v>
      </c>
      <c r="F131" s="35">
        <f>E131/A130</f>
        <v>1.0010131712259371</v>
      </c>
      <c r="G131" s="45">
        <f t="shared" si="43"/>
        <v>3.333333333333333</v>
      </c>
      <c r="H131" s="38">
        <v>40.76</v>
      </c>
      <c r="I131" s="26">
        <f t="shared" si="42"/>
        <v>135.86666666666665</v>
      </c>
    </row>
    <row r="132" spans="1:12" s="1" customFormat="1" ht="15.75" thickBot="1">
      <c r="A132" s="20"/>
      <c r="B132" s="21"/>
      <c r="C132" s="21"/>
      <c r="D132" s="21"/>
      <c r="E132" s="21"/>
      <c r="F132" s="21"/>
      <c r="G132" s="46"/>
      <c r="H132" s="25"/>
      <c r="I132" s="24">
        <f>SUM(I128:I131)</f>
        <v>3172.1219143999997</v>
      </c>
      <c r="J132" s="3">
        <f>I132*A130</f>
        <v>190327.31486399999</v>
      </c>
      <c r="K132" s="3">
        <f>(2550991-122191.12-32602.64-17105.8)*0.08</f>
        <v>190327.31520000001</v>
      </c>
      <c r="L132" s="3">
        <f>K132-J132</f>
        <v>3.360000264365226E-4</v>
      </c>
    </row>
    <row r="133" spans="1:12">
      <c r="A133" s="13" t="s">
        <v>79</v>
      </c>
      <c r="B133" s="11" t="s">
        <v>20</v>
      </c>
      <c r="C133" s="39" t="s">
        <v>24</v>
      </c>
      <c r="D133" s="63">
        <f>185000*0.11</f>
        <v>20350</v>
      </c>
      <c r="E133" s="60">
        <f>247*8*(A135/1974)</f>
        <v>92.093211752786218</v>
      </c>
      <c r="F133" s="61">
        <f>E133/A135</f>
        <v>1.0010131712259371</v>
      </c>
      <c r="G133" s="45">
        <f>D133/E133*F133</f>
        <v>221.19565217391303</v>
      </c>
      <c r="H133" s="12">
        <v>5.36</v>
      </c>
      <c r="I133" s="26">
        <f>H133*G133</f>
        <v>1185.608695652174</v>
      </c>
    </row>
    <row r="134" spans="1:12">
      <c r="A134" s="81" t="s">
        <v>73</v>
      </c>
      <c r="B134" s="5" t="s">
        <v>21</v>
      </c>
      <c r="C134" s="40" t="s">
        <v>25</v>
      </c>
      <c r="D134" s="8">
        <f>(1900-189+2.97783)*0.11</f>
        <v>188.53756129999999</v>
      </c>
      <c r="E134" s="7">
        <f>247*8*(A135/1974)</f>
        <v>92.093211752786218</v>
      </c>
      <c r="F134" s="35">
        <f>E134/A135</f>
        <v>1.0010131712259371</v>
      </c>
      <c r="G134" s="45">
        <f>D134/E134*F134</f>
        <v>2.049321318478261</v>
      </c>
      <c r="H134" s="6">
        <v>1448.6</v>
      </c>
      <c r="I134" s="26">
        <f t="shared" ref="I134:I136" si="44">H134*G134</f>
        <v>2968.6468619476086</v>
      </c>
    </row>
    <row r="135" spans="1:12">
      <c r="A135" s="82">
        <v>92</v>
      </c>
      <c r="B135" s="37" t="s">
        <v>22</v>
      </c>
      <c r="C135" s="41" t="s">
        <v>26</v>
      </c>
      <c r="D135" s="37">
        <f>5500*0.11</f>
        <v>605</v>
      </c>
      <c r="E135" s="7">
        <f>247*8*(A135/1974)</f>
        <v>92.093211752786218</v>
      </c>
      <c r="F135" s="35">
        <f>E135/A135</f>
        <v>1.0010131712259371</v>
      </c>
      <c r="G135" s="45">
        <f t="shared" ref="G135:G136" si="45">D135/E135*F135</f>
        <v>6.5760869565217384</v>
      </c>
      <c r="H135" s="38">
        <v>28.7</v>
      </c>
      <c r="I135" s="26">
        <f t="shared" si="44"/>
        <v>188.73369565217388</v>
      </c>
    </row>
    <row r="136" spans="1:12">
      <c r="A136" s="36"/>
      <c r="B136" s="37" t="s">
        <v>23</v>
      </c>
      <c r="C136" s="41" t="s">
        <v>26</v>
      </c>
      <c r="D136" s="37">
        <f>5500*0.11</f>
        <v>605</v>
      </c>
      <c r="E136" s="7">
        <f>247*8*(A135/1974)</f>
        <v>92.093211752786218</v>
      </c>
      <c r="F136" s="35">
        <f>E136/A135</f>
        <v>1.0010131712259371</v>
      </c>
      <c r="G136" s="45">
        <f t="shared" si="45"/>
        <v>6.5760869565217384</v>
      </c>
      <c r="H136" s="38">
        <v>40.76</v>
      </c>
      <c r="I136" s="26">
        <f t="shared" si="44"/>
        <v>268.04130434782604</v>
      </c>
    </row>
    <row r="137" spans="1:12" s="1" customFormat="1" ht="15.75" thickBot="1">
      <c r="A137" s="20"/>
      <c r="B137" s="21"/>
      <c r="C137" s="21"/>
      <c r="D137" s="21"/>
      <c r="E137" s="21"/>
      <c r="F137" s="21"/>
      <c r="G137" s="46"/>
      <c r="H137" s="25"/>
      <c r="I137" s="24">
        <f>SUM(I133:I136)</f>
        <v>4611.0305575997827</v>
      </c>
      <c r="J137" s="3">
        <f>I137*A135</f>
        <v>424214.81129918003</v>
      </c>
      <c r="K137" s="3">
        <f>(3900968-27363.92-17105.8)*0.11</f>
        <v>424214.81080000004</v>
      </c>
      <c r="L137" s="3">
        <f>K137-J137</f>
        <v>-4.9917999422177672E-4</v>
      </c>
    </row>
    <row r="138" spans="1:12">
      <c r="A138" s="13" t="s">
        <v>80</v>
      </c>
      <c r="B138" s="11" t="s">
        <v>20</v>
      </c>
      <c r="C138" s="39" t="s">
        <v>24</v>
      </c>
      <c r="D138" s="63">
        <f>82000*0.08</f>
        <v>6560</v>
      </c>
      <c r="E138" s="60">
        <f>247*8*(A140/1974)</f>
        <v>40.040526849037491</v>
      </c>
      <c r="F138" s="61">
        <f>E138/A140</f>
        <v>1.0010131712259374</v>
      </c>
      <c r="G138" s="45">
        <f>D138/E138*F138</f>
        <v>164.00000000000003</v>
      </c>
      <c r="H138" s="12">
        <v>5.36</v>
      </c>
      <c r="I138" s="26">
        <f>H138*G138</f>
        <v>879.04000000000019</v>
      </c>
    </row>
    <row r="139" spans="1:12">
      <c r="A139" s="81" t="s">
        <v>73</v>
      </c>
      <c r="B139" s="5" t="s">
        <v>21</v>
      </c>
      <c r="C139" s="40" t="s">
        <v>25</v>
      </c>
      <c r="D139" s="8">
        <f>(800-201+1.02308)*0.08</f>
        <v>48.001846400000005</v>
      </c>
      <c r="E139" s="7">
        <f>247*8*(A140/1974)</f>
        <v>40.040526849037491</v>
      </c>
      <c r="F139" s="35">
        <f>E139/A140</f>
        <v>1.0010131712259374</v>
      </c>
      <c r="G139" s="45">
        <f>D139/E139*F139</f>
        <v>1.2000461600000001</v>
      </c>
      <c r="H139" s="6">
        <v>1448.6</v>
      </c>
      <c r="I139" s="26">
        <f t="shared" ref="I139:I141" si="46">H139*G139</f>
        <v>1738.3868673760001</v>
      </c>
    </row>
    <row r="140" spans="1:12">
      <c r="A140" s="82">
        <v>40</v>
      </c>
      <c r="B140" s="37" t="s">
        <v>22</v>
      </c>
      <c r="C140" s="41" t="s">
        <v>26</v>
      </c>
      <c r="D140" s="37">
        <f>2400*0.08</f>
        <v>192</v>
      </c>
      <c r="E140" s="7">
        <f>247*8*(A140/1974)</f>
        <v>40.040526849037491</v>
      </c>
      <c r="F140" s="35">
        <f>E140/A140</f>
        <v>1.0010131712259374</v>
      </c>
      <c r="G140" s="45">
        <f t="shared" ref="G140:G141" si="47">D140/E140*F140</f>
        <v>4.8000000000000007</v>
      </c>
      <c r="H140" s="38">
        <v>28.7</v>
      </c>
      <c r="I140" s="26">
        <f t="shared" si="46"/>
        <v>137.76000000000002</v>
      </c>
    </row>
    <row r="141" spans="1:12">
      <c r="A141" s="36"/>
      <c r="B141" s="37" t="s">
        <v>23</v>
      </c>
      <c r="C141" s="41" t="s">
        <v>26</v>
      </c>
      <c r="D141" s="37">
        <f>2400*0.08</f>
        <v>192</v>
      </c>
      <c r="E141" s="7">
        <f>247*8*(A140/1974)</f>
        <v>40.040526849037491</v>
      </c>
      <c r="F141" s="35">
        <f>E141/A140</f>
        <v>1.0010131712259374</v>
      </c>
      <c r="G141" s="45">
        <f t="shared" si="47"/>
        <v>4.8000000000000007</v>
      </c>
      <c r="H141" s="38">
        <v>40.76</v>
      </c>
      <c r="I141" s="26">
        <f t="shared" si="46"/>
        <v>195.64800000000002</v>
      </c>
    </row>
    <row r="142" spans="1:12" s="1" customFormat="1" ht="15.75" thickBot="1">
      <c r="A142" s="20"/>
      <c r="B142" s="21"/>
      <c r="C142" s="21"/>
      <c r="D142" s="21"/>
      <c r="E142" s="21"/>
      <c r="F142" s="21"/>
      <c r="G142" s="46"/>
      <c r="H142" s="25"/>
      <c r="I142" s="24">
        <f>SUM(I138:I141)</f>
        <v>2950.8348673760006</v>
      </c>
      <c r="J142" s="3">
        <f>I142*A140</f>
        <v>118033.39469504003</v>
      </c>
      <c r="K142" s="3">
        <f>(1667562-151010.46-24028.3-17105.8)*0.08</f>
        <v>118033.3952</v>
      </c>
      <c r="L142" s="3">
        <f>K142-J142</f>
        <v>5.0495997129473835E-4</v>
      </c>
    </row>
    <row r="143" spans="1:12" s="1" customFormat="1" ht="15.75" thickBot="1">
      <c r="A143" s="54"/>
      <c r="B143" s="55"/>
      <c r="C143" s="56"/>
      <c r="D143" s="55"/>
      <c r="E143" s="83"/>
      <c r="F143" s="55"/>
      <c r="G143" s="54"/>
      <c r="H143" s="57"/>
      <c r="I143" s="58"/>
    </row>
    <row r="144" spans="1:12">
      <c r="A144" s="13" t="s">
        <v>81</v>
      </c>
      <c r="B144" s="14" t="s">
        <v>20</v>
      </c>
      <c r="C144" s="59" t="s">
        <v>24</v>
      </c>
      <c r="D144" s="84">
        <f>117000*0.13</f>
        <v>15210</v>
      </c>
      <c r="E144" s="60">
        <f>247*8*(A146/1974)</f>
        <v>114.11550151975685</v>
      </c>
      <c r="F144" s="43">
        <f>E144/A146</f>
        <v>1.0010131712259374</v>
      </c>
      <c r="G144" s="52">
        <f>D144/E144*F144</f>
        <v>133.42105263157896</v>
      </c>
      <c r="H144" s="15">
        <v>5.36</v>
      </c>
      <c r="I144" s="17">
        <f>H144*G144</f>
        <v>715.13684210526321</v>
      </c>
    </row>
    <row r="145" spans="1:12">
      <c r="A145" s="81" t="s">
        <v>73</v>
      </c>
      <c r="B145" s="5" t="s">
        <v>21</v>
      </c>
      <c r="C145" s="40" t="s">
        <v>25</v>
      </c>
      <c r="D145" s="8">
        <f>(1892-205+1.16436)*0.13</f>
        <v>219.46136680000001</v>
      </c>
      <c r="E145" s="7">
        <f>247*8*(A146/1974)</f>
        <v>114.11550151975685</v>
      </c>
      <c r="F145" s="35">
        <f>E145/A146</f>
        <v>1.0010131712259374</v>
      </c>
      <c r="G145" s="45">
        <f>D145/E145*F145</f>
        <v>1.9250997087719299</v>
      </c>
      <c r="H145" s="6">
        <v>1448.6</v>
      </c>
      <c r="I145" s="26">
        <f t="shared" ref="I145:I147" si="48">H145*G145</f>
        <v>2788.6994381270174</v>
      </c>
    </row>
    <row r="146" spans="1:12">
      <c r="A146" s="82">
        <v>114</v>
      </c>
      <c r="B146" s="37" t="s">
        <v>22</v>
      </c>
      <c r="C146" s="41" t="s">
        <v>26</v>
      </c>
      <c r="D146" s="37">
        <f>2000*0.13</f>
        <v>260</v>
      </c>
      <c r="E146" s="7">
        <f>247*8*(A146/1974)</f>
        <v>114.11550151975685</v>
      </c>
      <c r="F146" s="35">
        <f>E146/A146</f>
        <v>1.0010131712259374</v>
      </c>
      <c r="G146" s="45">
        <f t="shared" ref="G146:G147" si="49">D146/E146*F146</f>
        <v>2.2807017543859653</v>
      </c>
      <c r="H146" s="38">
        <v>28.7</v>
      </c>
      <c r="I146" s="26">
        <f t="shared" si="48"/>
        <v>65.456140350877206</v>
      </c>
    </row>
    <row r="147" spans="1:12">
      <c r="A147" s="36"/>
      <c r="B147" s="37" t="s">
        <v>23</v>
      </c>
      <c r="C147" s="41" t="s">
        <v>26</v>
      </c>
      <c r="D147" s="37">
        <f>2000*0.13</f>
        <v>260</v>
      </c>
      <c r="E147" s="7">
        <f>247*8*(A146/1974)</f>
        <v>114.11550151975685</v>
      </c>
      <c r="F147" s="35">
        <f>E147/A146</f>
        <v>1.0010131712259374</v>
      </c>
      <c r="G147" s="45">
        <f t="shared" si="49"/>
        <v>2.2807017543859653</v>
      </c>
      <c r="H147" s="38">
        <v>40.76</v>
      </c>
      <c r="I147" s="26">
        <f t="shared" si="48"/>
        <v>92.961403508771937</v>
      </c>
    </row>
    <row r="148" spans="1:12" s="1" customFormat="1" ht="15.75" thickBot="1">
      <c r="A148" s="20"/>
      <c r="B148" s="21"/>
      <c r="C148" s="21"/>
      <c r="D148" s="21"/>
      <c r="E148" s="21"/>
      <c r="F148" s="21"/>
      <c r="G148" s="46"/>
      <c r="H148" s="25"/>
      <c r="I148" s="24">
        <f>SUM(I144:I147)</f>
        <v>3662.2538240919303</v>
      </c>
      <c r="J148" s="3">
        <f>I148*A146</f>
        <v>417496.93594648002</v>
      </c>
      <c r="K148" s="3">
        <f>(3349297-91591.08-29085.22-17105.8)*0.13</f>
        <v>417496.93699999998</v>
      </c>
      <c r="L148" s="3">
        <f>K148-J148</f>
        <v>1.0535199544392526E-3</v>
      </c>
    </row>
    <row r="149" spans="1:12" s="1" customFormat="1" ht="15.75" thickBot="1">
      <c r="A149" s="54"/>
      <c r="B149" s="55"/>
      <c r="C149" s="56"/>
      <c r="D149" s="55"/>
      <c r="E149" s="62"/>
      <c r="F149" s="55"/>
      <c r="G149" s="54"/>
      <c r="H149" s="57"/>
      <c r="I149" s="58"/>
    </row>
    <row r="150" spans="1:12">
      <c r="A150" s="13" t="s">
        <v>82</v>
      </c>
      <c r="B150" s="14" t="s">
        <v>20</v>
      </c>
      <c r="C150" s="59" t="s">
        <v>24</v>
      </c>
      <c r="D150" s="84">
        <f>57000*0.14</f>
        <v>7980.0000000000009</v>
      </c>
      <c r="E150" s="60">
        <f>247*8*(A152/1974)</f>
        <v>33.033434650455924</v>
      </c>
      <c r="F150" s="43">
        <f>E150/A152</f>
        <v>1.0010131712259371</v>
      </c>
      <c r="G150" s="52">
        <f>D150/E150*F150</f>
        <v>241.81818181818184</v>
      </c>
      <c r="H150" s="15">
        <v>5.36</v>
      </c>
      <c r="I150" s="17">
        <f>H150*G150</f>
        <v>1296.1454545454546</v>
      </c>
    </row>
    <row r="151" spans="1:12">
      <c r="A151" s="81" t="s">
        <v>73</v>
      </c>
      <c r="B151" s="5" t="s">
        <v>21</v>
      </c>
      <c r="C151" s="40" t="s">
        <v>25</v>
      </c>
      <c r="D151" s="8">
        <f>(1060-80+1.91286)*0.14</f>
        <v>137.46780040000002</v>
      </c>
      <c r="E151" s="7">
        <f>247*8*(A152/1974)</f>
        <v>33.033434650455924</v>
      </c>
      <c r="F151" s="35">
        <f>E151/A152</f>
        <v>1.0010131712259371</v>
      </c>
      <c r="G151" s="45">
        <f>D151/E151*F151</f>
        <v>4.1656909212121214</v>
      </c>
      <c r="H151" s="6">
        <v>1448.6</v>
      </c>
      <c r="I151" s="26">
        <f t="shared" ref="I151:I153" si="50">H151*G151</f>
        <v>6034.4198684678786</v>
      </c>
    </row>
    <row r="152" spans="1:12">
      <c r="A152" s="82">
        <v>33</v>
      </c>
      <c r="B152" s="37" t="s">
        <v>22</v>
      </c>
      <c r="C152" s="41" t="s">
        <v>26</v>
      </c>
      <c r="D152" s="37">
        <f>750*0.14</f>
        <v>105.00000000000001</v>
      </c>
      <c r="E152" s="7">
        <f>247*8*(A152/1974)</f>
        <v>33.033434650455924</v>
      </c>
      <c r="F152" s="35">
        <f>E152/A152</f>
        <v>1.0010131712259371</v>
      </c>
      <c r="G152" s="45">
        <f t="shared" ref="G152:G153" si="51">D152/E152*F152</f>
        <v>3.1818181818181825</v>
      </c>
      <c r="H152" s="38">
        <v>28.7</v>
      </c>
      <c r="I152" s="26">
        <f t="shared" si="50"/>
        <v>91.318181818181841</v>
      </c>
    </row>
    <row r="153" spans="1:12">
      <c r="A153" s="36"/>
      <c r="B153" s="37" t="s">
        <v>23</v>
      </c>
      <c r="C153" s="41" t="s">
        <v>26</v>
      </c>
      <c r="D153" s="37">
        <f>1150*0.14</f>
        <v>161.00000000000003</v>
      </c>
      <c r="E153" s="7">
        <f>247*8*(A152/1974)</f>
        <v>33.033434650455924</v>
      </c>
      <c r="F153" s="35">
        <f>E153/A152</f>
        <v>1.0010131712259371</v>
      </c>
      <c r="G153" s="45">
        <f t="shared" si="51"/>
        <v>4.8787878787878798</v>
      </c>
      <c r="H153" s="38">
        <v>40.76</v>
      </c>
      <c r="I153" s="26">
        <f t="shared" si="50"/>
        <v>198.85939393939398</v>
      </c>
    </row>
    <row r="154" spans="1:12" s="1" customFormat="1" ht="15.75" thickBot="1">
      <c r="A154" s="20"/>
      <c r="B154" s="21"/>
      <c r="C154" s="21"/>
      <c r="D154" s="21"/>
      <c r="E154" s="21"/>
      <c r="F154" s="21"/>
      <c r="G154" s="46"/>
      <c r="H154" s="25"/>
      <c r="I154" s="24">
        <f>SUM(I150:I153)</f>
        <v>7620.7428987709091</v>
      </c>
      <c r="J154" s="3">
        <f>I154*A152</f>
        <v>251484.51565943999</v>
      </c>
      <c r="K154" s="3">
        <f>(1823591-10167.22-17105.8)*0.14</f>
        <v>251484.51720000003</v>
      </c>
      <c r="L154" s="3">
        <f>K154-J154</f>
        <v>1.5405600424855947E-3</v>
      </c>
    </row>
    <row r="155" spans="1:12">
      <c r="A155" s="13" t="s">
        <v>83</v>
      </c>
      <c r="B155" s="14" t="s">
        <v>20</v>
      </c>
      <c r="C155" s="59" t="s">
        <v>24</v>
      </c>
      <c r="D155" s="84"/>
      <c r="E155" s="60">
        <f>247*8*(A157/1974)</f>
        <v>0</v>
      </c>
      <c r="F155" s="43" t="e">
        <f>E155/A157</f>
        <v>#DIV/0!</v>
      </c>
      <c r="G155" s="52" t="e">
        <f>D155/E155*F155</f>
        <v>#DIV/0!</v>
      </c>
      <c r="H155" s="15">
        <v>5.36</v>
      </c>
      <c r="I155" s="17" t="e">
        <f>H155*G155</f>
        <v>#DIV/0!</v>
      </c>
    </row>
    <row r="156" spans="1:12">
      <c r="A156" s="81" t="s">
        <v>73</v>
      </c>
      <c r="B156" s="5" t="s">
        <v>21</v>
      </c>
      <c r="C156" s="40" t="s">
        <v>25</v>
      </c>
      <c r="D156" s="8"/>
      <c r="E156" s="7">
        <f>247*8*(A157/1974)</f>
        <v>0</v>
      </c>
      <c r="F156" s="35" t="e">
        <f>E156/A157</f>
        <v>#DIV/0!</v>
      </c>
      <c r="G156" s="45" t="e">
        <f>D156/E156*F156</f>
        <v>#DIV/0!</v>
      </c>
      <c r="H156" s="6">
        <v>1448.6</v>
      </c>
      <c r="I156" s="26" t="e">
        <f t="shared" ref="I156:I158" si="52">H156*G156</f>
        <v>#DIV/0!</v>
      </c>
    </row>
    <row r="157" spans="1:12">
      <c r="A157" s="82"/>
      <c r="B157" s="37" t="s">
        <v>22</v>
      </c>
      <c r="C157" s="41" t="s">
        <v>26</v>
      </c>
      <c r="D157" s="37"/>
      <c r="E157" s="7">
        <f>247*8*(A157/1974)</f>
        <v>0</v>
      </c>
      <c r="F157" s="35" t="e">
        <f>E157/A157</f>
        <v>#DIV/0!</v>
      </c>
      <c r="G157" s="45" t="e">
        <f t="shared" ref="G157:G158" si="53">D157/E157*F157</f>
        <v>#DIV/0!</v>
      </c>
      <c r="H157" s="38">
        <v>28.7</v>
      </c>
      <c r="I157" s="26" t="e">
        <f t="shared" si="52"/>
        <v>#DIV/0!</v>
      </c>
    </row>
    <row r="158" spans="1:12">
      <c r="A158" s="36"/>
      <c r="B158" s="37" t="s">
        <v>23</v>
      </c>
      <c r="C158" s="41" t="s">
        <v>26</v>
      </c>
      <c r="D158" s="37"/>
      <c r="E158" s="7">
        <f>247*8*(A157/1974)</f>
        <v>0</v>
      </c>
      <c r="F158" s="35" t="e">
        <f>E158/A157</f>
        <v>#DIV/0!</v>
      </c>
      <c r="G158" s="45" t="e">
        <f t="shared" si="53"/>
        <v>#DIV/0!</v>
      </c>
      <c r="H158" s="38">
        <v>40.76</v>
      </c>
      <c r="I158" s="26" t="e">
        <f t="shared" si="52"/>
        <v>#DIV/0!</v>
      </c>
    </row>
    <row r="159" spans="1:12" s="1" customFormat="1" ht="15.75" thickBot="1">
      <c r="A159" s="20"/>
      <c r="B159" s="21"/>
      <c r="C159" s="21"/>
      <c r="D159" s="21"/>
      <c r="E159" s="21"/>
      <c r="F159" s="21"/>
      <c r="G159" s="46"/>
      <c r="H159" s="25"/>
      <c r="I159" s="24" t="e">
        <f>SUM(I155:I158)</f>
        <v>#DIV/0!</v>
      </c>
      <c r="J159" s="3">
        <v>0</v>
      </c>
      <c r="K159" s="3">
        <v>0</v>
      </c>
      <c r="L159" s="3">
        <f>K159-J159</f>
        <v>0</v>
      </c>
    </row>
    <row r="160" spans="1:12" s="1" customFormat="1">
      <c r="A160" s="54"/>
      <c r="B160" s="55"/>
      <c r="C160" s="55"/>
      <c r="D160" s="55"/>
      <c r="E160" s="55"/>
      <c r="F160" s="55"/>
      <c r="G160" s="86"/>
      <c r="H160" s="57"/>
      <c r="I160" s="58"/>
      <c r="J160" s="3"/>
      <c r="K160" s="3"/>
      <c r="L160" s="3"/>
    </row>
    <row r="161" spans="1:20" ht="19.5" thickBot="1">
      <c r="A161" s="73" t="s">
        <v>87</v>
      </c>
      <c r="T161" s="1"/>
    </row>
    <row r="162" spans="1:20" ht="105">
      <c r="A162" s="27" t="s">
        <v>2</v>
      </c>
      <c r="B162" s="28" t="s">
        <v>19</v>
      </c>
      <c r="C162" s="28" t="s">
        <v>14</v>
      </c>
      <c r="D162" s="28" t="s">
        <v>16</v>
      </c>
      <c r="E162" s="28" t="s">
        <v>27</v>
      </c>
      <c r="F162" s="28" t="s">
        <v>72</v>
      </c>
      <c r="G162" s="28" t="s">
        <v>29</v>
      </c>
      <c r="H162" s="28" t="s">
        <v>30</v>
      </c>
      <c r="I162" s="29" t="s">
        <v>11</v>
      </c>
      <c r="J162" s="2" t="s">
        <v>33</v>
      </c>
      <c r="K162" s="2" t="s">
        <v>34</v>
      </c>
      <c r="L162" s="2"/>
    </row>
    <row r="163" spans="1:20" ht="15.75" thickBot="1">
      <c r="A163" s="30">
        <v>1</v>
      </c>
      <c r="B163" s="31">
        <v>2</v>
      </c>
      <c r="C163" s="31">
        <v>3</v>
      </c>
      <c r="D163" s="31">
        <v>4</v>
      </c>
      <c r="E163" s="31">
        <v>5</v>
      </c>
      <c r="F163" s="31" t="s">
        <v>59</v>
      </c>
      <c r="G163" s="31" t="s">
        <v>31</v>
      </c>
      <c r="H163" s="32">
        <v>8</v>
      </c>
      <c r="I163" s="33" t="s">
        <v>32</v>
      </c>
    </row>
    <row r="164" spans="1:20">
      <c r="A164" s="13" t="s">
        <v>76</v>
      </c>
      <c r="B164" s="11" t="s">
        <v>20</v>
      </c>
      <c r="C164" s="39" t="s">
        <v>24</v>
      </c>
      <c r="D164" s="63">
        <v>1000</v>
      </c>
      <c r="E164" s="60">
        <f>247*8*(A166/1974)</f>
        <v>185.18743667679837</v>
      </c>
      <c r="F164" s="61">
        <f>E164/A166</f>
        <v>1.0010131712259371</v>
      </c>
      <c r="G164" s="45">
        <f>D164/E164*F164</f>
        <v>5.4054054054054053</v>
      </c>
      <c r="H164" s="12">
        <v>5.36</v>
      </c>
      <c r="I164" s="26">
        <f>H164*G164</f>
        <v>28.972972972972975</v>
      </c>
      <c r="M164" s="1">
        <f>D164/A166</f>
        <v>5.4054054054054053</v>
      </c>
    </row>
    <row r="165" spans="1:20">
      <c r="A165" s="81" t="s">
        <v>73</v>
      </c>
      <c r="B165" s="5" t="s">
        <v>21</v>
      </c>
      <c r="C165" s="40" t="s">
        <v>25</v>
      </c>
      <c r="D165" s="8">
        <v>30</v>
      </c>
      <c r="E165" s="7">
        <f>247*8*(A166/1974)</f>
        <v>185.18743667679837</v>
      </c>
      <c r="F165" s="35">
        <f>E165/A166</f>
        <v>1.0010131712259371</v>
      </c>
      <c r="G165" s="45">
        <f>D165/E165*F165</f>
        <v>0.16216216216216217</v>
      </c>
      <c r="H165" s="6">
        <v>1448.6</v>
      </c>
      <c r="I165" s="26">
        <f t="shared" ref="I165:I167" si="54">H165*G165</f>
        <v>234.90810810810811</v>
      </c>
      <c r="M165" s="1">
        <f>D165/A166</f>
        <v>0.16216216216216217</v>
      </c>
    </row>
    <row r="166" spans="1:20">
      <c r="A166" s="82">
        <v>185</v>
      </c>
      <c r="B166" s="37" t="s">
        <v>22</v>
      </c>
      <c r="C166" s="41" t="s">
        <v>26</v>
      </c>
      <c r="D166" s="37">
        <v>30</v>
      </c>
      <c r="E166" s="7">
        <f>247*8*(A166/1974)</f>
        <v>185.18743667679837</v>
      </c>
      <c r="F166" s="35">
        <f>E166/A166</f>
        <v>1.0010131712259371</v>
      </c>
      <c r="G166" s="45">
        <f t="shared" ref="G166:G167" si="55">D166/E166*F166</f>
        <v>0.16216216216216217</v>
      </c>
      <c r="H166" s="38">
        <v>28.7</v>
      </c>
      <c r="I166" s="26">
        <f t="shared" si="54"/>
        <v>4.654054054054054</v>
      </c>
      <c r="M166" s="1">
        <f>D166/A166</f>
        <v>0.16216216216216217</v>
      </c>
    </row>
    <row r="167" spans="1:20">
      <c r="A167" s="36"/>
      <c r="B167" s="37" t="s">
        <v>23</v>
      </c>
      <c r="C167" s="41" t="s">
        <v>26</v>
      </c>
      <c r="D167" s="37">
        <v>30</v>
      </c>
      <c r="E167" s="7">
        <f>247*8*(A166/1974)</f>
        <v>185.18743667679837</v>
      </c>
      <c r="F167" s="35">
        <f>E167/A166</f>
        <v>1.0010131712259371</v>
      </c>
      <c r="G167" s="45">
        <f t="shared" si="55"/>
        <v>0.16216216216216217</v>
      </c>
      <c r="H167" s="38">
        <v>40.76</v>
      </c>
      <c r="I167" s="26">
        <f t="shared" si="54"/>
        <v>6.6097297297297297</v>
      </c>
    </row>
    <row r="168" spans="1:20" s="1" customFormat="1" ht="15.75" thickBot="1">
      <c r="A168" s="20"/>
      <c r="B168" s="21"/>
      <c r="C168" s="21"/>
      <c r="D168" s="21"/>
      <c r="E168" s="21"/>
      <c r="F168" s="21"/>
      <c r="G168" s="46"/>
      <c r="H168" s="25"/>
      <c r="I168" s="24">
        <f>SUM(I164:I167)</f>
        <v>275.14486486486487</v>
      </c>
      <c r="J168" s="3">
        <f>I168*A166</f>
        <v>50901.8</v>
      </c>
      <c r="K168" s="3">
        <v>50901.8</v>
      </c>
      <c r="L168" s="3">
        <f>K168-J168</f>
        <v>0</v>
      </c>
    </row>
    <row r="169" spans="1:20">
      <c r="A169" s="13" t="s">
        <v>77</v>
      </c>
      <c r="B169" s="11" t="s">
        <v>20</v>
      </c>
      <c r="C169" s="39" t="s">
        <v>24</v>
      </c>
      <c r="D169" s="63">
        <v>1189</v>
      </c>
      <c r="E169" s="60">
        <f>247*8*(A171/1974)</f>
        <v>220.22289766970619</v>
      </c>
      <c r="F169" s="61">
        <f>E169/A171</f>
        <v>1.0010131712259371</v>
      </c>
      <c r="G169" s="45">
        <f>D169/E169*F169</f>
        <v>5.4045454545454543</v>
      </c>
      <c r="H169" s="12">
        <v>5.36</v>
      </c>
      <c r="I169" s="26">
        <f>H169*G169</f>
        <v>28.968363636363637</v>
      </c>
    </row>
    <row r="170" spans="1:20">
      <c r="A170" s="81" t="s">
        <v>73</v>
      </c>
      <c r="B170" s="5" t="s">
        <v>21</v>
      </c>
      <c r="C170" s="40" t="s">
        <v>25</v>
      </c>
      <c r="D170" s="8">
        <v>36</v>
      </c>
      <c r="E170" s="7">
        <f>247*8*(A171/1974)</f>
        <v>220.22289766970619</v>
      </c>
      <c r="F170" s="35">
        <f>E170/A171</f>
        <v>1.0010131712259371</v>
      </c>
      <c r="G170" s="45">
        <f>D170/E170*F170</f>
        <v>0.16363636363636364</v>
      </c>
      <c r="H170" s="6">
        <v>1448.6</v>
      </c>
      <c r="I170" s="26">
        <f t="shared" ref="I170:I172" si="56">H170*G170</f>
        <v>237.04363636363635</v>
      </c>
    </row>
    <row r="171" spans="1:20">
      <c r="A171" s="82">
        <v>220</v>
      </c>
      <c r="B171" s="37" t="s">
        <v>22</v>
      </c>
      <c r="C171" s="41" t="s">
        <v>26</v>
      </c>
      <c r="D171" s="37">
        <v>35</v>
      </c>
      <c r="E171" s="7">
        <f>247*8*(A171/1974)</f>
        <v>220.22289766970619</v>
      </c>
      <c r="F171" s="35">
        <f>E171/A171</f>
        <v>1.0010131712259371</v>
      </c>
      <c r="G171" s="45">
        <f t="shared" ref="G171:G172" si="57">D171/E171*F171</f>
        <v>0.15909090909090906</v>
      </c>
      <c r="H171" s="38">
        <v>28.7</v>
      </c>
      <c r="I171" s="26">
        <f t="shared" si="56"/>
        <v>4.5659090909090896</v>
      </c>
    </row>
    <row r="172" spans="1:20">
      <c r="A172" s="36"/>
      <c r="B172" s="37" t="s">
        <v>23</v>
      </c>
      <c r="C172" s="41" t="s">
        <v>26</v>
      </c>
      <c r="D172" s="37">
        <v>35</v>
      </c>
      <c r="E172" s="7">
        <f>247*8*(A171/1974)</f>
        <v>220.22289766970619</v>
      </c>
      <c r="F172" s="35">
        <f>E172/A171</f>
        <v>1.0010131712259371</v>
      </c>
      <c r="G172" s="45">
        <f t="shared" si="57"/>
        <v>0.15909090909090906</v>
      </c>
      <c r="H172" s="38">
        <v>40.76</v>
      </c>
      <c r="I172" s="26">
        <f t="shared" si="56"/>
        <v>6.4845454545454526</v>
      </c>
    </row>
    <row r="173" spans="1:20" s="1" customFormat="1" ht="15.75" thickBot="1">
      <c r="A173" s="20"/>
      <c r="B173" s="21"/>
      <c r="C173" s="21"/>
      <c r="D173" s="21"/>
      <c r="E173" s="21"/>
      <c r="F173" s="21"/>
      <c r="G173" s="46"/>
      <c r="H173" s="25"/>
      <c r="I173" s="24">
        <f>SUM(I169:I172)</f>
        <v>277.06245454545456</v>
      </c>
      <c r="J173" s="3">
        <f>I173*A171</f>
        <v>60953.740000000005</v>
      </c>
      <c r="K173" s="3">
        <v>60953.74</v>
      </c>
      <c r="L173" s="3">
        <f>K173-J173</f>
        <v>0</v>
      </c>
    </row>
    <row r="174" spans="1:20">
      <c r="A174" s="13" t="s">
        <v>78</v>
      </c>
      <c r="B174" s="11" t="s">
        <v>20</v>
      </c>
      <c r="C174" s="39" t="s">
        <v>24</v>
      </c>
      <c r="D174" s="63">
        <v>2405</v>
      </c>
      <c r="E174" s="60">
        <f>247*8*(A176/1974)</f>
        <v>445.45086119554207</v>
      </c>
      <c r="F174" s="61">
        <f>E174/A176</f>
        <v>1.0010131712259371</v>
      </c>
      <c r="G174" s="45">
        <f>D174/E174*F174</f>
        <v>5.4044943820224711</v>
      </c>
      <c r="H174" s="12">
        <v>5.36</v>
      </c>
      <c r="I174" s="26">
        <f>H174*G174</f>
        <v>28.968089887640446</v>
      </c>
    </row>
    <row r="175" spans="1:20">
      <c r="A175" s="81" t="s">
        <v>73</v>
      </c>
      <c r="B175" s="5" t="s">
        <v>21</v>
      </c>
      <c r="C175" s="40" t="s">
        <v>25</v>
      </c>
      <c r="D175" s="8">
        <v>72</v>
      </c>
      <c r="E175" s="7">
        <f>247*8*(A176/1974)</f>
        <v>445.45086119554207</v>
      </c>
      <c r="F175" s="35">
        <f>E175/A176</f>
        <v>1.0010131712259371</v>
      </c>
      <c r="G175" s="45">
        <f>D175/E175*F175</f>
        <v>0.16179775280898875</v>
      </c>
      <c r="H175" s="6">
        <v>1448.6</v>
      </c>
      <c r="I175" s="26">
        <f t="shared" ref="I175:I177" si="58">H175*G175</f>
        <v>234.38022471910111</v>
      </c>
    </row>
    <row r="176" spans="1:20">
      <c r="A176" s="82">
        <v>445</v>
      </c>
      <c r="B176" s="37" t="s">
        <v>22</v>
      </c>
      <c r="C176" s="41" t="s">
        <v>26</v>
      </c>
      <c r="D176" s="37">
        <v>72</v>
      </c>
      <c r="E176" s="7">
        <f>247*8*(A176/1974)</f>
        <v>445.45086119554207</v>
      </c>
      <c r="F176" s="35">
        <f>E176/A176</f>
        <v>1.0010131712259371</v>
      </c>
      <c r="G176" s="45">
        <f t="shared" ref="G176:G177" si="59">D176/E176*F176</f>
        <v>0.16179775280898875</v>
      </c>
      <c r="H176" s="38">
        <v>28.7</v>
      </c>
      <c r="I176" s="26">
        <f t="shared" si="58"/>
        <v>4.6435955056179772</v>
      </c>
    </row>
    <row r="177" spans="1:20">
      <c r="A177" s="36"/>
      <c r="B177" s="37" t="s">
        <v>23</v>
      </c>
      <c r="C177" s="41" t="s">
        <v>26</v>
      </c>
      <c r="D177" s="37">
        <v>72</v>
      </c>
      <c r="E177" s="7">
        <f>247*8*(A176/1974)</f>
        <v>445.45086119554207</v>
      </c>
      <c r="F177" s="35">
        <f>E177/A176</f>
        <v>1.0010131712259371</v>
      </c>
      <c r="G177" s="45">
        <f t="shared" si="59"/>
        <v>0.16179775280898875</v>
      </c>
      <c r="H177" s="38">
        <v>40.76</v>
      </c>
      <c r="I177" s="26">
        <f t="shared" si="58"/>
        <v>6.5948764044943813</v>
      </c>
    </row>
    <row r="178" spans="1:20" s="1" customFormat="1" ht="15.75" thickBot="1">
      <c r="A178" s="20"/>
      <c r="B178" s="21"/>
      <c r="C178" s="21"/>
      <c r="D178" s="21"/>
      <c r="E178" s="21"/>
      <c r="F178" s="21"/>
      <c r="G178" s="46"/>
      <c r="H178" s="25"/>
      <c r="I178" s="24">
        <f>SUM(I174:I177)</f>
        <v>274.58678651685386</v>
      </c>
      <c r="J178" s="3">
        <f>I178*A176</f>
        <v>122191.11999999997</v>
      </c>
      <c r="K178" s="3">
        <v>122191.12</v>
      </c>
      <c r="L178" s="3">
        <f>K178-J178</f>
        <v>0</v>
      </c>
    </row>
    <row r="179" spans="1:20">
      <c r="A179" s="13" t="s">
        <v>80</v>
      </c>
      <c r="B179" s="11" t="s">
        <v>20</v>
      </c>
      <c r="C179" s="39" t="s">
        <v>24</v>
      </c>
      <c r="D179" s="63">
        <v>2967</v>
      </c>
      <c r="E179" s="60">
        <f>247*8*(A181/1974)</f>
        <v>549.55623100303956</v>
      </c>
      <c r="F179" s="61">
        <f>E179/A181</f>
        <v>1.0010131712259374</v>
      </c>
      <c r="G179" s="45">
        <f>D179/E179*F179</f>
        <v>5.4043715846994544</v>
      </c>
      <c r="H179" s="12">
        <v>5.36</v>
      </c>
      <c r="I179" s="26">
        <f>H179*G179</f>
        <v>28.967431693989077</v>
      </c>
    </row>
    <row r="180" spans="1:20">
      <c r="A180" s="81" t="s">
        <v>73</v>
      </c>
      <c r="B180" s="5" t="s">
        <v>21</v>
      </c>
      <c r="C180" s="40" t="s">
        <v>25</v>
      </c>
      <c r="D180" s="8">
        <v>89</v>
      </c>
      <c r="E180" s="7">
        <f>247*8*(A181/1974)</f>
        <v>549.55623100303956</v>
      </c>
      <c r="F180" s="35">
        <f>E180/A181</f>
        <v>1.0010131712259374</v>
      </c>
      <c r="G180" s="45">
        <f>D180/E180*F180</f>
        <v>0.16211293260473589</v>
      </c>
      <c r="H180" s="6">
        <v>1448.6</v>
      </c>
      <c r="I180" s="26">
        <f t="shared" ref="I180:I182" si="60">H180*G180</f>
        <v>234.83679417122039</v>
      </c>
    </row>
    <row r="181" spans="1:20">
      <c r="A181" s="82">
        <v>549</v>
      </c>
      <c r="B181" s="37" t="s">
        <v>22</v>
      </c>
      <c r="C181" s="41" t="s">
        <v>26</v>
      </c>
      <c r="D181" s="37">
        <v>89</v>
      </c>
      <c r="E181" s="7">
        <f>247*8*(A181/1974)</f>
        <v>549.55623100303956</v>
      </c>
      <c r="F181" s="35">
        <f>E181/A181</f>
        <v>1.0010131712259374</v>
      </c>
      <c r="G181" s="45">
        <f t="shared" ref="G181:G182" si="61">D181/E181*F181</f>
        <v>0.16211293260473589</v>
      </c>
      <c r="H181" s="38">
        <v>28.7</v>
      </c>
      <c r="I181" s="26">
        <f t="shared" si="60"/>
        <v>4.6526411657559201</v>
      </c>
    </row>
    <row r="182" spans="1:20">
      <c r="A182" s="36"/>
      <c r="B182" s="37" t="s">
        <v>23</v>
      </c>
      <c r="C182" s="41" t="s">
        <v>26</v>
      </c>
      <c r="D182" s="37">
        <v>89</v>
      </c>
      <c r="E182" s="7">
        <f>247*8*(A181/1974)</f>
        <v>549.55623100303956</v>
      </c>
      <c r="F182" s="35">
        <f>E182/A181</f>
        <v>1.0010131712259374</v>
      </c>
      <c r="G182" s="45">
        <f t="shared" si="61"/>
        <v>0.16211293260473589</v>
      </c>
      <c r="H182" s="38">
        <v>40.76</v>
      </c>
      <c r="I182" s="26">
        <f t="shared" si="60"/>
        <v>6.607723132969034</v>
      </c>
    </row>
    <row r="183" spans="1:20" s="1" customFormat="1" ht="15.75" thickBot="1">
      <c r="A183" s="20"/>
      <c r="B183" s="21"/>
      <c r="C183" s="21"/>
      <c r="D183" s="21"/>
      <c r="E183" s="21"/>
      <c r="F183" s="21"/>
      <c r="G183" s="46"/>
      <c r="H183" s="25"/>
      <c r="I183" s="24">
        <f>SUM(I179:I182)</f>
        <v>275.06459016393444</v>
      </c>
      <c r="J183" s="3">
        <f>I183*A181</f>
        <v>151010.46000000002</v>
      </c>
      <c r="K183" s="3">
        <v>151010.46</v>
      </c>
      <c r="L183" s="3">
        <f>K183-J183</f>
        <v>0</v>
      </c>
    </row>
    <row r="184" spans="1:20" s="1" customFormat="1" ht="15.75" thickBot="1">
      <c r="A184" s="54"/>
      <c r="B184" s="55"/>
      <c r="C184" s="56"/>
      <c r="D184" s="55"/>
      <c r="E184" s="83"/>
      <c r="F184" s="55"/>
      <c r="G184" s="54"/>
      <c r="H184" s="57"/>
      <c r="I184" s="58"/>
    </row>
    <row r="185" spans="1:20">
      <c r="A185" s="13" t="s">
        <v>81</v>
      </c>
      <c r="B185" s="14" t="s">
        <v>20</v>
      </c>
      <c r="C185" s="59" t="s">
        <v>24</v>
      </c>
      <c r="D185" s="84">
        <v>1794</v>
      </c>
      <c r="E185" s="60">
        <f>247*8*(A187/1974)</f>
        <v>332.33637284701115</v>
      </c>
      <c r="F185" s="43">
        <f>E185/A187</f>
        <v>1.0010131712259371</v>
      </c>
      <c r="G185" s="52">
        <f>D185/E185*F185</f>
        <v>5.403614457831325</v>
      </c>
      <c r="H185" s="15">
        <v>5.36</v>
      </c>
      <c r="I185" s="17">
        <f>H185*G185</f>
        <v>28.963373493975904</v>
      </c>
    </row>
    <row r="186" spans="1:20">
      <c r="A186" s="81" t="s">
        <v>73</v>
      </c>
      <c r="B186" s="5" t="s">
        <v>21</v>
      </c>
      <c r="C186" s="40" t="s">
        <v>25</v>
      </c>
      <c r="D186" s="8">
        <v>54</v>
      </c>
      <c r="E186" s="7">
        <f>247*8*(A187/1974)</f>
        <v>332.33637284701115</v>
      </c>
      <c r="F186" s="35">
        <f>E186/A187</f>
        <v>1.0010131712259371</v>
      </c>
      <c r="G186" s="45">
        <f>D186/E186*F186</f>
        <v>0.16265060240963855</v>
      </c>
      <c r="H186" s="6">
        <v>1448.6</v>
      </c>
      <c r="I186" s="26">
        <f t="shared" ref="I186:I188" si="62">H186*G186</f>
        <v>235.61566265060239</v>
      </c>
    </row>
    <row r="187" spans="1:20">
      <c r="A187" s="82">
        <v>332</v>
      </c>
      <c r="B187" s="37" t="s">
        <v>22</v>
      </c>
      <c r="C187" s="41" t="s">
        <v>26</v>
      </c>
      <c r="D187" s="37">
        <v>54</v>
      </c>
      <c r="E187" s="7">
        <f>247*8*(A187/1974)</f>
        <v>332.33637284701115</v>
      </c>
      <c r="F187" s="35">
        <f>E187/A187</f>
        <v>1.0010131712259371</v>
      </c>
      <c r="G187" s="45">
        <f t="shared" ref="G187:G188" si="63">D187/E187*F187</f>
        <v>0.16265060240963855</v>
      </c>
      <c r="H187" s="38">
        <v>28.7</v>
      </c>
      <c r="I187" s="26">
        <f t="shared" si="62"/>
        <v>4.6680722891566262</v>
      </c>
    </row>
    <row r="188" spans="1:20">
      <c r="A188" s="36"/>
      <c r="B188" s="37" t="s">
        <v>23</v>
      </c>
      <c r="C188" s="41" t="s">
        <v>26</v>
      </c>
      <c r="D188" s="37">
        <v>54</v>
      </c>
      <c r="E188" s="7">
        <f>247*8*(A187/1974)</f>
        <v>332.33637284701115</v>
      </c>
      <c r="F188" s="35">
        <f>E188/A187</f>
        <v>1.0010131712259371</v>
      </c>
      <c r="G188" s="45">
        <f t="shared" si="63"/>
        <v>0.16265060240963855</v>
      </c>
      <c r="H188" s="38">
        <v>40.76</v>
      </c>
      <c r="I188" s="26">
        <f t="shared" si="62"/>
        <v>6.629638554216867</v>
      </c>
    </row>
    <row r="189" spans="1:20" s="1" customFormat="1" ht="15.75" thickBot="1">
      <c r="A189" s="20"/>
      <c r="B189" s="21"/>
      <c r="C189" s="21"/>
      <c r="D189" s="21"/>
      <c r="E189" s="21"/>
      <c r="F189" s="21"/>
      <c r="G189" s="46"/>
      <c r="H189" s="25"/>
      <c r="I189" s="24">
        <f>SUM(I185:I188)</f>
        <v>275.87674698795178</v>
      </c>
      <c r="J189" s="3">
        <f>I189*A187</f>
        <v>91591.079999999987</v>
      </c>
      <c r="K189" s="3">
        <v>91591.08</v>
      </c>
      <c r="L189" s="3">
        <f>K189-J189</f>
        <v>0</v>
      </c>
    </row>
    <row r="190" spans="1:20" s="1" customFormat="1">
      <c r="A190" s="54"/>
      <c r="B190" s="55"/>
      <c r="C190" s="56"/>
      <c r="D190" s="55"/>
      <c r="E190" s="83"/>
      <c r="F190" s="55"/>
      <c r="G190" s="54"/>
      <c r="H190" s="57"/>
      <c r="I190" s="58"/>
    </row>
    <row r="191" spans="1:20" ht="19.5" thickBot="1">
      <c r="A191" s="73" t="s">
        <v>89</v>
      </c>
      <c r="T191" s="1"/>
    </row>
    <row r="192" spans="1:20" ht="105">
      <c r="A192" s="27" t="s">
        <v>2</v>
      </c>
      <c r="B192" s="28" t="s">
        <v>19</v>
      </c>
      <c r="C192" s="28" t="s">
        <v>14</v>
      </c>
      <c r="D192" s="28" t="s">
        <v>16</v>
      </c>
      <c r="E192" s="28" t="s">
        <v>27</v>
      </c>
      <c r="F192" s="28" t="s">
        <v>72</v>
      </c>
      <c r="G192" s="28" t="s">
        <v>29</v>
      </c>
      <c r="H192" s="28" t="s">
        <v>30</v>
      </c>
      <c r="I192" s="29" t="s">
        <v>11</v>
      </c>
      <c r="J192" s="2" t="s">
        <v>33</v>
      </c>
      <c r="K192" s="2" t="s">
        <v>34</v>
      </c>
      <c r="L192" s="2"/>
    </row>
    <row r="193" spans="1:13" ht="15.75" thickBot="1">
      <c r="A193" s="30">
        <v>1</v>
      </c>
      <c r="B193" s="31">
        <v>2</v>
      </c>
      <c r="C193" s="31">
        <v>3</v>
      </c>
      <c r="D193" s="31">
        <v>4</v>
      </c>
      <c r="E193" s="31">
        <v>5</v>
      </c>
      <c r="F193" s="31" t="s">
        <v>59</v>
      </c>
      <c r="G193" s="31" t="s">
        <v>31</v>
      </c>
      <c r="H193" s="32">
        <v>8</v>
      </c>
      <c r="I193" s="33" t="s">
        <v>32</v>
      </c>
    </row>
    <row r="194" spans="1:13">
      <c r="A194" s="13" t="s">
        <v>71</v>
      </c>
      <c r="B194" s="11" t="s">
        <v>20</v>
      </c>
      <c r="C194" s="39" t="s">
        <v>24</v>
      </c>
      <c r="D194" s="63">
        <v>100</v>
      </c>
      <c r="E194" s="60">
        <f>247*8*(A196/1974)</f>
        <v>88.089159067882463</v>
      </c>
      <c r="F194" s="61">
        <f>E194/A196</f>
        <v>1.0010131712259371</v>
      </c>
      <c r="G194" s="45">
        <f>D194/E194*F194</f>
        <v>1.1363636363636365</v>
      </c>
      <c r="H194" s="12">
        <v>5.36</v>
      </c>
      <c r="I194" s="26">
        <f>H194*G194</f>
        <v>6.0909090909090917</v>
      </c>
      <c r="M194" s="1">
        <f>D194/A196</f>
        <v>1.1363636363636365</v>
      </c>
    </row>
    <row r="195" spans="1:13">
      <c r="A195" s="81" t="s">
        <v>73</v>
      </c>
      <c r="B195" s="5" t="s">
        <v>21</v>
      </c>
      <c r="C195" s="40" t="s">
        <v>25</v>
      </c>
      <c r="D195" s="8">
        <v>10</v>
      </c>
      <c r="E195" s="7">
        <f>247*8*(A196/1974)</f>
        <v>88.089159067882463</v>
      </c>
      <c r="F195" s="35">
        <f>E195/A196</f>
        <v>1.0010131712259371</v>
      </c>
      <c r="G195" s="45">
        <f>D195/E195*F195</f>
        <v>0.11363636363636365</v>
      </c>
      <c r="H195" s="6">
        <v>1448.6</v>
      </c>
      <c r="I195" s="26">
        <f t="shared" ref="I195:I197" si="64">H195*G195</f>
        <v>164.61363636363637</v>
      </c>
      <c r="M195" s="1">
        <f>D195/A196</f>
        <v>0.11363636363636363</v>
      </c>
    </row>
    <row r="196" spans="1:13">
      <c r="A196" s="82">
        <v>88</v>
      </c>
      <c r="B196" s="37" t="s">
        <v>22</v>
      </c>
      <c r="C196" s="41" t="s">
        <v>26</v>
      </c>
      <c r="D196" s="37">
        <v>30</v>
      </c>
      <c r="E196" s="7">
        <f>247*8*(A196/1974)</f>
        <v>88.089159067882463</v>
      </c>
      <c r="F196" s="35">
        <f>E196/A196</f>
        <v>1.0010131712259371</v>
      </c>
      <c r="G196" s="45">
        <f t="shared" ref="G196:G197" si="65">D196/E196*F196</f>
        <v>0.34090909090909094</v>
      </c>
      <c r="H196" s="38">
        <v>28.7</v>
      </c>
      <c r="I196" s="26">
        <f t="shared" si="64"/>
        <v>9.7840909090909101</v>
      </c>
      <c r="M196" s="1">
        <f>D196/A196</f>
        <v>0.34090909090909088</v>
      </c>
    </row>
    <row r="197" spans="1:13">
      <c r="A197" s="36"/>
      <c r="B197" s="37" t="s">
        <v>23</v>
      </c>
      <c r="C197" s="41" t="s">
        <v>26</v>
      </c>
      <c r="D197" s="37">
        <v>30</v>
      </c>
      <c r="E197" s="7">
        <f>247*8*(A196/1974)</f>
        <v>88.089159067882463</v>
      </c>
      <c r="F197" s="35">
        <f>E197/A196</f>
        <v>1.0010131712259371</v>
      </c>
      <c r="G197" s="45">
        <f t="shared" si="65"/>
        <v>0.34090909090909094</v>
      </c>
      <c r="H197" s="38">
        <v>40.76</v>
      </c>
      <c r="I197" s="26">
        <f t="shared" si="64"/>
        <v>13.895454545454546</v>
      </c>
    </row>
    <row r="198" spans="1:13" s="1" customFormat="1" ht="15.75" thickBot="1">
      <c r="A198" s="20"/>
      <c r="B198" s="21"/>
      <c r="C198" s="21"/>
      <c r="D198" s="21"/>
      <c r="E198" s="21"/>
      <c r="F198" s="21"/>
      <c r="G198" s="46"/>
      <c r="H198" s="25"/>
      <c r="I198" s="24">
        <f>SUM(I194:I197)</f>
        <v>194.38409090909093</v>
      </c>
      <c r="J198" s="3">
        <f>I198*A196</f>
        <v>17105.800000000003</v>
      </c>
      <c r="K198" s="3">
        <v>17105.8</v>
      </c>
      <c r="L198" s="3">
        <f>K198-J198</f>
        <v>0</v>
      </c>
    </row>
    <row r="199" spans="1:13">
      <c r="A199" s="13" t="s">
        <v>76</v>
      </c>
      <c r="B199" s="11" t="s">
        <v>20</v>
      </c>
      <c r="C199" s="39" t="s">
        <v>24</v>
      </c>
      <c r="D199" s="63">
        <v>192</v>
      </c>
      <c r="E199" s="60">
        <f>247*8*(A201/1974)</f>
        <v>169.17122593718338</v>
      </c>
      <c r="F199" s="61">
        <f>E199/A201</f>
        <v>1.0010131712259371</v>
      </c>
      <c r="G199" s="45">
        <f>D199/E199*F199</f>
        <v>1.136094674556213</v>
      </c>
      <c r="H199" s="12">
        <v>5.36</v>
      </c>
      <c r="I199" s="26">
        <f>H199*G199</f>
        <v>6.0894674556213024</v>
      </c>
    </row>
    <row r="200" spans="1:13">
      <c r="A200" s="81" t="s">
        <v>73</v>
      </c>
      <c r="B200" s="5" t="s">
        <v>21</v>
      </c>
      <c r="C200" s="40" t="s">
        <v>25</v>
      </c>
      <c r="D200" s="8">
        <v>19</v>
      </c>
      <c r="E200" s="7">
        <f>247*8*(A201/1974)</f>
        <v>169.17122593718338</v>
      </c>
      <c r="F200" s="35">
        <f>E200/A201</f>
        <v>1.0010131712259371</v>
      </c>
      <c r="G200" s="45">
        <f>D200/E200*F200</f>
        <v>0.11242603550295859</v>
      </c>
      <c r="H200" s="6">
        <v>1448.6</v>
      </c>
      <c r="I200" s="26">
        <f t="shared" ref="I200:I202" si="66">H200*G200</f>
        <v>162.8603550295858</v>
      </c>
    </row>
    <row r="201" spans="1:13">
      <c r="A201" s="82">
        <v>169</v>
      </c>
      <c r="B201" s="37" t="s">
        <v>22</v>
      </c>
      <c r="C201" s="41" t="s">
        <v>26</v>
      </c>
      <c r="D201" s="37">
        <v>57</v>
      </c>
      <c r="E201" s="7">
        <f>247*8*(A201/1974)</f>
        <v>169.17122593718338</v>
      </c>
      <c r="F201" s="35">
        <f>E201/A201</f>
        <v>1.0010131712259371</v>
      </c>
      <c r="G201" s="45">
        <f t="shared" ref="G201:G202" si="67">D201/E201*F201</f>
        <v>0.33727810650887574</v>
      </c>
      <c r="H201" s="38">
        <v>28.7</v>
      </c>
      <c r="I201" s="26">
        <f t="shared" si="66"/>
        <v>9.6798816568047332</v>
      </c>
    </row>
    <row r="202" spans="1:13">
      <c r="A202" s="36"/>
      <c r="B202" s="37" t="s">
        <v>23</v>
      </c>
      <c r="C202" s="41" t="s">
        <v>26</v>
      </c>
      <c r="D202" s="37">
        <v>57</v>
      </c>
      <c r="E202" s="7">
        <f>247*8*(A201/1974)</f>
        <v>169.17122593718338</v>
      </c>
      <c r="F202" s="35">
        <f>E202/A201</f>
        <v>1.0010131712259371</v>
      </c>
      <c r="G202" s="45">
        <f t="shared" si="67"/>
        <v>0.33727810650887574</v>
      </c>
      <c r="H202" s="38">
        <v>40.76</v>
      </c>
      <c r="I202" s="26">
        <f t="shared" si="66"/>
        <v>13.747455621301775</v>
      </c>
    </row>
    <row r="203" spans="1:13" s="1" customFormat="1" ht="15.75" thickBot="1">
      <c r="A203" s="20"/>
      <c r="B203" s="21"/>
      <c r="C203" s="21"/>
      <c r="D203" s="21"/>
      <c r="E203" s="21"/>
      <c r="F203" s="21"/>
      <c r="G203" s="46"/>
      <c r="H203" s="25"/>
      <c r="I203" s="24">
        <f>SUM(I199:I202)</f>
        <v>192.37715976331361</v>
      </c>
      <c r="J203" s="3">
        <f>I203*A201</f>
        <v>32511.74</v>
      </c>
      <c r="K203" s="3">
        <v>32511.74</v>
      </c>
      <c r="L203" s="3">
        <f>K203-J203</f>
        <v>0</v>
      </c>
    </row>
    <row r="204" spans="1:13">
      <c r="A204" s="13" t="s">
        <v>77</v>
      </c>
      <c r="B204" s="11" t="s">
        <v>20</v>
      </c>
      <c r="C204" s="39" t="s">
        <v>24</v>
      </c>
      <c r="D204" s="63">
        <v>126</v>
      </c>
      <c r="E204" s="60">
        <f>247*8*(A206/1974)</f>
        <v>111.11246200607903</v>
      </c>
      <c r="F204" s="61">
        <f>E204/A206</f>
        <v>1.0010131712259371</v>
      </c>
      <c r="G204" s="45">
        <f>D204/E204*F204</f>
        <v>1.1351351351351351</v>
      </c>
      <c r="H204" s="12">
        <v>5.36</v>
      </c>
      <c r="I204" s="26">
        <f>H204*G204</f>
        <v>6.0843243243243244</v>
      </c>
    </row>
    <row r="205" spans="1:13">
      <c r="A205" s="81" t="s">
        <v>73</v>
      </c>
      <c r="B205" s="5" t="s">
        <v>21</v>
      </c>
      <c r="C205" s="40" t="s">
        <v>25</v>
      </c>
      <c r="D205" s="8">
        <v>12</v>
      </c>
      <c r="E205" s="7">
        <f>247*8*(A206/1974)</f>
        <v>111.11246200607903</v>
      </c>
      <c r="F205" s="35">
        <f>E205/A206</f>
        <v>1.0010131712259371</v>
      </c>
      <c r="G205" s="45">
        <f>D205/E205*F205</f>
        <v>0.1081081081081081</v>
      </c>
      <c r="H205" s="6">
        <v>1448.6</v>
      </c>
      <c r="I205" s="26">
        <f t="shared" ref="I205:I207" si="68">H205*G205</f>
        <v>156.60540540540538</v>
      </c>
    </row>
    <row r="206" spans="1:13">
      <c r="A206" s="82">
        <v>111</v>
      </c>
      <c r="B206" s="37" t="s">
        <v>22</v>
      </c>
      <c r="C206" s="41" t="s">
        <v>26</v>
      </c>
      <c r="D206" s="37">
        <v>37</v>
      </c>
      <c r="E206" s="7">
        <f>247*8*(A206/1974)</f>
        <v>111.11246200607903</v>
      </c>
      <c r="F206" s="35">
        <f>E206/A206</f>
        <v>1.0010131712259371</v>
      </c>
      <c r="G206" s="45">
        <f t="shared" ref="G206:G207" si="69">D206/E206*F206</f>
        <v>0.33333333333333331</v>
      </c>
      <c r="H206" s="38">
        <v>28.7</v>
      </c>
      <c r="I206" s="26">
        <f t="shared" si="68"/>
        <v>9.5666666666666664</v>
      </c>
    </row>
    <row r="207" spans="1:13">
      <c r="A207" s="36"/>
      <c r="B207" s="37" t="s">
        <v>23</v>
      </c>
      <c r="C207" s="41" t="s">
        <v>26</v>
      </c>
      <c r="D207" s="37">
        <v>37</v>
      </c>
      <c r="E207" s="7">
        <f>247*8*(A206/1974)</f>
        <v>111.11246200607903</v>
      </c>
      <c r="F207" s="35">
        <f>E207/A206</f>
        <v>1.0010131712259371</v>
      </c>
      <c r="G207" s="45">
        <f t="shared" si="69"/>
        <v>0.33333333333333331</v>
      </c>
      <c r="H207" s="38">
        <v>40.76</v>
      </c>
      <c r="I207" s="26">
        <f t="shared" si="68"/>
        <v>13.586666666666666</v>
      </c>
    </row>
    <row r="208" spans="1:13" s="1" customFormat="1" ht="15.75" thickBot="1">
      <c r="A208" s="20"/>
      <c r="B208" s="21"/>
      <c r="C208" s="21"/>
      <c r="D208" s="21"/>
      <c r="E208" s="21"/>
      <c r="F208" s="21"/>
      <c r="G208" s="46"/>
      <c r="H208" s="25"/>
      <c r="I208" s="24">
        <f>SUM(I204:I207)</f>
        <v>185.84306306306303</v>
      </c>
      <c r="J208" s="3">
        <f>I208*A206</f>
        <v>20628.579999999994</v>
      </c>
      <c r="K208" s="3">
        <v>20628.580000000002</v>
      </c>
      <c r="L208" s="3">
        <f>K208-J208</f>
        <v>0</v>
      </c>
    </row>
    <row r="209" spans="1:12">
      <c r="A209" s="13" t="s">
        <v>78</v>
      </c>
      <c r="B209" s="11" t="s">
        <v>20</v>
      </c>
      <c r="C209" s="39" t="s">
        <v>24</v>
      </c>
      <c r="D209" s="63">
        <v>196</v>
      </c>
      <c r="E209" s="60">
        <f>247*8*(A211/1974)</f>
        <v>173.17527862208712</v>
      </c>
      <c r="F209" s="61">
        <f>E209/A211</f>
        <v>1.0010131712259371</v>
      </c>
      <c r="G209" s="45">
        <f>D209/E209*F209</f>
        <v>1.1329479768786128</v>
      </c>
      <c r="H209" s="12">
        <v>5.36</v>
      </c>
      <c r="I209" s="26">
        <f>H209*G209</f>
        <v>6.0726011560693651</v>
      </c>
    </row>
    <row r="210" spans="1:12">
      <c r="A210" s="81" t="s">
        <v>73</v>
      </c>
      <c r="B210" s="5" t="s">
        <v>21</v>
      </c>
      <c r="C210" s="40" t="s">
        <v>25</v>
      </c>
      <c r="D210" s="8">
        <v>19</v>
      </c>
      <c r="E210" s="7">
        <f>247*8*(A211/1974)</f>
        <v>173.17527862208712</v>
      </c>
      <c r="F210" s="35">
        <f>E210/A211</f>
        <v>1.0010131712259371</v>
      </c>
      <c r="G210" s="45">
        <f>D210/E210*F210</f>
        <v>0.10982658959537572</v>
      </c>
      <c r="H210" s="6">
        <v>1448.6</v>
      </c>
      <c r="I210" s="26">
        <f t="shared" ref="I210:I212" si="70">H210*G210</f>
        <v>159.09479768786127</v>
      </c>
    </row>
    <row r="211" spans="1:12">
      <c r="A211" s="82">
        <v>173</v>
      </c>
      <c r="B211" s="37" t="s">
        <v>22</v>
      </c>
      <c r="C211" s="41" t="s">
        <v>26</v>
      </c>
      <c r="D211" s="37">
        <v>58</v>
      </c>
      <c r="E211" s="7">
        <f>247*8*(A211/1974)</f>
        <v>173.17527862208712</v>
      </c>
      <c r="F211" s="35">
        <f>E211/A211</f>
        <v>1.0010131712259371</v>
      </c>
      <c r="G211" s="45">
        <f t="shared" ref="G211:G212" si="71">D211/E211*F211</f>
        <v>0.33526011560693642</v>
      </c>
      <c r="H211" s="38">
        <v>28.7</v>
      </c>
      <c r="I211" s="26">
        <f t="shared" si="70"/>
        <v>9.6219653179190754</v>
      </c>
    </row>
    <row r="212" spans="1:12">
      <c r="A212" s="36"/>
      <c r="B212" s="37" t="s">
        <v>23</v>
      </c>
      <c r="C212" s="41" t="s">
        <v>26</v>
      </c>
      <c r="D212" s="37">
        <v>58</v>
      </c>
      <c r="E212" s="7">
        <f>247*8*(A211/1974)</f>
        <v>173.17527862208712</v>
      </c>
      <c r="F212" s="35">
        <f>E212/A211</f>
        <v>1.0010131712259371</v>
      </c>
      <c r="G212" s="45">
        <f t="shared" si="71"/>
        <v>0.33526011560693642</v>
      </c>
      <c r="H212" s="38">
        <v>40.76</v>
      </c>
      <c r="I212" s="26">
        <f t="shared" si="70"/>
        <v>13.665202312138728</v>
      </c>
    </row>
    <row r="213" spans="1:12" s="1" customFormat="1" ht="15.75" thickBot="1">
      <c r="A213" s="20"/>
      <c r="B213" s="21"/>
      <c r="C213" s="21"/>
      <c r="D213" s="21"/>
      <c r="E213" s="21"/>
      <c r="F213" s="21"/>
      <c r="G213" s="46"/>
      <c r="H213" s="25"/>
      <c r="I213" s="24">
        <f>SUM(I209:I212)</f>
        <v>188.45456647398842</v>
      </c>
      <c r="J213" s="3">
        <f>I213*A211</f>
        <v>32602.639999999996</v>
      </c>
      <c r="K213" s="3">
        <v>32602.639999999999</v>
      </c>
      <c r="L213" s="3">
        <f>K213-J213</f>
        <v>0</v>
      </c>
    </row>
    <row r="214" spans="1:12">
      <c r="A214" s="13" t="s">
        <v>79</v>
      </c>
      <c r="B214" s="11" t="s">
        <v>20</v>
      </c>
      <c r="C214" s="39" t="s">
        <v>24</v>
      </c>
      <c r="D214" s="63">
        <v>159</v>
      </c>
      <c r="E214" s="60">
        <f>247*8*(A216/1974)</f>
        <v>140.1418439716312</v>
      </c>
      <c r="F214" s="61">
        <f>E214/A216</f>
        <v>1.0010131712259371</v>
      </c>
      <c r="G214" s="45">
        <f>D214/E214*F214</f>
        <v>1.1357142857142857</v>
      </c>
      <c r="H214" s="12">
        <v>5.36</v>
      </c>
      <c r="I214" s="26">
        <f>H214*G214</f>
        <v>6.0874285714285712</v>
      </c>
    </row>
    <row r="215" spans="1:12">
      <c r="A215" s="81" t="s">
        <v>73</v>
      </c>
      <c r="B215" s="5" t="s">
        <v>21</v>
      </c>
      <c r="C215" s="40" t="s">
        <v>25</v>
      </c>
      <c r="D215" s="8">
        <v>16</v>
      </c>
      <c r="E215" s="7">
        <f>247*8*(A216/1974)</f>
        <v>140.1418439716312</v>
      </c>
      <c r="F215" s="35">
        <f>E215/A216</f>
        <v>1.0010131712259371</v>
      </c>
      <c r="G215" s="45">
        <f>D215/E215*F215</f>
        <v>0.11428571428571428</v>
      </c>
      <c r="H215" s="6">
        <v>1448.6</v>
      </c>
      <c r="I215" s="26">
        <f t="shared" ref="I215:I217" si="72">H215*G215</f>
        <v>165.5542857142857</v>
      </c>
    </row>
    <row r="216" spans="1:12">
      <c r="A216" s="82">
        <v>140</v>
      </c>
      <c r="B216" s="37" t="s">
        <v>22</v>
      </c>
      <c r="C216" s="41" t="s">
        <v>26</v>
      </c>
      <c r="D216" s="37">
        <v>48</v>
      </c>
      <c r="E216" s="7">
        <f>247*8*(A216/1974)</f>
        <v>140.1418439716312</v>
      </c>
      <c r="F216" s="35">
        <f>E216/A216</f>
        <v>1.0010131712259371</v>
      </c>
      <c r="G216" s="45">
        <f t="shared" ref="G216:G217" si="73">D216/E216*F216</f>
        <v>0.34285714285714286</v>
      </c>
      <c r="H216" s="38">
        <v>28.7</v>
      </c>
      <c r="I216" s="26">
        <f t="shared" si="72"/>
        <v>9.84</v>
      </c>
    </row>
    <row r="217" spans="1:12">
      <c r="A217" s="36"/>
      <c r="B217" s="37" t="s">
        <v>23</v>
      </c>
      <c r="C217" s="41" t="s">
        <v>26</v>
      </c>
      <c r="D217" s="37">
        <v>48</v>
      </c>
      <c r="E217" s="7">
        <f>247*8*(A216/1974)</f>
        <v>140.1418439716312</v>
      </c>
      <c r="F217" s="35">
        <f>E217/A216</f>
        <v>1.0010131712259371</v>
      </c>
      <c r="G217" s="45">
        <f t="shared" si="73"/>
        <v>0.34285714285714286</v>
      </c>
      <c r="H217" s="38">
        <v>40.76</v>
      </c>
      <c r="I217" s="26">
        <f t="shared" si="72"/>
        <v>13.974857142857143</v>
      </c>
    </row>
    <row r="218" spans="1:12" s="1" customFormat="1" ht="15.75" thickBot="1">
      <c r="A218" s="20"/>
      <c r="B218" s="21"/>
      <c r="C218" s="21"/>
      <c r="D218" s="21"/>
      <c r="E218" s="21"/>
      <c r="F218" s="21"/>
      <c r="G218" s="46"/>
      <c r="H218" s="25"/>
      <c r="I218" s="24">
        <f>SUM(I214:I217)</f>
        <v>195.45657142857141</v>
      </c>
      <c r="J218" s="3">
        <f>I218*A216</f>
        <v>27363.919999999998</v>
      </c>
      <c r="K218" s="3">
        <v>27363.919999999998</v>
      </c>
      <c r="L218" s="3">
        <f>K218-J218</f>
        <v>0</v>
      </c>
    </row>
    <row r="219" spans="1:12">
      <c r="A219" s="13" t="s">
        <v>80</v>
      </c>
      <c r="B219" s="11" t="s">
        <v>20</v>
      </c>
      <c r="C219" s="39" t="s">
        <v>24</v>
      </c>
      <c r="D219" s="63">
        <v>142</v>
      </c>
      <c r="E219" s="60">
        <f>247*8*(A221/1974)</f>
        <v>125.12664640324216</v>
      </c>
      <c r="F219" s="61">
        <f>E219/A221</f>
        <v>1.0010131712259374</v>
      </c>
      <c r="G219" s="45">
        <f>D219/E219*F219</f>
        <v>1.1359999999999999</v>
      </c>
      <c r="H219" s="12">
        <v>5.36</v>
      </c>
      <c r="I219" s="26">
        <f>H219*G219</f>
        <v>6.0889600000000002</v>
      </c>
    </row>
    <row r="220" spans="1:12">
      <c r="A220" s="81" t="s">
        <v>73</v>
      </c>
      <c r="B220" s="5" t="s">
        <v>21</v>
      </c>
      <c r="C220" s="40" t="s">
        <v>25</v>
      </c>
      <c r="D220" s="8">
        <v>14</v>
      </c>
      <c r="E220" s="7">
        <f>247*8*(A221/1974)</f>
        <v>125.12664640324216</v>
      </c>
      <c r="F220" s="35">
        <f>E220/A221</f>
        <v>1.0010131712259374</v>
      </c>
      <c r="G220" s="45">
        <f>D220/E220*F220</f>
        <v>0.112</v>
      </c>
      <c r="H220" s="6">
        <v>1448.6</v>
      </c>
      <c r="I220" s="26">
        <f t="shared" ref="I220:I222" si="74">H220*G220</f>
        <v>162.2432</v>
      </c>
    </row>
    <row r="221" spans="1:12">
      <c r="A221" s="82">
        <v>125</v>
      </c>
      <c r="B221" s="37" t="s">
        <v>22</v>
      </c>
      <c r="C221" s="41" t="s">
        <v>26</v>
      </c>
      <c r="D221" s="37">
        <v>43</v>
      </c>
      <c r="E221" s="7">
        <f>247*8*(A221/1974)</f>
        <v>125.12664640324216</v>
      </c>
      <c r="F221" s="35">
        <f>E221/A221</f>
        <v>1.0010131712259374</v>
      </c>
      <c r="G221" s="45">
        <f t="shared" ref="G221:G222" si="75">D221/E221*F221</f>
        <v>0.34400000000000003</v>
      </c>
      <c r="H221" s="38">
        <v>28.7</v>
      </c>
      <c r="I221" s="26">
        <f t="shared" si="74"/>
        <v>9.8727999999999998</v>
      </c>
    </row>
    <row r="222" spans="1:12">
      <c r="A222" s="36"/>
      <c r="B222" s="37" t="s">
        <v>23</v>
      </c>
      <c r="C222" s="41" t="s">
        <v>26</v>
      </c>
      <c r="D222" s="37">
        <v>43</v>
      </c>
      <c r="E222" s="7">
        <f>247*8*(A221/1974)</f>
        <v>125.12664640324216</v>
      </c>
      <c r="F222" s="35">
        <f>E222/A221</f>
        <v>1.0010131712259374</v>
      </c>
      <c r="G222" s="45">
        <f t="shared" si="75"/>
        <v>0.34400000000000003</v>
      </c>
      <c r="H222" s="38">
        <v>40.76</v>
      </c>
      <c r="I222" s="26">
        <f t="shared" si="74"/>
        <v>14.02144</v>
      </c>
    </row>
    <row r="223" spans="1:12" s="1" customFormat="1" ht="15.75" thickBot="1">
      <c r="A223" s="20"/>
      <c r="B223" s="21"/>
      <c r="C223" s="21"/>
      <c r="D223" s="21"/>
      <c r="E223" s="21"/>
      <c r="F223" s="21"/>
      <c r="G223" s="46"/>
      <c r="H223" s="25"/>
      <c r="I223" s="24">
        <f>SUM(I219:I222)</f>
        <v>192.22640000000001</v>
      </c>
      <c r="J223" s="3">
        <f>I223*A221</f>
        <v>24028.300000000003</v>
      </c>
      <c r="K223" s="3">
        <v>24028.3</v>
      </c>
      <c r="L223" s="3">
        <f>K223-J223</f>
        <v>0</v>
      </c>
    </row>
    <row r="224" spans="1:12" s="1" customFormat="1" ht="15.75" thickBot="1">
      <c r="A224" s="54"/>
      <c r="B224" s="55"/>
      <c r="C224" s="56"/>
      <c r="D224" s="55"/>
      <c r="E224" s="83"/>
      <c r="F224" s="55"/>
      <c r="G224" s="54"/>
      <c r="H224" s="57"/>
      <c r="I224" s="58"/>
    </row>
    <row r="225" spans="1:12">
      <c r="A225" s="13" t="s">
        <v>81</v>
      </c>
      <c r="B225" s="14" t="s">
        <v>20</v>
      </c>
      <c r="C225" s="59" t="s">
        <v>24</v>
      </c>
      <c r="D225" s="84">
        <v>171</v>
      </c>
      <c r="E225" s="60">
        <f>247*8*(A227/1974)</f>
        <v>151.15298885511652</v>
      </c>
      <c r="F225" s="43">
        <f>E225/A227</f>
        <v>1.0010131712259371</v>
      </c>
      <c r="G225" s="52">
        <f>D225/E225*F225</f>
        <v>1.1324503311258278</v>
      </c>
      <c r="H225" s="15">
        <v>5.36</v>
      </c>
      <c r="I225" s="17">
        <f>H225*G225</f>
        <v>6.0699337748344373</v>
      </c>
    </row>
    <row r="226" spans="1:12">
      <c r="A226" s="81" t="s">
        <v>73</v>
      </c>
      <c r="B226" s="5" t="s">
        <v>21</v>
      </c>
      <c r="C226" s="40" t="s">
        <v>25</v>
      </c>
      <c r="D226" s="8">
        <v>17</v>
      </c>
      <c r="E226" s="7">
        <f>247*8*(A227/1974)</f>
        <v>151.15298885511652</v>
      </c>
      <c r="F226" s="35">
        <f>E226/A227</f>
        <v>1.0010131712259371</v>
      </c>
      <c r="G226" s="45">
        <f>D226/E226*F226</f>
        <v>0.11258278145695363</v>
      </c>
      <c r="H226" s="6">
        <v>1448.6</v>
      </c>
      <c r="I226" s="26">
        <f t="shared" ref="I226:I228" si="76">H226*G226</f>
        <v>163.08741721854304</v>
      </c>
    </row>
    <row r="227" spans="1:12">
      <c r="A227" s="82">
        <v>151</v>
      </c>
      <c r="B227" s="37" t="s">
        <v>22</v>
      </c>
      <c r="C227" s="41" t="s">
        <v>26</v>
      </c>
      <c r="D227" s="37">
        <v>51</v>
      </c>
      <c r="E227" s="7">
        <f>247*8*(A227/1974)</f>
        <v>151.15298885511652</v>
      </c>
      <c r="F227" s="35">
        <f>E227/A227</f>
        <v>1.0010131712259371</v>
      </c>
      <c r="G227" s="45">
        <f t="shared" ref="G227:G228" si="77">D227/E227*F227</f>
        <v>0.33774834437086088</v>
      </c>
      <c r="H227" s="38">
        <v>28.7</v>
      </c>
      <c r="I227" s="26">
        <f t="shared" si="76"/>
        <v>9.6933774834437063</v>
      </c>
    </row>
    <row r="228" spans="1:12">
      <c r="A228" s="36"/>
      <c r="B228" s="37" t="s">
        <v>23</v>
      </c>
      <c r="C228" s="41" t="s">
        <v>26</v>
      </c>
      <c r="D228" s="37">
        <v>51</v>
      </c>
      <c r="E228" s="7">
        <f>247*8*(A227/1974)</f>
        <v>151.15298885511652</v>
      </c>
      <c r="F228" s="35">
        <f>E228/A227</f>
        <v>1.0010131712259371</v>
      </c>
      <c r="G228" s="45">
        <f t="shared" si="77"/>
        <v>0.33774834437086088</v>
      </c>
      <c r="H228" s="38">
        <v>40.76</v>
      </c>
      <c r="I228" s="26">
        <f t="shared" si="76"/>
        <v>13.766622516556289</v>
      </c>
    </row>
    <row r="229" spans="1:12" s="1" customFormat="1" ht="15.75" thickBot="1">
      <c r="A229" s="20"/>
      <c r="B229" s="21"/>
      <c r="C229" s="21"/>
      <c r="D229" s="21"/>
      <c r="E229" s="21"/>
      <c r="F229" s="21"/>
      <c r="G229" s="46"/>
      <c r="H229" s="25"/>
      <c r="I229" s="24">
        <f>SUM(I225:I228)</f>
        <v>192.61735099337744</v>
      </c>
      <c r="J229" s="3">
        <f>I229*A227</f>
        <v>29085.219999999994</v>
      </c>
      <c r="K229" s="3">
        <v>29085.22</v>
      </c>
      <c r="L229" s="3">
        <f>K229-J229</f>
        <v>0</v>
      </c>
    </row>
    <row r="230" spans="1:12" s="1" customFormat="1" ht="15.75" thickBot="1">
      <c r="A230" s="54"/>
      <c r="B230" s="55"/>
      <c r="C230" s="56"/>
      <c r="D230" s="55"/>
      <c r="E230" s="62"/>
      <c r="F230" s="55"/>
      <c r="G230" s="54"/>
      <c r="H230" s="57"/>
      <c r="I230" s="58"/>
    </row>
    <row r="231" spans="1:12">
      <c r="A231" s="13" t="s">
        <v>82</v>
      </c>
      <c r="B231" s="14" t="s">
        <v>20</v>
      </c>
      <c r="C231" s="59" t="s">
        <v>24</v>
      </c>
      <c r="D231" s="84">
        <v>55</v>
      </c>
      <c r="E231" s="60">
        <f>247*8*(A233/1974)</f>
        <v>49.049645390070921</v>
      </c>
      <c r="F231" s="43">
        <f>E231/A233</f>
        <v>1.0010131712259371</v>
      </c>
      <c r="G231" s="52">
        <f>D231/E231*F231</f>
        <v>1.1224489795918366</v>
      </c>
      <c r="H231" s="15">
        <v>5.36</v>
      </c>
      <c r="I231" s="17">
        <f>H231*G231</f>
        <v>6.0163265306122451</v>
      </c>
    </row>
    <row r="232" spans="1:12">
      <c r="A232" s="81" t="s">
        <v>73</v>
      </c>
      <c r="B232" s="5" t="s">
        <v>21</v>
      </c>
      <c r="C232" s="40" t="s">
        <v>25</v>
      </c>
      <c r="D232" s="8">
        <v>6</v>
      </c>
      <c r="E232" s="7">
        <f>247*8*(A233/1974)</f>
        <v>49.049645390070921</v>
      </c>
      <c r="F232" s="35">
        <f>E232/A233</f>
        <v>1.0010131712259371</v>
      </c>
      <c r="G232" s="45">
        <f>D232/E232*F232</f>
        <v>0.12244897959183673</v>
      </c>
      <c r="H232" s="6">
        <v>1448.6</v>
      </c>
      <c r="I232" s="26">
        <f t="shared" ref="I232:I234" si="78">H232*G232</f>
        <v>177.37959183673468</v>
      </c>
    </row>
    <row r="233" spans="1:12">
      <c r="A233" s="82">
        <v>49</v>
      </c>
      <c r="B233" s="37" t="s">
        <v>22</v>
      </c>
      <c r="C233" s="41" t="s">
        <v>26</v>
      </c>
      <c r="D233" s="37">
        <v>17</v>
      </c>
      <c r="E233" s="7">
        <f>247*8*(A233/1974)</f>
        <v>49.049645390070921</v>
      </c>
      <c r="F233" s="35">
        <f>E233/A233</f>
        <v>1.0010131712259371</v>
      </c>
      <c r="G233" s="45">
        <f t="shared" ref="G233:G234" si="79">D233/E233*F233</f>
        <v>0.34693877551020408</v>
      </c>
      <c r="H233" s="38">
        <v>28.7</v>
      </c>
      <c r="I233" s="26">
        <f t="shared" si="78"/>
        <v>9.9571428571428573</v>
      </c>
    </row>
    <row r="234" spans="1:12">
      <c r="A234" s="36"/>
      <c r="B234" s="37" t="s">
        <v>23</v>
      </c>
      <c r="C234" s="41" t="s">
        <v>26</v>
      </c>
      <c r="D234" s="37">
        <v>17</v>
      </c>
      <c r="E234" s="7">
        <f>247*8*(A233/1974)</f>
        <v>49.049645390070921</v>
      </c>
      <c r="F234" s="35">
        <f>E234/A233</f>
        <v>1.0010131712259371</v>
      </c>
      <c r="G234" s="45">
        <f t="shared" si="79"/>
        <v>0.34693877551020408</v>
      </c>
      <c r="H234" s="38">
        <v>40.76</v>
      </c>
      <c r="I234" s="26">
        <f t="shared" si="78"/>
        <v>14.141224489795917</v>
      </c>
    </row>
    <row r="235" spans="1:12" s="1" customFormat="1" ht="15.75" thickBot="1">
      <c r="A235" s="20"/>
      <c r="B235" s="21"/>
      <c r="C235" s="21"/>
      <c r="D235" s="21"/>
      <c r="E235" s="21"/>
      <c r="F235" s="21"/>
      <c r="G235" s="46"/>
      <c r="H235" s="25"/>
      <c r="I235" s="24">
        <f>SUM(I231:I234)</f>
        <v>207.4942857142857</v>
      </c>
      <c r="J235" s="3">
        <f>I235*A233</f>
        <v>10167.219999999999</v>
      </c>
      <c r="K235" s="3">
        <v>10167.219999999999</v>
      </c>
      <c r="L235" s="3">
        <f>K235-J235</f>
        <v>0</v>
      </c>
    </row>
    <row r="236" spans="1:12">
      <c r="A236" s="13" t="s">
        <v>83</v>
      </c>
      <c r="B236" s="14" t="s">
        <v>20</v>
      </c>
      <c r="C236" s="59" t="s">
        <v>24</v>
      </c>
      <c r="D236" s="84">
        <v>62</v>
      </c>
      <c r="E236" s="60">
        <f>247*8*(A238/1974)</f>
        <v>55.055724417426546</v>
      </c>
      <c r="F236" s="43">
        <f>E236/A238</f>
        <v>1.0010131712259371</v>
      </c>
      <c r="G236" s="52">
        <f>D236/E236*F236</f>
        <v>1.1272727272727272</v>
      </c>
      <c r="H236" s="15">
        <v>5.36</v>
      </c>
      <c r="I236" s="17">
        <f>H236*G236</f>
        <v>6.0421818181818185</v>
      </c>
    </row>
    <row r="237" spans="1:12">
      <c r="A237" s="81" t="s">
        <v>73</v>
      </c>
      <c r="B237" s="5" t="s">
        <v>21</v>
      </c>
      <c r="C237" s="40" t="s">
        <v>25</v>
      </c>
      <c r="D237" s="8">
        <v>6</v>
      </c>
      <c r="E237" s="7">
        <f>247*8*(A238/1974)</f>
        <v>55.055724417426546</v>
      </c>
      <c r="F237" s="35">
        <f>E237/A238</f>
        <v>1.0010131712259371</v>
      </c>
      <c r="G237" s="45">
        <f>D237/E237*F237</f>
        <v>0.10909090909090909</v>
      </c>
      <c r="H237" s="6">
        <v>1448.6</v>
      </c>
      <c r="I237" s="26">
        <f t="shared" ref="I237:I239" si="80">H237*G237</f>
        <v>158.02909090909088</v>
      </c>
    </row>
    <row r="238" spans="1:12">
      <c r="A238" s="82">
        <v>55</v>
      </c>
      <c r="B238" s="37" t="s">
        <v>22</v>
      </c>
      <c r="C238" s="41" t="s">
        <v>26</v>
      </c>
      <c r="D238" s="37">
        <v>18</v>
      </c>
      <c r="E238" s="7">
        <f>247*8*(A238/1974)</f>
        <v>55.055724417426546</v>
      </c>
      <c r="F238" s="35">
        <f>E238/A238</f>
        <v>1.0010131712259371</v>
      </c>
      <c r="G238" s="45">
        <f t="shared" ref="G238:G239" si="81">D238/E238*F238</f>
        <v>0.32727272727272727</v>
      </c>
      <c r="H238" s="38">
        <v>28.7</v>
      </c>
      <c r="I238" s="26">
        <f t="shared" si="80"/>
        <v>9.3927272727272726</v>
      </c>
    </row>
    <row r="239" spans="1:12">
      <c r="A239" s="36"/>
      <c r="B239" s="37" t="s">
        <v>23</v>
      </c>
      <c r="C239" s="41" t="s">
        <v>26</v>
      </c>
      <c r="D239" s="37">
        <v>18</v>
      </c>
      <c r="E239" s="7">
        <f>247*8*(A238/1974)</f>
        <v>55.055724417426546</v>
      </c>
      <c r="F239" s="35">
        <f>E239/A238</f>
        <v>1.0010131712259371</v>
      </c>
      <c r="G239" s="45">
        <f t="shared" si="81"/>
        <v>0.32727272727272727</v>
      </c>
      <c r="H239" s="38">
        <v>40.76</v>
      </c>
      <c r="I239" s="26">
        <f t="shared" si="80"/>
        <v>13.339636363636362</v>
      </c>
    </row>
    <row r="240" spans="1:12" s="1" customFormat="1" ht="15.75" thickBot="1">
      <c r="A240" s="20"/>
      <c r="B240" s="21"/>
      <c r="C240" s="21"/>
      <c r="D240" s="21"/>
      <c r="E240" s="21"/>
      <c r="F240" s="21"/>
      <c r="G240" s="46"/>
      <c r="H240" s="25"/>
      <c r="I240" s="24">
        <f>SUM(I236:I239)</f>
        <v>186.80363636363637</v>
      </c>
      <c r="J240" s="3">
        <f>I240*A238</f>
        <v>10274.200000000001</v>
      </c>
      <c r="K240" s="3">
        <v>10274.200000000001</v>
      </c>
      <c r="L240" s="3">
        <f>K240-J240</f>
        <v>0</v>
      </c>
    </row>
    <row r="241" spans="1:20" s="1" customFormat="1">
      <c r="A241" s="54"/>
      <c r="B241" s="55"/>
      <c r="C241" s="55"/>
      <c r="D241" s="55"/>
      <c r="E241" s="55"/>
      <c r="F241" s="55"/>
      <c r="G241" s="86"/>
      <c r="H241" s="57"/>
      <c r="I241" s="58"/>
      <c r="J241" s="3"/>
      <c r="K241" s="3"/>
      <c r="L241" s="3"/>
    </row>
    <row r="243" spans="1:20" ht="19.5" thickBot="1">
      <c r="A243" s="73" t="s">
        <v>90</v>
      </c>
      <c r="T243" s="1"/>
    </row>
    <row r="244" spans="1:20" ht="90" customHeight="1">
      <c r="A244" s="27" t="s">
        <v>2</v>
      </c>
      <c r="B244" s="28" t="s">
        <v>19</v>
      </c>
      <c r="C244" s="28" t="s">
        <v>14</v>
      </c>
      <c r="D244" s="28" t="s">
        <v>16</v>
      </c>
      <c r="E244" s="28" t="s">
        <v>27</v>
      </c>
      <c r="F244" s="28" t="s">
        <v>72</v>
      </c>
      <c r="G244" s="28" t="s">
        <v>29</v>
      </c>
      <c r="H244" s="28" t="s">
        <v>30</v>
      </c>
      <c r="I244" s="29" t="s">
        <v>11</v>
      </c>
      <c r="J244" s="2" t="s">
        <v>33</v>
      </c>
      <c r="K244" s="2" t="s">
        <v>34</v>
      </c>
      <c r="L244" s="2"/>
    </row>
    <row r="245" spans="1:20" ht="15.75" thickBot="1">
      <c r="A245" s="30">
        <v>1</v>
      </c>
      <c r="B245" s="31">
        <v>2</v>
      </c>
      <c r="C245" s="31">
        <v>3</v>
      </c>
      <c r="D245" s="31">
        <v>4</v>
      </c>
      <c r="E245" s="31">
        <v>5</v>
      </c>
      <c r="F245" s="31" t="s">
        <v>59</v>
      </c>
      <c r="G245" s="31" t="s">
        <v>31</v>
      </c>
      <c r="H245" s="32">
        <v>8</v>
      </c>
      <c r="I245" s="33" t="s">
        <v>32</v>
      </c>
    </row>
    <row r="246" spans="1:20">
      <c r="A246" s="13" t="s">
        <v>71</v>
      </c>
      <c r="B246" s="11" t="s">
        <v>20</v>
      </c>
      <c r="C246" s="39" t="s">
        <v>24</v>
      </c>
      <c r="D246" s="63">
        <v>100</v>
      </c>
      <c r="E246" s="60">
        <f>247*8*(A248/1974)</f>
        <v>25.025329280648428</v>
      </c>
      <c r="F246" s="61">
        <f>E246/A248</f>
        <v>1.0010131712259371</v>
      </c>
      <c r="G246" s="45">
        <f>D246/E246*F246</f>
        <v>4</v>
      </c>
      <c r="H246" s="12">
        <v>5.36</v>
      </c>
      <c r="I246" s="26">
        <f>H246*G246</f>
        <v>21.44</v>
      </c>
      <c r="M246" s="1">
        <f>D246/A248</f>
        <v>4</v>
      </c>
    </row>
    <row r="247" spans="1:20">
      <c r="A247" s="81" t="s">
        <v>73</v>
      </c>
      <c r="B247" s="5" t="s">
        <v>21</v>
      </c>
      <c r="C247" s="40" t="s">
        <v>25</v>
      </c>
      <c r="D247" s="8">
        <v>10</v>
      </c>
      <c r="E247" s="7">
        <f>247*8*(A248/1974)</f>
        <v>25.025329280648428</v>
      </c>
      <c r="F247" s="35">
        <f>E247/A248</f>
        <v>1.0010131712259371</v>
      </c>
      <c r="G247" s="45">
        <f>D247/E247*F247</f>
        <v>0.4</v>
      </c>
      <c r="H247" s="6">
        <v>1448.6</v>
      </c>
      <c r="I247" s="26">
        <f t="shared" ref="I247:I249" si="82">H247*G247</f>
        <v>579.43999999999994</v>
      </c>
      <c r="M247" s="1">
        <f>D247/A248</f>
        <v>0.4</v>
      </c>
    </row>
    <row r="248" spans="1:20">
      <c r="A248" s="82">
        <v>25</v>
      </c>
      <c r="B248" s="37" t="s">
        <v>22</v>
      </c>
      <c r="C248" s="41" t="s">
        <v>26</v>
      </c>
      <c r="D248" s="37">
        <v>30</v>
      </c>
      <c r="E248" s="7">
        <f>247*8*(A248/1974)</f>
        <v>25.025329280648428</v>
      </c>
      <c r="F248" s="35">
        <f>E248/A248</f>
        <v>1.0010131712259371</v>
      </c>
      <c r="G248" s="45">
        <f t="shared" ref="G248:G249" si="83">D248/E248*F248</f>
        <v>1.2</v>
      </c>
      <c r="H248" s="38">
        <v>28.7</v>
      </c>
      <c r="I248" s="26">
        <f t="shared" si="82"/>
        <v>34.44</v>
      </c>
      <c r="M248" s="1">
        <f>D248/A248</f>
        <v>1.2</v>
      </c>
    </row>
    <row r="249" spans="1:20">
      <c r="A249" s="36"/>
      <c r="B249" s="37" t="s">
        <v>23</v>
      </c>
      <c r="C249" s="41" t="s">
        <v>26</v>
      </c>
      <c r="D249" s="37">
        <v>30</v>
      </c>
      <c r="E249" s="7">
        <f>247*8*(A248/1974)</f>
        <v>25.025329280648428</v>
      </c>
      <c r="F249" s="35">
        <f>E249/A248</f>
        <v>1.0010131712259371</v>
      </c>
      <c r="G249" s="45">
        <f t="shared" si="83"/>
        <v>1.2</v>
      </c>
      <c r="H249" s="38">
        <v>40.76</v>
      </c>
      <c r="I249" s="26">
        <f t="shared" si="82"/>
        <v>48.911999999999999</v>
      </c>
    </row>
    <row r="250" spans="1:20" s="1" customFormat="1" ht="15.75" thickBot="1">
      <c r="A250" s="20"/>
      <c r="B250" s="21"/>
      <c r="C250" s="21"/>
      <c r="D250" s="21"/>
      <c r="E250" s="21"/>
      <c r="F250" s="21"/>
      <c r="G250" s="46"/>
      <c r="H250" s="25"/>
      <c r="I250" s="24">
        <f>SUM(I246:I249)</f>
        <v>684.23199999999997</v>
      </c>
      <c r="J250" s="3">
        <f>I250*A248</f>
        <v>17105.8</v>
      </c>
      <c r="K250" s="3">
        <v>17105.8</v>
      </c>
      <c r="L250" s="3">
        <f>K250-J250</f>
        <v>0</v>
      </c>
    </row>
    <row r="251" spans="1:20">
      <c r="A251" s="13" t="s">
        <v>76</v>
      </c>
      <c r="B251" s="11" t="s">
        <v>20</v>
      </c>
      <c r="C251" s="39" t="s">
        <v>24</v>
      </c>
      <c r="D251" s="63">
        <v>100</v>
      </c>
      <c r="E251" s="60">
        <f>247*8*(A253/1974)</f>
        <v>25.025329280648428</v>
      </c>
      <c r="F251" s="61">
        <f>E251/A253</f>
        <v>1.0010131712259371</v>
      </c>
      <c r="G251" s="45">
        <f>D251/E251*F251</f>
        <v>4</v>
      </c>
      <c r="H251" s="12">
        <v>5.36</v>
      </c>
      <c r="I251" s="26">
        <f>H251*G251</f>
        <v>21.44</v>
      </c>
    </row>
    <row r="252" spans="1:20">
      <c r="A252" s="81" t="s">
        <v>73</v>
      </c>
      <c r="B252" s="5" t="s">
        <v>21</v>
      </c>
      <c r="C252" s="40" t="s">
        <v>25</v>
      </c>
      <c r="D252" s="8">
        <v>10</v>
      </c>
      <c r="E252" s="7">
        <f>247*8*(A253/1974)</f>
        <v>25.025329280648428</v>
      </c>
      <c r="F252" s="35">
        <f>E252/A253</f>
        <v>1.0010131712259371</v>
      </c>
      <c r="G252" s="45">
        <f>D252/E252*F252</f>
        <v>0.4</v>
      </c>
      <c r="H252" s="6">
        <v>1448.6</v>
      </c>
      <c r="I252" s="26">
        <f t="shared" ref="I252:I254" si="84">H252*G252</f>
        <v>579.43999999999994</v>
      </c>
    </row>
    <row r="253" spans="1:20">
      <c r="A253" s="82">
        <v>25</v>
      </c>
      <c r="B253" s="37" t="s">
        <v>22</v>
      </c>
      <c r="C253" s="41" t="s">
        <v>26</v>
      </c>
      <c r="D253" s="37">
        <v>30</v>
      </c>
      <c r="E253" s="7">
        <f>247*8*(A253/1974)</f>
        <v>25.025329280648428</v>
      </c>
      <c r="F253" s="35">
        <f>E253/A253</f>
        <v>1.0010131712259371</v>
      </c>
      <c r="G253" s="45">
        <f t="shared" ref="G253:G254" si="85">D253/E253*F253</f>
        <v>1.2</v>
      </c>
      <c r="H253" s="38">
        <v>28.7</v>
      </c>
      <c r="I253" s="26">
        <f t="shared" si="84"/>
        <v>34.44</v>
      </c>
    </row>
    <row r="254" spans="1:20">
      <c r="A254" s="36"/>
      <c r="B254" s="37" t="s">
        <v>23</v>
      </c>
      <c r="C254" s="41" t="s">
        <v>26</v>
      </c>
      <c r="D254" s="37">
        <v>30</v>
      </c>
      <c r="E254" s="7">
        <f>247*8*(A253/1974)</f>
        <v>25.025329280648428</v>
      </c>
      <c r="F254" s="35">
        <f>E254/A253</f>
        <v>1.0010131712259371</v>
      </c>
      <c r="G254" s="45">
        <f t="shared" si="85"/>
        <v>1.2</v>
      </c>
      <c r="H254" s="38">
        <v>40.76</v>
      </c>
      <c r="I254" s="26">
        <f t="shared" si="84"/>
        <v>48.911999999999999</v>
      </c>
    </row>
    <row r="255" spans="1:20" s="1" customFormat="1" ht="15.75" thickBot="1">
      <c r="A255" s="20"/>
      <c r="B255" s="21"/>
      <c r="C255" s="21"/>
      <c r="D255" s="21"/>
      <c r="E255" s="21"/>
      <c r="F255" s="21"/>
      <c r="G255" s="46"/>
      <c r="H255" s="25"/>
      <c r="I255" s="24">
        <f>SUM(I251:I254)</f>
        <v>684.23199999999997</v>
      </c>
      <c r="J255" s="3">
        <f>I255*A253</f>
        <v>17105.8</v>
      </c>
      <c r="K255" s="3">
        <v>17105.8</v>
      </c>
      <c r="L255" s="3">
        <f>K255-J255</f>
        <v>0</v>
      </c>
    </row>
    <row r="256" spans="1:20">
      <c r="A256" s="13" t="s">
        <v>77</v>
      </c>
      <c r="B256" s="11" t="s">
        <v>20</v>
      </c>
      <c r="C256" s="39" t="s">
        <v>24</v>
      </c>
      <c r="D256" s="63">
        <v>100</v>
      </c>
      <c r="E256" s="60">
        <f>247*8*(A258/1974)</f>
        <v>25.025329280648428</v>
      </c>
      <c r="F256" s="61">
        <f>E256/A258</f>
        <v>1.0010131712259371</v>
      </c>
      <c r="G256" s="45">
        <f>D256/E256*F256</f>
        <v>4</v>
      </c>
      <c r="H256" s="12">
        <v>5.36</v>
      </c>
      <c r="I256" s="26">
        <f>H256*G256</f>
        <v>21.44</v>
      </c>
    </row>
    <row r="257" spans="1:12">
      <c r="A257" s="81" t="s">
        <v>73</v>
      </c>
      <c r="B257" s="5" t="s">
        <v>21</v>
      </c>
      <c r="C257" s="40" t="s">
        <v>25</v>
      </c>
      <c r="D257" s="8">
        <v>10</v>
      </c>
      <c r="E257" s="7">
        <f>247*8*(A258/1974)</f>
        <v>25.025329280648428</v>
      </c>
      <c r="F257" s="35">
        <f>E257/A258</f>
        <v>1.0010131712259371</v>
      </c>
      <c r="G257" s="45">
        <f>D257/E257*F257</f>
        <v>0.4</v>
      </c>
      <c r="H257" s="6">
        <v>1448.6</v>
      </c>
      <c r="I257" s="26">
        <f t="shared" ref="I257:I259" si="86">H257*G257</f>
        <v>579.43999999999994</v>
      </c>
    </row>
    <row r="258" spans="1:12">
      <c r="A258" s="82">
        <v>25</v>
      </c>
      <c r="B258" s="37" t="s">
        <v>22</v>
      </c>
      <c r="C258" s="41" t="s">
        <v>26</v>
      </c>
      <c r="D258" s="37">
        <v>30</v>
      </c>
      <c r="E258" s="7">
        <f>247*8*(A258/1974)</f>
        <v>25.025329280648428</v>
      </c>
      <c r="F258" s="35">
        <f>E258/A258</f>
        <v>1.0010131712259371</v>
      </c>
      <c r="G258" s="45">
        <f t="shared" ref="G258:G259" si="87">D258/E258*F258</f>
        <v>1.2</v>
      </c>
      <c r="H258" s="38">
        <v>28.7</v>
      </c>
      <c r="I258" s="26">
        <f t="shared" si="86"/>
        <v>34.44</v>
      </c>
    </row>
    <row r="259" spans="1:12">
      <c r="A259" s="36"/>
      <c r="B259" s="37" t="s">
        <v>23</v>
      </c>
      <c r="C259" s="41" t="s">
        <v>26</v>
      </c>
      <c r="D259" s="37">
        <v>30</v>
      </c>
      <c r="E259" s="7">
        <f>247*8*(A258/1974)</f>
        <v>25.025329280648428</v>
      </c>
      <c r="F259" s="35">
        <f>E259/A258</f>
        <v>1.0010131712259371</v>
      </c>
      <c r="G259" s="45">
        <f t="shared" si="87"/>
        <v>1.2</v>
      </c>
      <c r="H259" s="38">
        <v>40.76</v>
      </c>
      <c r="I259" s="26">
        <f t="shared" si="86"/>
        <v>48.911999999999999</v>
      </c>
    </row>
    <row r="260" spans="1:12" s="1" customFormat="1" ht="15.75" thickBot="1">
      <c r="A260" s="20"/>
      <c r="B260" s="21"/>
      <c r="C260" s="21"/>
      <c r="D260" s="21"/>
      <c r="E260" s="21"/>
      <c r="F260" s="21"/>
      <c r="G260" s="46"/>
      <c r="H260" s="25"/>
      <c r="I260" s="24">
        <f>SUM(I256:I259)</f>
        <v>684.23199999999997</v>
      </c>
      <c r="J260" s="3">
        <f>I260*A258</f>
        <v>17105.8</v>
      </c>
      <c r="K260" s="3">
        <v>17105.8</v>
      </c>
      <c r="L260" s="3">
        <f>K260-J260</f>
        <v>0</v>
      </c>
    </row>
    <row r="261" spans="1:12">
      <c r="A261" s="13" t="s">
        <v>78</v>
      </c>
      <c r="B261" s="11" t="s">
        <v>20</v>
      </c>
      <c r="C261" s="39" t="s">
        <v>24</v>
      </c>
      <c r="D261" s="63">
        <v>100</v>
      </c>
      <c r="E261" s="60">
        <f>247*8*(A263/1974)</f>
        <v>25.025329280648428</v>
      </c>
      <c r="F261" s="61">
        <f>E261/A263</f>
        <v>1.0010131712259371</v>
      </c>
      <c r="G261" s="45">
        <f>D261/E261*F261</f>
        <v>4</v>
      </c>
      <c r="H261" s="12">
        <v>5.36</v>
      </c>
      <c r="I261" s="26">
        <f>H261*G261</f>
        <v>21.44</v>
      </c>
    </row>
    <row r="262" spans="1:12">
      <c r="A262" s="81" t="s">
        <v>73</v>
      </c>
      <c r="B262" s="5" t="s">
        <v>21</v>
      </c>
      <c r="C262" s="40" t="s">
        <v>25</v>
      </c>
      <c r="D262" s="8">
        <v>10</v>
      </c>
      <c r="E262" s="7">
        <f>247*8*(A263/1974)</f>
        <v>25.025329280648428</v>
      </c>
      <c r="F262" s="35">
        <f>E262/A263</f>
        <v>1.0010131712259371</v>
      </c>
      <c r="G262" s="45">
        <f>D262/E262*F262</f>
        <v>0.4</v>
      </c>
      <c r="H262" s="6">
        <v>1448.6</v>
      </c>
      <c r="I262" s="26">
        <f t="shared" ref="I262:I264" si="88">H262*G262</f>
        <v>579.43999999999994</v>
      </c>
    </row>
    <row r="263" spans="1:12">
      <c r="A263" s="82">
        <v>25</v>
      </c>
      <c r="B263" s="37" t="s">
        <v>22</v>
      </c>
      <c r="C263" s="41" t="s">
        <v>26</v>
      </c>
      <c r="D263" s="37">
        <v>30</v>
      </c>
      <c r="E263" s="7">
        <f>247*8*(A263/1974)</f>
        <v>25.025329280648428</v>
      </c>
      <c r="F263" s="35">
        <f>E263/A263</f>
        <v>1.0010131712259371</v>
      </c>
      <c r="G263" s="45">
        <f t="shared" ref="G263:G264" si="89">D263/E263*F263</f>
        <v>1.2</v>
      </c>
      <c r="H263" s="38">
        <v>28.7</v>
      </c>
      <c r="I263" s="26">
        <f t="shared" si="88"/>
        <v>34.44</v>
      </c>
    </row>
    <row r="264" spans="1:12">
      <c r="A264" s="36"/>
      <c r="B264" s="37" t="s">
        <v>23</v>
      </c>
      <c r="C264" s="41" t="s">
        <v>26</v>
      </c>
      <c r="D264" s="37">
        <v>30</v>
      </c>
      <c r="E264" s="7">
        <f>247*8*(A263/1974)</f>
        <v>25.025329280648428</v>
      </c>
      <c r="F264" s="35">
        <f>E264/A263</f>
        <v>1.0010131712259371</v>
      </c>
      <c r="G264" s="45">
        <f t="shared" si="89"/>
        <v>1.2</v>
      </c>
      <c r="H264" s="38">
        <v>40.76</v>
      </c>
      <c r="I264" s="26">
        <f t="shared" si="88"/>
        <v>48.911999999999999</v>
      </c>
    </row>
    <row r="265" spans="1:12" s="1" customFormat="1" ht="15.75" thickBot="1">
      <c r="A265" s="20"/>
      <c r="B265" s="21"/>
      <c r="C265" s="21"/>
      <c r="D265" s="21"/>
      <c r="E265" s="21"/>
      <c r="F265" s="21"/>
      <c r="G265" s="46"/>
      <c r="H265" s="25"/>
      <c r="I265" s="24">
        <f>SUM(I261:I264)</f>
        <v>684.23199999999997</v>
      </c>
      <c r="J265" s="3">
        <f>I265*A263</f>
        <v>17105.8</v>
      </c>
      <c r="K265" s="3">
        <v>17105.8</v>
      </c>
      <c r="L265" s="3">
        <f>K265-J265</f>
        <v>0</v>
      </c>
    </row>
    <row r="266" spans="1:12">
      <c r="A266" s="13" t="s">
        <v>79</v>
      </c>
      <c r="B266" s="11" t="s">
        <v>20</v>
      </c>
      <c r="C266" s="39" t="s">
        <v>24</v>
      </c>
      <c r="D266" s="63">
        <v>100</v>
      </c>
      <c r="E266" s="60">
        <f>247*8*(A268/1974)</f>
        <v>25.025329280648428</v>
      </c>
      <c r="F266" s="61">
        <f>E266/A268</f>
        <v>1.0010131712259371</v>
      </c>
      <c r="G266" s="45">
        <f>D266/E266*F266</f>
        <v>4</v>
      </c>
      <c r="H266" s="12">
        <v>5.36</v>
      </c>
      <c r="I266" s="26">
        <f>H266*G266</f>
        <v>21.44</v>
      </c>
    </row>
    <row r="267" spans="1:12">
      <c r="A267" s="81" t="s">
        <v>73</v>
      </c>
      <c r="B267" s="5" t="s">
        <v>21</v>
      </c>
      <c r="C267" s="40" t="s">
        <v>25</v>
      </c>
      <c r="D267" s="8">
        <v>10</v>
      </c>
      <c r="E267" s="7">
        <f>247*8*(A268/1974)</f>
        <v>25.025329280648428</v>
      </c>
      <c r="F267" s="35">
        <f>E267/A268</f>
        <v>1.0010131712259371</v>
      </c>
      <c r="G267" s="45">
        <f>D267/E267*F267</f>
        <v>0.4</v>
      </c>
      <c r="H267" s="6">
        <v>1448.6</v>
      </c>
      <c r="I267" s="26">
        <f t="shared" ref="I267:I269" si="90">H267*G267</f>
        <v>579.43999999999994</v>
      </c>
    </row>
    <row r="268" spans="1:12">
      <c r="A268" s="82">
        <v>25</v>
      </c>
      <c r="B268" s="37" t="s">
        <v>22</v>
      </c>
      <c r="C268" s="41" t="s">
        <v>26</v>
      </c>
      <c r="D268" s="37">
        <v>30</v>
      </c>
      <c r="E268" s="7">
        <f>247*8*(A268/1974)</f>
        <v>25.025329280648428</v>
      </c>
      <c r="F268" s="35">
        <f>E268/A268</f>
        <v>1.0010131712259371</v>
      </c>
      <c r="G268" s="45">
        <f t="shared" ref="G268:G269" si="91">D268/E268*F268</f>
        <v>1.2</v>
      </c>
      <c r="H268" s="38">
        <v>28.7</v>
      </c>
      <c r="I268" s="26">
        <f t="shared" si="90"/>
        <v>34.44</v>
      </c>
    </row>
    <row r="269" spans="1:12">
      <c r="A269" s="36"/>
      <c r="B269" s="37" t="s">
        <v>23</v>
      </c>
      <c r="C269" s="41" t="s">
        <v>26</v>
      </c>
      <c r="D269" s="37">
        <v>30</v>
      </c>
      <c r="E269" s="7">
        <f>247*8*(A268/1974)</f>
        <v>25.025329280648428</v>
      </c>
      <c r="F269" s="35">
        <f>E269/A268</f>
        <v>1.0010131712259371</v>
      </c>
      <c r="G269" s="45">
        <f t="shared" si="91"/>
        <v>1.2</v>
      </c>
      <c r="H269" s="38">
        <v>40.76</v>
      </c>
      <c r="I269" s="26">
        <f t="shared" si="90"/>
        <v>48.911999999999999</v>
      </c>
    </row>
    <row r="270" spans="1:12" s="1" customFormat="1" ht="15.75" thickBot="1">
      <c r="A270" s="20"/>
      <c r="B270" s="21"/>
      <c r="C270" s="21"/>
      <c r="D270" s="21"/>
      <c r="E270" s="21"/>
      <c r="F270" s="21"/>
      <c r="G270" s="46"/>
      <c r="H270" s="25"/>
      <c r="I270" s="24">
        <f>SUM(I266:I269)</f>
        <v>684.23199999999997</v>
      </c>
      <c r="J270" s="3">
        <f>I270*A268</f>
        <v>17105.8</v>
      </c>
      <c r="K270" s="3">
        <v>17105.8</v>
      </c>
      <c r="L270" s="3">
        <f>K270-J270</f>
        <v>0</v>
      </c>
    </row>
    <row r="271" spans="1:12">
      <c r="A271" s="13" t="s">
        <v>80</v>
      </c>
      <c r="B271" s="11" t="s">
        <v>20</v>
      </c>
      <c r="C271" s="39" t="s">
        <v>24</v>
      </c>
      <c r="D271" s="63">
        <v>100</v>
      </c>
      <c r="E271" s="60">
        <f>247*8*(A273/1974)</f>
        <v>25.025329280648428</v>
      </c>
      <c r="F271" s="61">
        <f>E271/A273</f>
        <v>1.0010131712259371</v>
      </c>
      <c r="G271" s="45">
        <f>D271/E271*F271</f>
        <v>4</v>
      </c>
      <c r="H271" s="12">
        <v>5.36</v>
      </c>
      <c r="I271" s="26">
        <f>H271*G271</f>
        <v>21.44</v>
      </c>
    </row>
    <row r="272" spans="1:12">
      <c r="A272" s="81" t="s">
        <v>73</v>
      </c>
      <c r="B272" s="5" t="s">
        <v>21</v>
      </c>
      <c r="C272" s="40" t="s">
        <v>25</v>
      </c>
      <c r="D272" s="8">
        <v>10</v>
      </c>
      <c r="E272" s="7">
        <f>247*8*(A273/1974)</f>
        <v>25.025329280648428</v>
      </c>
      <c r="F272" s="35">
        <f>E272/A273</f>
        <v>1.0010131712259371</v>
      </c>
      <c r="G272" s="45">
        <f>D272/E272*F272</f>
        <v>0.4</v>
      </c>
      <c r="H272" s="6">
        <v>1448.6</v>
      </c>
      <c r="I272" s="26">
        <f t="shared" ref="I272:I274" si="92">H272*G272</f>
        <v>579.43999999999994</v>
      </c>
    </row>
    <row r="273" spans="1:12">
      <c r="A273" s="82">
        <v>25</v>
      </c>
      <c r="B273" s="37" t="s">
        <v>22</v>
      </c>
      <c r="C273" s="41" t="s">
        <v>26</v>
      </c>
      <c r="D273" s="37">
        <v>30</v>
      </c>
      <c r="E273" s="7">
        <f>247*8*(A273/1974)</f>
        <v>25.025329280648428</v>
      </c>
      <c r="F273" s="35">
        <f>E273/A273</f>
        <v>1.0010131712259371</v>
      </c>
      <c r="G273" s="45">
        <f t="shared" ref="G273:G274" si="93">D273/E273*F273</f>
        <v>1.2</v>
      </c>
      <c r="H273" s="38">
        <v>28.7</v>
      </c>
      <c r="I273" s="26">
        <f t="shared" si="92"/>
        <v>34.44</v>
      </c>
    </row>
    <row r="274" spans="1:12">
      <c r="A274" s="36"/>
      <c r="B274" s="37" t="s">
        <v>23</v>
      </c>
      <c r="C274" s="41" t="s">
        <v>26</v>
      </c>
      <c r="D274" s="37">
        <v>30</v>
      </c>
      <c r="E274" s="7">
        <f>247*8*(A273/1974)</f>
        <v>25.025329280648428</v>
      </c>
      <c r="F274" s="35">
        <f>E274/A273</f>
        <v>1.0010131712259371</v>
      </c>
      <c r="G274" s="45">
        <f t="shared" si="93"/>
        <v>1.2</v>
      </c>
      <c r="H274" s="38">
        <v>40.76</v>
      </c>
      <c r="I274" s="26">
        <f t="shared" si="92"/>
        <v>48.911999999999999</v>
      </c>
    </row>
    <row r="275" spans="1:12" s="1" customFormat="1" ht="15.75" thickBot="1">
      <c r="A275" s="20"/>
      <c r="B275" s="21"/>
      <c r="C275" s="21"/>
      <c r="D275" s="21"/>
      <c r="E275" s="21"/>
      <c r="F275" s="21"/>
      <c r="G275" s="46"/>
      <c r="H275" s="25"/>
      <c r="I275" s="24">
        <f>SUM(I271:I274)</f>
        <v>684.23199999999997</v>
      </c>
      <c r="J275" s="3">
        <f>I275*A273</f>
        <v>17105.8</v>
      </c>
      <c r="K275" s="3">
        <v>17105.8</v>
      </c>
      <c r="L275" s="3">
        <f>K275-J275</f>
        <v>0</v>
      </c>
    </row>
    <row r="276" spans="1:12" s="1" customFormat="1" ht="15.75" thickBot="1">
      <c r="A276" s="54"/>
      <c r="B276" s="55"/>
      <c r="C276" s="56"/>
      <c r="D276" s="55"/>
      <c r="E276" s="83"/>
      <c r="F276" s="55"/>
      <c r="G276" s="54"/>
      <c r="H276" s="57"/>
      <c r="I276" s="58"/>
    </row>
    <row r="277" spans="1:12">
      <c r="A277" s="13" t="s">
        <v>81</v>
      </c>
      <c r="B277" s="14" t="s">
        <v>20</v>
      </c>
      <c r="C277" s="59" t="s">
        <v>24</v>
      </c>
      <c r="D277" s="63">
        <v>100</v>
      </c>
      <c r="E277" s="60">
        <f>247*8*(A279/1974)</f>
        <v>25.025329280648428</v>
      </c>
      <c r="F277" s="43">
        <f>E277/A279</f>
        <v>1.0010131712259371</v>
      </c>
      <c r="G277" s="52">
        <f>D277/E277*F277</f>
        <v>4</v>
      </c>
      <c r="H277" s="15">
        <v>5.36</v>
      </c>
      <c r="I277" s="17">
        <f>H277*G277</f>
        <v>21.44</v>
      </c>
    </row>
    <row r="278" spans="1:12">
      <c r="A278" s="81" t="s">
        <v>73</v>
      </c>
      <c r="B278" s="5" t="s">
        <v>21</v>
      </c>
      <c r="C278" s="40" t="s">
        <v>25</v>
      </c>
      <c r="D278" s="8">
        <v>10</v>
      </c>
      <c r="E278" s="7">
        <f>247*8*(A279/1974)</f>
        <v>25.025329280648428</v>
      </c>
      <c r="F278" s="35">
        <f>E278/A279</f>
        <v>1.0010131712259371</v>
      </c>
      <c r="G278" s="45">
        <f>D278/E278*F278</f>
        <v>0.4</v>
      </c>
      <c r="H278" s="6">
        <v>1448.6</v>
      </c>
      <c r="I278" s="26">
        <f t="shared" ref="I278:I280" si="94">H278*G278</f>
        <v>579.43999999999994</v>
      </c>
    </row>
    <row r="279" spans="1:12">
      <c r="A279" s="82">
        <v>25</v>
      </c>
      <c r="B279" s="37" t="s">
        <v>22</v>
      </c>
      <c r="C279" s="41" t="s">
        <v>26</v>
      </c>
      <c r="D279" s="37">
        <v>30</v>
      </c>
      <c r="E279" s="7">
        <f>247*8*(A279/1974)</f>
        <v>25.025329280648428</v>
      </c>
      <c r="F279" s="35">
        <f>E279/A279</f>
        <v>1.0010131712259371</v>
      </c>
      <c r="G279" s="45">
        <f t="shared" ref="G279:G280" si="95">D279/E279*F279</f>
        <v>1.2</v>
      </c>
      <c r="H279" s="38">
        <v>28.7</v>
      </c>
      <c r="I279" s="26">
        <f t="shared" si="94"/>
        <v>34.44</v>
      </c>
    </row>
    <row r="280" spans="1:12">
      <c r="A280" s="36"/>
      <c r="B280" s="37" t="s">
        <v>23</v>
      </c>
      <c r="C280" s="41" t="s">
        <v>26</v>
      </c>
      <c r="D280" s="37">
        <v>30</v>
      </c>
      <c r="E280" s="7">
        <f>247*8*(A279/1974)</f>
        <v>25.025329280648428</v>
      </c>
      <c r="F280" s="35">
        <f>E280/A279</f>
        <v>1.0010131712259371</v>
      </c>
      <c r="G280" s="45">
        <f t="shared" si="95"/>
        <v>1.2</v>
      </c>
      <c r="H280" s="38">
        <v>40.76</v>
      </c>
      <c r="I280" s="26">
        <f t="shared" si="94"/>
        <v>48.911999999999999</v>
      </c>
    </row>
    <row r="281" spans="1:12" s="1" customFormat="1" ht="15.75" thickBot="1">
      <c r="A281" s="20"/>
      <c r="B281" s="21"/>
      <c r="C281" s="21"/>
      <c r="D281" s="21"/>
      <c r="E281" s="21"/>
      <c r="F281" s="21"/>
      <c r="G281" s="46"/>
      <c r="H281" s="25"/>
      <c r="I281" s="24">
        <f>SUM(I277:I280)</f>
        <v>684.23199999999997</v>
      </c>
      <c r="J281" s="3">
        <f>I281*A279</f>
        <v>17105.8</v>
      </c>
      <c r="K281" s="3">
        <v>17105.8</v>
      </c>
      <c r="L281" s="3">
        <f>K281-J281</f>
        <v>0</v>
      </c>
    </row>
    <row r="282" spans="1:12" s="1" customFormat="1" ht="15.75" thickBot="1">
      <c r="A282" s="54"/>
      <c r="B282" s="55"/>
      <c r="C282" s="56"/>
      <c r="D282" s="55"/>
      <c r="E282" s="62"/>
      <c r="F282" s="55"/>
      <c r="G282" s="54"/>
      <c r="H282" s="57"/>
      <c r="I282" s="58"/>
    </row>
    <row r="283" spans="1:12">
      <c r="A283" s="13" t="s">
        <v>82</v>
      </c>
      <c r="B283" s="14" t="s">
        <v>20</v>
      </c>
      <c r="C283" s="59" t="s">
        <v>24</v>
      </c>
      <c r="D283" s="63">
        <v>100</v>
      </c>
      <c r="E283" s="60">
        <f>247*8*(A285/1974)</f>
        <v>25.025329280648428</v>
      </c>
      <c r="F283" s="43">
        <f>E283/A285</f>
        <v>1.0010131712259371</v>
      </c>
      <c r="G283" s="52">
        <f>D283/E283*F283</f>
        <v>4</v>
      </c>
      <c r="H283" s="15">
        <v>5.36</v>
      </c>
      <c r="I283" s="17">
        <f>H283*G283</f>
        <v>21.44</v>
      </c>
    </row>
    <row r="284" spans="1:12">
      <c r="A284" s="81" t="s">
        <v>73</v>
      </c>
      <c r="B284" s="5" t="s">
        <v>21</v>
      </c>
      <c r="C284" s="40" t="s">
        <v>25</v>
      </c>
      <c r="D284" s="8">
        <v>10</v>
      </c>
      <c r="E284" s="7">
        <f>247*8*(A285/1974)</f>
        <v>25.025329280648428</v>
      </c>
      <c r="F284" s="35">
        <f>E284/A285</f>
        <v>1.0010131712259371</v>
      </c>
      <c r="G284" s="45">
        <f>D284/E284*F284</f>
        <v>0.4</v>
      </c>
      <c r="H284" s="6">
        <v>1448.6</v>
      </c>
      <c r="I284" s="26">
        <f t="shared" ref="I284:I286" si="96">H284*G284</f>
        <v>579.43999999999994</v>
      </c>
    </row>
    <row r="285" spans="1:12">
      <c r="A285" s="82">
        <v>25</v>
      </c>
      <c r="B285" s="37" t="s">
        <v>22</v>
      </c>
      <c r="C285" s="41" t="s">
        <v>26</v>
      </c>
      <c r="D285" s="37">
        <v>30</v>
      </c>
      <c r="E285" s="7">
        <f>247*8*(A285/1974)</f>
        <v>25.025329280648428</v>
      </c>
      <c r="F285" s="35">
        <f>E285/A285</f>
        <v>1.0010131712259371</v>
      </c>
      <c r="G285" s="45">
        <f t="shared" ref="G285:G286" si="97">D285/E285*F285</f>
        <v>1.2</v>
      </c>
      <c r="H285" s="38">
        <v>28.7</v>
      </c>
      <c r="I285" s="26">
        <f t="shared" si="96"/>
        <v>34.44</v>
      </c>
    </row>
    <row r="286" spans="1:12">
      <c r="A286" s="36"/>
      <c r="B286" s="37" t="s">
        <v>23</v>
      </c>
      <c r="C286" s="41" t="s">
        <v>26</v>
      </c>
      <c r="D286" s="37">
        <v>30</v>
      </c>
      <c r="E286" s="7">
        <f>247*8*(A285/1974)</f>
        <v>25.025329280648428</v>
      </c>
      <c r="F286" s="35">
        <f>E286/A285</f>
        <v>1.0010131712259371</v>
      </c>
      <c r="G286" s="45">
        <f t="shared" si="97"/>
        <v>1.2</v>
      </c>
      <c r="H286" s="38">
        <v>40.76</v>
      </c>
      <c r="I286" s="26">
        <f t="shared" si="96"/>
        <v>48.911999999999999</v>
      </c>
    </row>
    <row r="287" spans="1:12" s="1" customFormat="1" ht="15.75" thickBot="1">
      <c r="A287" s="20"/>
      <c r="B287" s="21"/>
      <c r="C287" s="21"/>
      <c r="D287" s="21"/>
      <c r="E287" s="21"/>
      <c r="F287" s="21"/>
      <c r="G287" s="46"/>
      <c r="H287" s="25"/>
      <c r="I287" s="24">
        <f>SUM(I283:I286)</f>
        <v>684.23199999999997</v>
      </c>
      <c r="J287" s="3">
        <f>I287*A285</f>
        <v>17105.8</v>
      </c>
      <c r="K287" s="3">
        <v>17105.8</v>
      </c>
      <c r="L287" s="3">
        <f>K287-J287</f>
        <v>0</v>
      </c>
    </row>
    <row r="288" spans="1:12">
      <c r="A288" s="13" t="s">
        <v>83</v>
      </c>
      <c r="B288" s="14" t="s">
        <v>20</v>
      </c>
      <c r="C288" s="59" t="s">
        <v>24</v>
      </c>
      <c r="D288" s="63">
        <v>100</v>
      </c>
      <c r="E288" s="60">
        <f>247*8*(A290/1974)</f>
        <v>25.025329280648428</v>
      </c>
      <c r="F288" s="43">
        <f>E288/A290</f>
        <v>1.0010131712259371</v>
      </c>
      <c r="G288" s="52">
        <f>D288/E288*F288</f>
        <v>4</v>
      </c>
      <c r="H288" s="15">
        <v>5.36</v>
      </c>
      <c r="I288" s="17">
        <f>H288*G288</f>
        <v>21.44</v>
      </c>
    </row>
    <row r="289" spans="1:12">
      <c r="A289" s="81" t="s">
        <v>73</v>
      </c>
      <c r="B289" s="5" t="s">
        <v>21</v>
      </c>
      <c r="C289" s="40" t="s">
        <v>25</v>
      </c>
      <c r="D289" s="8">
        <v>10</v>
      </c>
      <c r="E289" s="7">
        <f>247*8*(A290/1974)</f>
        <v>25.025329280648428</v>
      </c>
      <c r="F289" s="35">
        <f>E289/A290</f>
        <v>1.0010131712259371</v>
      </c>
      <c r="G289" s="45">
        <f>D289/E289*F289</f>
        <v>0.4</v>
      </c>
      <c r="H289" s="6">
        <v>1448.6</v>
      </c>
      <c r="I289" s="26">
        <f t="shared" ref="I289:I291" si="98">H289*G289</f>
        <v>579.43999999999994</v>
      </c>
    </row>
    <row r="290" spans="1:12">
      <c r="A290" s="82">
        <v>25</v>
      </c>
      <c r="B290" s="37" t="s">
        <v>22</v>
      </c>
      <c r="C290" s="41" t="s">
        <v>26</v>
      </c>
      <c r="D290" s="37">
        <v>30</v>
      </c>
      <c r="E290" s="7">
        <f>247*8*(A290/1974)</f>
        <v>25.025329280648428</v>
      </c>
      <c r="F290" s="35">
        <f>E290/A290</f>
        <v>1.0010131712259371</v>
      </c>
      <c r="G290" s="45">
        <f t="shared" ref="G290:G291" si="99">D290/E290*F290</f>
        <v>1.2</v>
      </c>
      <c r="H290" s="38">
        <v>28.7</v>
      </c>
      <c r="I290" s="26">
        <f t="shared" si="98"/>
        <v>34.44</v>
      </c>
    </row>
    <row r="291" spans="1:12">
      <c r="A291" s="36"/>
      <c r="B291" s="37" t="s">
        <v>23</v>
      </c>
      <c r="C291" s="41" t="s">
        <v>26</v>
      </c>
      <c r="D291" s="37">
        <v>30</v>
      </c>
      <c r="E291" s="7">
        <f>247*8*(A290/1974)</f>
        <v>25.025329280648428</v>
      </c>
      <c r="F291" s="35">
        <f>E291/A290</f>
        <v>1.0010131712259371</v>
      </c>
      <c r="G291" s="45">
        <f t="shared" si="99"/>
        <v>1.2</v>
      </c>
      <c r="H291" s="38">
        <v>40.76</v>
      </c>
      <c r="I291" s="26">
        <f t="shared" si="98"/>
        <v>48.911999999999999</v>
      </c>
    </row>
    <row r="292" spans="1:12" s="1" customFormat="1" ht="15.75" thickBot="1">
      <c r="A292" s="20"/>
      <c r="B292" s="21"/>
      <c r="C292" s="21"/>
      <c r="D292" s="21"/>
      <c r="E292" s="21"/>
      <c r="F292" s="21"/>
      <c r="G292" s="46"/>
      <c r="H292" s="25"/>
      <c r="I292" s="24">
        <f>SUM(I288:I291)</f>
        <v>684.23199999999997</v>
      </c>
      <c r="J292" s="3">
        <f>I292*A290</f>
        <v>17105.8</v>
      </c>
      <c r="K292" s="3">
        <v>17105.8</v>
      </c>
      <c r="L292" s="3">
        <f>K292-J292</f>
        <v>0</v>
      </c>
    </row>
    <row r="294" spans="1:12">
      <c r="I294" s="1">
        <v>1</v>
      </c>
      <c r="J294" s="3">
        <f>J13+J65+J117+J198+J250</f>
        <v>1308557.9913539202</v>
      </c>
      <c r="K294" s="1">
        <v>1308558</v>
      </c>
      <c r="L294" s="3">
        <f>K294-J294</f>
        <v>8.6460798047482967E-3</v>
      </c>
    </row>
    <row r="295" spans="1:12">
      <c r="I295" s="1">
        <v>2</v>
      </c>
      <c r="J295" s="3">
        <f>J255+J203+J168+J122+J70+J18</f>
        <v>2226060.9993960001</v>
      </c>
      <c r="K295" s="1">
        <v>2226061</v>
      </c>
      <c r="L295" s="3">
        <f t="shared" ref="L295:L302" si="100">K295-J295</f>
        <v>6.0399994254112244E-4</v>
      </c>
    </row>
    <row r="296" spans="1:12">
      <c r="I296" s="1">
        <v>3</v>
      </c>
      <c r="J296" s="3">
        <f>J260+J208+J173+J127+J75+J23</f>
        <v>1106614.9969178799</v>
      </c>
      <c r="K296" s="1">
        <v>1106615</v>
      </c>
      <c r="L296" s="3">
        <f t="shared" si="100"/>
        <v>3.0821200925856829E-3</v>
      </c>
    </row>
    <row r="297" spans="1:12">
      <c r="I297" s="1">
        <v>7</v>
      </c>
      <c r="J297" s="3">
        <f>J265+J213+J178+J132+J80+J28</f>
        <v>2550990.9958000001</v>
      </c>
      <c r="K297" s="1">
        <v>2550991</v>
      </c>
      <c r="L297" s="3">
        <f t="shared" si="100"/>
        <v>4.19999985024333E-3</v>
      </c>
    </row>
    <row r="298" spans="1:12">
      <c r="I298" s="1">
        <v>9</v>
      </c>
      <c r="J298" s="3">
        <f>J270+J218+J137+J85+J33</f>
        <v>3900968.0045380006</v>
      </c>
      <c r="K298" s="1">
        <v>3900968</v>
      </c>
      <c r="L298" s="3">
        <f t="shared" si="100"/>
        <v>-4.5380005612969398E-3</v>
      </c>
    </row>
    <row r="299" spans="1:12">
      <c r="I299" s="1">
        <v>14</v>
      </c>
      <c r="J299" s="3">
        <f>J275+J223+J183+J142+J90+J38</f>
        <v>1667561.9936880001</v>
      </c>
      <c r="K299" s="1">
        <v>1667562</v>
      </c>
      <c r="L299" s="3">
        <f t="shared" si="100"/>
        <v>6.3119998667389154E-3</v>
      </c>
    </row>
    <row r="300" spans="1:12">
      <c r="I300" s="1">
        <v>8</v>
      </c>
      <c r="J300" s="3">
        <f>J281+J229+J189+J148+J96+J44</f>
        <v>3349296.9918959998</v>
      </c>
      <c r="K300" s="1">
        <v>3349297</v>
      </c>
      <c r="L300" s="3">
        <f t="shared" si="100"/>
        <v>8.1040002405643463E-3</v>
      </c>
    </row>
    <row r="301" spans="1:12">
      <c r="I301" s="1">
        <v>4</v>
      </c>
      <c r="J301" s="3">
        <f>J287+J235+J154+J102+J50</f>
        <v>1823590.988996</v>
      </c>
      <c r="K301" s="1">
        <v>1823591</v>
      </c>
      <c r="L301" s="3">
        <f t="shared" si="100"/>
        <v>1.1003999970853329E-2</v>
      </c>
    </row>
    <row r="302" spans="1:12">
      <c r="I302" s="1">
        <v>11</v>
      </c>
      <c r="J302" s="3">
        <f>J292+J240+J159+J107+J55</f>
        <v>1411471.0089199999</v>
      </c>
      <c r="K302" s="1">
        <v>1411471</v>
      </c>
      <c r="L302" s="3">
        <f t="shared" si="100"/>
        <v>-8.919999934732914E-3</v>
      </c>
    </row>
  </sheetData>
  <mergeCells count="1">
    <mergeCell ref="A1:I1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87"/>
  <sheetViews>
    <sheetView zoomScale="90" zoomScaleNormal="90" workbookViewId="0">
      <pane xSplit="1" ySplit="6" topLeftCell="B376" activePane="bottomRight" state="frozen"/>
      <selection pane="topRight" activeCell="B1" sqref="B1"/>
      <selection pane="bottomLeft" activeCell="A7" sqref="A7"/>
      <selection pane="bottomRight" activeCell="A254" sqref="A254:XFD254"/>
    </sheetView>
  </sheetViews>
  <sheetFormatPr defaultRowHeight="15"/>
  <cols>
    <col min="1" max="1" width="15.85546875" customWidth="1"/>
    <col min="2" max="2" width="40.42578125" style="1" customWidth="1"/>
    <col min="3" max="3" width="10.85546875" style="1" customWidth="1"/>
    <col min="4" max="4" width="8.28515625" style="1" customWidth="1"/>
    <col min="5" max="5" width="11.42578125" style="1" customWidth="1"/>
    <col min="6" max="6" width="9.85546875" style="1" customWidth="1"/>
    <col min="7" max="7" width="12.5703125" customWidth="1"/>
    <col min="8" max="8" width="10.85546875" style="1" customWidth="1"/>
    <col min="9" max="9" width="9.140625" style="1"/>
    <col min="10" max="10" width="10.7109375" style="1" customWidth="1"/>
    <col min="11" max="11" width="9.42578125" style="1" bestFit="1" customWidth="1"/>
    <col min="12" max="12" width="5.7109375" style="1" customWidth="1"/>
    <col min="13" max="18" width="9.140625" style="1"/>
  </cols>
  <sheetData>
    <row r="1" spans="1:20" ht="18.75">
      <c r="A1" s="99" t="s">
        <v>35</v>
      </c>
      <c r="B1" s="99"/>
      <c r="C1" s="99"/>
      <c r="D1" s="99"/>
      <c r="E1" s="99"/>
      <c r="F1" s="99"/>
      <c r="G1" s="99"/>
      <c r="H1" s="99"/>
    </row>
    <row r="2" spans="1:20" ht="18.75">
      <c r="A2" s="80"/>
      <c r="B2" s="80"/>
      <c r="C2" s="80"/>
      <c r="D2" s="80"/>
      <c r="E2" s="80"/>
      <c r="F2" s="80"/>
      <c r="G2" s="80"/>
      <c r="H2" s="80"/>
    </row>
    <row r="3" spans="1:20" ht="18.75">
      <c r="A3" s="73" t="s">
        <v>84</v>
      </c>
      <c r="H3"/>
      <c r="S3" s="1"/>
      <c r="T3" s="1"/>
    </row>
    <row r="4" spans="1:20" ht="15.75" thickBot="1">
      <c r="G4" s="65" t="s">
        <v>63</v>
      </c>
    </row>
    <row r="5" spans="1:20" ht="105">
      <c r="A5" s="27" t="s">
        <v>2</v>
      </c>
      <c r="B5" s="28" t="s">
        <v>15</v>
      </c>
      <c r="C5" s="28" t="s">
        <v>14</v>
      </c>
      <c r="D5" s="28" t="s">
        <v>16</v>
      </c>
      <c r="E5" s="28" t="s">
        <v>27</v>
      </c>
      <c r="F5" s="28" t="s">
        <v>60</v>
      </c>
      <c r="G5" s="28" t="s">
        <v>29</v>
      </c>
      <c r="H5" s="28" t="s">
        <v>30</v>
      </c>
      <c r="I5" s="28" t="s">
        <v>11</v>
      </c>
      <c r="J5" s="2" t="s">
        <v>34</v>
      </c>
      <c r="K5" s="2" t="s">
        <v>33</v>
      </c>
    </row>
    <row r="6" spans="1:20" ht="15.75" thickBot="1">
      <c r="A6" s="47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 t="s">
        <v>31</v>
      </c>
      <c r="H6" s="9">
        <v>8</v>
      </c>
      <c r="I6" s="48" t="s">
        <v>32</v>
      </c>
    </row>
    <row r="7" spans="1:20">
      <c r="A7" s="13" t="s">
        <v>71</v>
      </c>
      <c r="B7" s="14" t="s">
        <v>36</v>
      </c>
      <c r="C7" s="14" t="s">
        <v>17</v>
      </c>
      <c r="D7" s="14">
        <v>1</v>
      </c>
      <c r="E7" s="16">
        <f>247*8*(A8/1974)</f>
        <v>182.18439716312056</v>
      </c>
      <c r="F7" s="34">
        <f>E7/A8</f>
        <v>1.0010131712259371</v>
      </c>
      <c r="G7" s="50">
        <f>D7/E7*F7</f>
        <v>5.4945054945054941E-3</v>
      </c>
      <c r="H7" s="15">
        <f>23989*0.4</f>
        <v>9595.6</v>
      </c>
      <c r="I7" s="17">
        <f>H7*G7</f>
        <v>52.723076923076924</v>
      </c>
    </row>
    <row r="8" spans="1:20" s="1" customFormat="1">
      <c r="A8" s="64">
        <v>182</v>
      </c>
      <c r="B8" s="5" t="s">
        <v>37</v>
      </c>
      <c r="C8" s="5" t="s">
        <v>17</v>
      </c>
      <c r="D8" s="5">
        <v>1</v>
      </c>
      <c r="E8" s="7">
        <f>247*8*(A8/1974)</f>
        <v>182.18439716312056</v>
      </c>
      <c r="F8" s="35">
        <f>E8/A8</f>
        <v>1.0010131712259371</v>
      </c>
      <c r="G8" s="49">
        <f>D8/E8*F8</f>
        <v>5.4945054945054941E-3</v>
      </c>
      <c r="H8" s="6">
        <f>19200*0.4</f>
        <v>7680</v>
      </c>
      <c r="I8" s="19">
        <f t="shared" ref="I8:I15" si="0">H8*G8</f>
        <v>42.197802197802197</v>
      </c>
    </row>
    <row r="9" spans="1:20" s="1" customFormat="1">
      <c r="A9" s="18"/>
      <c r="B9" s="5" t="s">
        <v>40</v>
      </c>
      <c r="C9" s="5" t="s">
        <v>17</v>
      </c>
      <c r="D9" s="5">
        <v>1</v>
      </c>
      <c r="E9" s="7">
        <f>247*8*(A8/1974)</f>
        <v>182.18439716312056</v>
      </c>
      <c r="F9" s="35">
        <f>E9/A8</f>
        <v>1.0010131712259371</v>
      </c>
      <c r="G9" s="49">
        <f>D9/E9*F9</f>
        <v>5.4945054945054941E-3</v>
      </c>
      <c r="H9" s="6">
        <f>6000*0.4</f>
        <v>2400</v>
      </c>
      <c r="I9" s="19">
        <f t="shared" ref="I9" si="1">H9*G9</f>
        <v>13.186813186813186</v>
      </c>
    </row>
    <row r="10" spans="1:20" s="1" customFormat="1">
      <c r="A10" s="18"/>
      <c r="B10" s="5" t="s">
        <v>38</v>
      </c>
      <c r="C10" s="5" t="s">
        <v>17</v>
      </c>
      <c r="D10" s="5">
        <v>1</v>
      </c>
      <c r="E10" s="7">
        <f>247*8*(A8/1974)</f>
        <v>182.18439716312056</v>
      </c>
      <c r="F10" s="35">
        <f>E10/A8</f>
        <v>1.0010131712259371</v>
      </c>
      <c r="G10" s="49">
        <f t="shared" ref="G10" si="2">D10/E10*F10</f>
        <v>5.4945054945054941E-3</v>
      </c>
      <c r="H10" s="6">
        <f>(5292+24000)*0.4</f>
        <v>11716.800000000001</v>
      </c>
      <c r="I10" s="19">
        <f t="shared" si="0"/>
        <v>64.378021978021977</v>
      </c>
    </row>
    <row r="11" spans="1:20" s="1" customFormat="1">
      <c r="A11" s="18"/>
      <c r="B11" s="5" t="s">
        <v>39</v>
      </c>
      <c r="C11" s="5" t="s">
        <v>17</v>
      </c>
      <c r="D11" s="5">
        <v>1</v>
      </c>
      <c r="E11" s="7">
        <f>247*8*(A8/1974)</f>
        <v>182.18439716312056</v>
      </c>
      <c r="F11" s="35">
        <f>E11/A8</f>
        <v>1.0010131712259371</v>
      </c>
      <c r="G11" s="49">
        <f t="shared" ref="G11:G15" si="3">D11/E11*F11</f>
        <v>5.4945054945054941E-3</v>
      </c>
      <c r="H11" s="7">
        <f>9944*0.4</f>
        <v>3977.6000000000004</v>
      </c>
      <c r="I11" s="19">
        <f t="shared" si="0"/>
        <v>21.854945054945055</v>
      </c>
    </row>
    <row r="12" spans="1:20" s="1" customFormat="1">
      <c r="A12" s="18"/>
      <c r="B12" s="5" t="s">
        <v>62</v>
      </c>
      <c r="C12" s="5" t="s">
        <v>17</v>
      </c>
      <c r="D12" s="5">
        <v>1</v>
      </c>
      <c r="E12" s="7">
        <f>247*8*(A8/1974)</f>
        <v>182.18439716312056</v>
      </c>
      <c r="F12" s="35">
        <f>E12/A8</f>
        <v>1.0010131712259371</v>
      </c>
      <c r="G12" s="49">
        <f t="shared" ref="G12:G14" si="4">D12/E12*F12</f>
        <v>5.4945054945054941E-3</v>
      </c>
      <c r="H12" s="7">
        <f>8000*0.4</f>
        <v>3200</v>
      </c>
      <c r="I12" s="19">
        <f t="shared" si="0"/>
        <v>17.58241758241758</v>
      </c>
    </row>
    <row r="13" spans="1:20" s="1" customFormat="1">
      <c r="A13" s="18"/>
      <c r="B13" s="5" t="s">
        <v>41</v>
      </c>
      <c r="C13" s="5" t="s">
        <v>17</v>
      </c>
      <c r="D13" s="5">
        <v>1</v>
      </c>
      <c r="E13" s="7">
        <f>247*8*(A8/1974)</f>
        <v>182.18439716312056</v>
      </c>
      <c r="F13" s="35">
        <f>E13/A8</f>
        <v>1.0010131712259371</v>
      </c>
      <c r="G13" s="49">
        <f t="shared" si="4"/>
        <v>5.4945054945054941E-3</v>
      </c>
      <c r="H13" s="7">
        <f>11400*0.4</f>
        <v>4560</v>
      </c>
      <c r="I13" s="19">
        <f t="shared" si="0"/>
        <v>25.054945054945051</v>
      </c>
    </row>
    <row r="14" spans="1:20" s="1" customFormat="1">
      <c r="A14" s="18"/>
      <c r="B14" s="5" t="s">
        <v>70</v>
      </c>
      <c r="C14" s="5" t="s">
        <v>17</v>
      </c>
      <c r="D14" s="5">
        <v>1</v>
      </c>
      <c r="E14" s="7">
        <f>247*8*(A8/1974)</f>
        <v>182.18439716312056</v>
      </c>
      <c r="F14" s="35">
        <f>E14/A8</f>
        <v>1.0010131712259371</v>
      </c>
      <c r="G14" s="49">
        <f t="shared" si="4"/>
        <v>5.4945054945054941E-3</v>
      </c>
      <c r="H14" s="7">
        <f>36000*0.4</f>
        <v>14400</v>
      </c>
      <c r="I14" s="19">
        <f t="shared" si="0"/>
        <v>79.12087912087911</v>
      </c>
    </row>
    <row r="15" spans="1:20" s="1" customFormat="1">
      <c r="A15" s="18"/>
      <c r="B15" s="44" t="s">
        <v>61</v>
      </c>
      <c r="C15" s="5" t="s">
        <v>17</v>
      </c>
      <c r="D15" s="5">
        <v>1</v>
      </c>
      <c r="E15" s="7">
        <f>247*8*(A8/1974)</f>
        <v>182.18439716312056</v>
      </c>
      <c r="F15" s="35">
        <f>E15/A8</f>
        <v>1.0010131712259371</v>
      </c>
      <c r="G15" s="49">
        <f t="shared" si="3"/>
        <v>5.4945054945054941E-3</v>
      </c>
      <c r="H15" s="7">
        <f>25200*0.4</f>
        <v>10080</v>
      </c>
      <c r="I15" s="19">
        <f t="shared" si="0"/>
        <v>55.38461538461538</v>
      </c>
    </row>
    <row r="16" spans="1:20" s="1" customFormat="1">
      <c r="A16" s="36"/>
      <c r="B16" s="66" t="s">
        <v>91</v>
      </c>
      <c r="C16" s="5" t="s">
        <v>17</v>
      </c>
      <c r="D16" s="5">
        <v>1</v>
      </c>
      <c r="E16" s="7">
        <f>247*8*(A8/1974)</f>
        <v>182.18439716312056</v>
      </c>
      <c r="F16" s="35">
        <f>E16/A8</f>
        <v>1.0010131712259371</v>
      </c>
      <c r="G16" s="49">
        <f t="shared" ref="G16" si="5">D16/E16*F16</f>
        <v>5.4945054945054941E-3</v>
      </c>
      <c r="H16" s="7">
        <f>6000*0.4</f>
        <v>2400</v>
      </c>
      <c r="I16" s="19">
        <f t="shared" ref="I16:I19" si="6">H16*G16</f>
        <v>13.186813186813186</v>
      </c>
    </row>
    <row r="17" spans="1:11" s="1" customFormat="1">
      <c r="A17" s="36"/>
      <c r="B17" s="66" t="s">
        <v>92</v>
      </c>
      <c r="C17" s="5" t="s">
        <v>17</v>
      </c>
      <c r="D17" s="5">
        <v>1</v>
      </c>
      <c r="E17" s="7">
        <f>247*8*(A8/1974)</f>
        <v>182.18439716312056</v>
      </c>
      <c r="F17" s="35">
        <f>E17/A8</f>
        <v>1.0010131712259371</v>
      </c>
      <c r="G17" s="49">
        <f t="shared" ref="G17" si="7">D17/E17*F17</f>
        <v>5.4945054945054941E-3</v>
      </c>
      <c r="H17" s="7">
        <f>(3038+6864)*0.4</f>
        <v>3960.8</v>
      </c>
      <c r="I17" s="19">
        <f t="shared" si="6"/>
        <v>21.762637362637363</v>
      </c>
    </row>
    <row r="18" spans="1:11" s="1" customFormat="1">
      <c r="A18" s="36"/>
      <c r="B18" s="66" t="s">
        <v>93</v>
      </c>
      <c r="C18" s="5" t="s">
        <v>17</v>
      </c>
      <c r="D18" s="5">
        <v>1</v>
      </c>
      <c r="E18" s="7">
        <f>247*8*(A8/1974)</f>
        <v>182.18439716312056</v>
      </c>
      <c r="F18" s="35">
        <f>E18/A8</f>
        <v>1.0010131712259371</v>
      </c>
      <c r="G18" s="49">
        <f t="shared" ref="G18:G19" si="8">D18/E18*F18</f>
        <v>5.4945054945054941E-3</v>
      </c>
      <c r="H18" s="7">
        <f>98000*0.4</f>
        <v>39200</v>
      </c>
      <c r="I18" s="19">
        <f t="shared" si="6"/>
        <v>215.38461538461536</v>
      </c>
    </row>
    <row r="19" spans="1:11" s="1" customFormat="1">
      <c r="A19" s="36"/>
      <c r="B19" s="66" t="s">
        <v>94</v>
      </c>
      <c r="C19" s="5" t="s">
        <v>17</v>
      </c>
      <c r="D19" s="5">
        <v>1</v>
      </c>
      <c r="E19" s="7">
        <f>247*8*(A8/1974)</f>
        <v>182.18439716312056</v>
      </c>
      <c r="F19" s="35">
        <f>E19/A8</f>
        <v>1.0010131712259371</v>
      </c>
      <c r="G19" s="49">
        <f t="shared" si="8"/>
        <v>5.4945054945054941E-3</v>
      </c>
      <c r="H19" s="7">
        <f>100219*0.4</f>
        <v>40087.600000000006</v>
      </c>
      <c r="I19" s="19">
        <f t="shared" si="6"/>
        <v>220.26153846153846</v>
      </c>
    </row>
    <row r="20" spans="1:11" s="1" customFormat="1">
      <c r="A20" s="36"/>
      <c r="B20" s="66" t="s">
        <v>64</v>
      </c>
      <c r="C20" s="5" t="s">
        <v>17</v>
      </c>
      <c r="D20" s="5">
        <v>1</v>
      </c>
      <c r="E20" s="7">
        <f>247*8*(A8/1974)</f>
        <v>182.18439716312056</v>
      </c>
      <c r="F20" s="35">
        <f>E20/A8</f>
        <v>1.0010131712259371</v>
      </c>
      <c r="G20" s="49">
        <f t="shared" ref="G20:G21" si="9">D20/E20*F20</f>
        <v>5.4945054945054941E-3</v>
      </c>
      <c r="H20" s="7">
        <f>2000*0.4</f>
        <v>800</v>
      </c>
      <c r="I20" s="19">
        <f t="shared" ref="I20:I21" si="10">H20*G20</f>
        <v>4.3956043956043951</v>
      </c>
    </row>
    <row r="21" spans="1:11" s="1" customFormat="1" ht="13.5" customHeight="1">
      <c r="A21" s="36"/>
      <c r="B21" s="66" t="s">
        <v>65</v>
      </c>
      <c r="C21" s="5" t="s">
        <v>17</v>
      </c>
      <c r="D21" s="5">
        <v>1</v>
      </c>
      <c r="E21" s="7">
        <f>247*8*(A8/1974)</f>
        <v>182.18439716312056</v>
      </c>
      <c r="F21" s="35">
        <f>E21/A8</f>
        <v>1.0010131712259371</v>
      </c>
      <c r="G21" s="49">
        <f t="shared" si="9"/>
        <v>5.4945054945054941E-3</v>
      </c>
      <c r="H21" s="7">
        <f>532*0.4</f>
        <v>212.8</v>
      </c>
      <c r="I21" s="19">
        <f t="shared" si="10"/>
        <v>1.1692307692307693</v>
      </c>
    </row>
    <row r="22" spans="1:11" s="1" customFormat="1" ht="15.75" thickBot="1">
      <c r="A22" s="20"/>
      <c r="B22" s="21"/>
      <c r="C22" s="21"/>
      <c r="D22" s="21"/>
      <c r="E22" s="21"/>
      <c r="F22" s="21"/>
      <c r="G22" s="25"/>
      <c r="H22" s="51"/>
      <c r="I22" s="24">
        <f>SUM(I7:I21)</f>
        <v>847.64395604395611</v>
      </c>
      <c r="J22" s="68">
        <f>(366630-2348-12000+24000+2532+6864)*0.4</f>
        <v>154271.20000000001</v>
      </c>
      <c r="K22" s="68">
        <f>I22*A8</f>
        <v>154271.20000000001</v>
      </c>
    </row>
    <row r="23" spans="1:11">
      <c r="A23" s="13" t="s">
        <v>76</v>
      </c>
      <c r="B23" s="14" t="s">
        <v>36</v>
      </c>
      <c r="C23" s="14" t="s">
        <v>17</v>
      </c>
      <c r="D23" s="14">
        <v>1</v>
      </c>
      <c r="E23" s="16">
        <f>247*8*(A24/1974)</f>
        <v>294.2978723404255</v>
      </c>
      <c r="F23" s="34">
        <f>E23/A24</f>
        <v>1.0010131712259371</v>
      </c>
      <c r="G23" s="50">
        <f>D23/E23*F23</f>
        <v>3.4013605442176874E-3</v>
      </c>
      <c r="H23" s="15">
        <f>26169*0.54</f>
        <v>14131.26</v>
      </c>
      <c r="I23" s="17">
        <f>H23*G23</f>
        <v>48.06551020408164</v>
      </c>
    </row>
    <row r="24" spans="1:11" s="1" customFormat="1">
      <c r="A24" s="64">
        <v>294</v>
      </c>
      <c r="B24" s="5" t="s">
        <v>37</v>
      </c>
      <c r="C24" s="5" t="s">
        <v>17</v>
      </c>
      <c r="D24" s="5">
        <v>1</v>
      </c>
      <c r="E24" s="7">
        <f>247*8*(A24/1974)</f>
        <v>294.2978723404255</v>
      </c>
      <c r="F24" s="35">
        <f>E24/A24</f>
        <v>1.0010131712259371</v>
      </c>
      <c r="G24" s="49">
        <f>D24/E24*F24</f>
        <v>3.4013605442176874E-3</v>
      </c>
      <c r="H24" s="6">
        <f>36000*0.54</f>
        <v>19440</v>
      </c>
      <c r="I24" s="19">
        <f t="shared" ref="I24:I34" si="11">H24*G24</f>
        <v>66.122448979591837</v>
      </c>
    </row>
    <row r="25" spans="1:11" s="1" customFormat="1">
      <c r="A25" s="18"/>
      <c r="B25" s="5" t="s">
        <v>40</v>
      </c>
      <c r="C25" s="5" t="s">
        <v>17</v>
      </c>
      <c r="D25" s="5">
        <v>1</v>
      </c>
      <c r="E25" s="7">
        <f>247*8*(A24/1974)</f>
        <v>294.2978723404255</v>
      </c>
      <c r="F25" s="35">
        <f>E25/A24</f>
        <v>1.0010131712259371</v>
      </c>
      <c r="G25" s="49">
        <f>D25/E25*F25</f>
        <v>3.4013605442176874E-3</v>
      </c>
      <c r="H25" s="6">
        <f>36000*0.54</f>
        <v>19440</v>
      </c>
      <c r="I25" s="19">
        <f t="shared" si="11"/>
        <v>66.122448979591837</v>
      </c>
    </row>
    <row r="26" spans="1:11" s="1" customFormat="1">
      <c r="A26" s="18"/>
      <c r="B26" s="5" t="s">
        <v>38</v>
      </c>
      <c r="C26" s="5" t="s">
        <v>17</v>
      </c>
      <c r="D26" s="5">
        <v>1</v>
      </c>
      <c r="E26" s="7">
        <f>247*8*(A24/1974)</f>
        <v>294.2978723404255</v>
      </c>
      <c r="F26" s="35">
        <f>E26/A24</f>
        <v>1.0010131712259371</v>
      </c>
      <c r="G26" s="49">
        <f t="shared" ref="G26:G34" si="12">D26/E26*F26</f>
        <v>3.4013605442176874E-3</v>
      </c>
      <c r="H26" s="6">
        <f>(10584+48000)*0.54</f>
        <v>31635.360000000001</v>
      </c>
      <c r="I26" s="19">
        <f t="shared" si="11"/>
        <v>107.60326530612247</v>
      </c>
    </row>
    <row r="27" spans="1:11" s="1" customFormat="1">
      <c r="A27" s="18"/>
      <c r="B27" s="5" t="s">
        <v>39</v>
      </c>
      <c r="C27" s="5" t="s">
        <v>17</v>
      </c>
      <c r="D27" s="5">
        <v>1</v>
      </c>
      <c r="E27" s="7">
        <f>247*8*(A24/1974)</f>
        <v>294.2978723404255</v>
      </c>
      <c r="F27" s="35">
        <f>E27/A24</f>
        <v>1.0010131712259371</v>
      </c>
      <c r="G27" s="49">
        <f t="shared" si="12"/>
        <v>3.4013605442176874E-3</v>
      </c>
      <c r="H27" s="7">
        <f>12672*0.54</f>
        <v>6842.88</v>
      </c>
      <c r="I27" s="19">
        <f t="shared" si="11"/>
        <v>23.275102040816328</v>
      </c>
    </row>
    <row r="28" spans="1:11" s="1" customFormat="1">
      <c r="A28" s="18"/>
      <c r="B28" s="5" t="s">
        <v>62</v>
      </c>
      <c r="C28" s="5" t="s">
        <v>17</v>
      </c>
      <c r="D28" s="5">
        <v>1</v>
      </c>
      <c r="E28" s="7">
        <f>247*8*(A24/1974)</f>
        <v>294.2978723404255</v>
      </c>
      <c r="F28" s="35">
        <f>E28/A24</f>
        <v>1.0010131712259371</v>
      </c>
      <c r="G28" s="49">
        <f t="shared" si="12"/>
        <v>3.4013605442176874E-3</v>
      </c>
      <c r="H28" s="7">
        <f>13892*0.54</f>
        <v>7501.68</v>
      </c>
      <c r="I28" s="19">
        <f t="shared" si="11"/>
        <v>25.515918367346941</v>
      </c>
    </row>
    <row r="29" spans="1:11" s="1" customFormat="1">
      <c r="A29" s="18"/>
      <c r="B29" s="5" t="s">
        <v>41</v>
      </c>
      <c r="C29" s="5" t="s">
        <v>17</v>
      </c>
      <c r="D29" s="5">
        <v>1</v>
      </c>
      <c r="E29" s="7">
        <f>247*8*(A24/1974)</f>
        <v>294.2978723404255</v>
      </c>
      <c r="F29" s="35">
        <f>E29/A24</f>
        <v>1.0010131712259371</v>
      </c>
      <c r="G29" s="49">
        <f t="shared" si="12"/>
        <v>3.4013605442176874E-3</v>
      </c>
      <c r="H29" s="7">
        <f>24101*0.54</f>
        <v>13014.54</v>
      </c>
      <c r="I29" s="19">
        <f t="shared" si="11"/>
        <v>44.267142857142865</v>
      </c>
    </row>
    <row r="30" spans="1:11" s="1" customFormat="1">
      <c r="A30" s="18"/>
      <c r="B30" s="5" t="s">
        <v>70</v>
      </c>
      <c r="C30" s="5" t="s">
        <v>17</v>
      </c>
      <c r="D30" s="5">
        <v>1</v>
      </c>
      <c r="E30" s="7">
        <f>247*8*(A24/1974)</f>
        <v>294.2978723404255</v>
      </c>
      <c r="F30" s="35">
        <f>E30/A24</f>
        <v>1.0010131712259371</v>
      </c>
      <c r="G30" s="49">
        <f t="shared" si="12"/>
        <v>3.4013605442176874E-3</v>
      </c>
      <c r="H30" s="7">
        <f>72000*0.54</f>
        <v>38880</v>
      </c>
      <c r="I30" s="19">
        <f t="shared" si="11"/>
        <v>132.24489795918367</v>
      </c>
    </row>
    <row r="31" spans="1:11" s="1" customFormat="1">
      <c r="A31" s="18"/>
      <c r="B31" s="44" t="s">
        <v>61</v>
      </c>
      <c r="C31" s="5" t="s">
        <v>17</v>
      </c>
      <c r="D31" s="5">
        <v>1</v>
      </c>
      <c r="E31" s="7">
        <f>247*8*(A24/1974)</f>
        <v>294.2978723404255</v>
      </c>
      <c r="F31" s="35">
        <f>E31/A24</f>
        <v>1.0010131712259371</v>
      </c>
      <c r="G31" s="49">
        <f t="shared" si="12"/>
        <v>3.4013605442176874E-3</v>
      </c>
      <c r="H31" s="7">
        <f>50400*0.54</f>
        <v>27216</v>
      </c>
      <c r="I31" s="19">
        <f t="shared" si="11"/>
        <v>92.571428571428584</v>
      </c>
    </row>
    <row r="32" spans="1:11" s="1" customFormat="1">
      <c r="A32" s="36"/>
      <c r="B32" s="66" t="s">
        <v>91</v>
      </c>
      <c r="C32" s="5" t="s">
        <v>17</v>
      </c>
      <c r="D32" s="5">
        <v>1</v>
      </c>
      <c r="E32" s="7">
        <f>247*8*(294/1974)</f>
        <v>294.2978723404255</v>
      </c>
      <c r="F32" s="35">
        <f>E32/294</f>
        <v>1.0010131712259371</v>
      </c>
      <c r="G32" s="49">
        <f t="shared" si="12"/>
        <v>3.4013605442176874E-3</v>
      </c>
      <c r="H32" s="7">
        <f>12000*0.54</f>
        <v>6480</v>
      </c>
      <c r="I32" s="19">
        <f t="shared" si="11"/>
        <v>22.040816326530614</v>
      </c>
    </row>
    <row r="33" spans="1:11" s="1" customFormat="1">
      <c r="A33" s="36"/>
      <c r="B33" s="66" t="s">
        <v>64</v>
      </c>
      <c r="C33" s="5" t="s">
        <v>17</v>
      </c>
      <c r="D33" s="5">
        <v>1</v>
      </c>
      <c r="E33" s="7">
        <f>247*8*(A24/1974)</f>
        <v>294.2978723404255</v>
      </c>
      <c r="F33" s="35">
        <f>E33/A24</f>
        <v>1.0010131712259371</v>
      </c>
      <c r="G33" s="49">
        <f t="shared" si="12"/>
        <v>3.4013605442176874E-3</v>
      </c>
      <c r="H33" s="7">
        <f>2000*0.54</f>
        <v>1080</v>
      </c>
      <c r="I33" s="19">
        <f t="shared" si="11"/>
        <v>3.6734693877551026</v>
      </c>
    </row>
    <row r="34" spans="1:11" s="1" customFormat="1" ht="13.5" customHeight="1">
      <c r="A34" s="36"/>
      <c r="B34" s="66" t="s">
        <v>65</v>
      </c>
      <c r="C34" s="5" t="s">
        <v>17</v>
      </c>
      <c r="D34" s="5">
        <v>1</v>
      </c>
      <c r="E34" s="7">
        <f>247*8*(A24/1974)</f>
        <v>294.2978723404255</v>
      </c>
      <c r="F34" s="35">
        <f>E34/A24</f>
        <v>1.0010131712259371</v>
      </c>
      <c r="G34" s="49">
        <f t="shared" si="12"/>
        <v>3.4013605442176874E-3</v>
      </c>
      <c r="H34" s="7">
        <f>528*0.54</f>
        <v>285.12</v>
      </c>
      <c r="I34" s="19">
        <f t="shared" si="11"/>
        <v>0.96979591836734702</v>
      </c>
    </row>
    <row r="35" spans="1:11" s="1" customFormat="1" ht="15.75" thickBot="1">
      <c r="A35" s="20"/>
      <c r="B35" s="21"/>
      <c r="C35" s="21"/>
      <c r="D35" s="21"/>
      <c r="E35" s="21"/>
      <c r="F35" s="21"/>
      <c r="G35" s="25"/>
      <c r="H35" s="51"/>
      <c r="I35" s="24">
        <f>SUM(I23:I34)</f>
        <v>632.47224489795917</v>
      </c>
      <c r="J35" s="68">
        <f>(293818+48000+2528)*0.54</f>
        <v>185946.84000000003</v>
      </c>
      <c r="K35" s="68">
        <f>I35*A24</f>
        <v>185946.84</v>
      </c>
    </row>
    <row r="36" spans="1:11">
      <c r="A36" s="13" t="s">
        <v>77</v>
      </c>
      <c r="B36" s="14" t="s">
        <v>36</v>
      </c>
      <c r="C36" s="14" t="s">
        <v>17</v>
      </c>
      <c r="D36" s="14">
        <v>1</v>
      </c>
      <c r="E36" s="16">
        <f>247*8*(A37/1974)</f>
        <v>163.16514690982777</v>
      </c>
      <c r="F36" s="34">
        <f>E36/A37</f>
        <v>1.0010131712259371</v>
      </c>
      <c r="G36" s="50">
        <f>D36/E36*F36</f>
        <v>6.1349693251533735E-3</v>
      </c>
      <c r="H36" s="15">
        <f>21371*0.42</f>
        <v>8975.82</v>
      </c>
      <c r="I36" s="17">
        <f>H36*G36</f>
        <v>55.066380368098152</v>
      </c>
    </row>
    <row r="37" spans="1:11" s="1" customFormat="1">
      <c r="A37" s="64">
        <v>163</v>
      </c>
      <c r="B37" s="5" t="s">
        <v>37</v>
      </c>
      <c r="C37" s="5" t="s">
        <v>17</v>
      </c>
      <c r="D37" s="5">
        <v>1</v>
      </c>
      <c r="E37" s="7">
        <f>247*8*(A37/1974)</f>
        <v>163.16514690982777</v>
      </c>
      <c r="F37" s="35">
        <f>E37/A37</f>
        <v>1.0010131712259371</v>
      </c>
      <c r="G37" s="49">
        <f>D37/E37*F37</f>
        <v>6.1349693251533735E-3</v>
      </c>
      <c r="H37" s="6">
        <f>25200*0.42</f>
        <v>10584</v>
      </c>
      <c r="I37" s="19">
        <f t="shared" ref="I37:I47" si="13">H37*G37</f>
        <v>64.932515337423311</v>
      </c>
    </row>
    <row r="38" spans="1:11" s="1" customFormat="1">
      <c r="A38" s="18"/>
      <c r="B38" s="5" t="s">
        <v>40</v>
      </c>
      <c r="C38" s="5" t="s">
        <v>17</v>
      </c>
      <c r="D38" s="5">
        <v>1</v>
      </c>
      <c r="E38" s="7">
        <f>247*8*(A37/1974)</f>
        <v>163.16514690982777</v>
      </c>
      <c r="F38" s="35">
        <f>E38/A37</f>
        <v>1.0010131712259371</v>
      </c>
      <c r="G38" s="49">
        <f>D38/E38*F38</f>
        <v>6.1349693251533735E-3</v>
      </c>
      <c r="H38" s="6">
        <f>26400*0.42</f>
        <v>11088</v>
      </c>
      <c r="I38" s="19">
        <f t="shared" si="13"/>
        <v>68.024539877300612</v>
      </c>
    </row>
    <row r="39" spans="1:11" s="1" customFormat="1">
      <c r="A39" s="18"/>
      <c r="B39" s="5" t="s">
        <v>38</v>
      </c>
      <c r="C39" s="5" t="s">
        <v>17</v>
      </c>
      <c r="D39" s="5">
        <v>1</v>
      </c>
      <c r="E39" s="7">
        <f>247*8*(A37/1974)</f>
        <v>163.16514690982777</v>
      </c>
      <c r="F39" s="35">
        <f>E39/A37</f>
        <v>1.0010131712259371</v>
      </c>
      <c r="G39" s="49">
        <f t="shared" ref="G39:G47" si="14">D39/E39*F39</f>
        <v>6.1349693251533735E-3</v>
      </c>
      <c r="H39" s="6">
        <f>(4940+24000)*0.42</f>
        <v>12154.8</v>
      </c>
      <c r="I39" s="19">
        <f t="shared" si="13"/>
        <v>74.569325153374223</v>
      </c>
    </row>
    <row r="40" spans="1:11" s="1" customFormat="1">
      <c r="A40" s="18"/>
      <c r="B40" s="5" t="s">
        <v>39</v>
      </c>
      <c r="C40" s="5" t="s">
        <v>17</v>
      </c>
      <c r="D40" s="5">
        <v>1</v>
      </c>
      <c r="E40" s="7">
        <f>247*8*(A37/1974)</f>
        <v>163.16514690982777</v>
      </c>
      <c r="F40" s="35">
        <f>E40/A37</f>
        <v>1.0010131712259371</v>
      </c>
      <c r="G40" s="49">
        <f t="shared" si="14"/>
        <v>6.1349693251533735E-3</v>
      </c>
      <c r="H40" s="7">
        <f>9086*0.42</f>
        <v>3816.12</v>
      </c>
      <c r="I40" s="19">
        <f t="shared" si="13"/>
        <v>23.41177914110429</v>
      </c>
    </row>
    <row r="41" spans="1:11" s="1" customFormat="1">
      <c r="A41" s="18"/>
      <c r="B41" s="5" t="s">
        <v>62</v>
      </c>
      <c r="C41" s="5" t="s">
        <v>17</v>
      </c>
      <c r="D41" s="5">
        <v>1</v>
      </c>
      <c r="E41" s="7">
        <f>247*8*(A37/1974)</f>
        <v>163.16514690982777</v>
      </c>
      <c r="F41" s="35">
        <f>E41/A37</f>
        <v>1.0010131712259371</v>
      </c>
      <c r="G41" s="49">
        <f t="shared" si="14"/>
        <v>6.1349693251533735E-3</v>
      </c>
      <c r="H41" s="7">
        <f>6500*0.42</f>
        <v>2730</v>
      </c>
      <c r="I41" s="19">
        <f t="shared" si="13"/>
        <v>16.74846625766871</v>
      </c>
    </row>
    <row r="42" spans="1:11" s="1" customFormat="1">
      <c r="A42" s="18"/>
      <c r="B42" s="5" t="s">
        <v>41</v>
      </c>
      <c r="C42" s="5" t="s">
        <v>17</v>
      </c>
      <c r="D42" s="5">
        <v>1</v>
      </c>
      <c r="E42" s="7">
        <f>247*8*(A37/1974)</f>
        <v>163.16514690982777</v>
      </c>
      <c r="F42" s="35">
        <f>E42/A37</f>
        <v>1.0010131712259371</v>
      </c>
      <c r="G42" s="49">
        <f t="shared" si="14"/>
        <v>6.1349693251533735E-3</v>
      </c>
      <c r="H42" s="7">
        <f>8958*0.42</f>
        <v>3762.3599999999997</v>
      </c>
      <c r="I42" s="19">
        <f t="shared" si="13"/>
        <v>23.081963190184045</v>
      </c>
    </row>
    <row r="43" spans="1:11" s="1" customFormat="1">
      <c r="A43" s="18"/>
      <c r="B43" s="5" t="s">
        <v>70</v>
      </c>
      <c r="C43" s="5" t="s">
        <v>17</v>
      </c>
      <c r="D43" s="5">
        <v>1</v>
      </c>
      <c r="E43" s="7">
        <f>247*8*(A37/1974)</f>
        <v>163.16514690982777</v>
      </c>
      <c r="F43" s="35">
        <f>E43/A37</f>
        <v>1.0010131712259371</v>
      </c>
      <c r="G43" s="49">
        <f t="shared" si="14"/>
        <v>6.1349693251533735E-3</v>
      </c>
      <c r="H43" s="7">
        <f>36000*0.42</f>
        <v>15120</v>
      </c>
      <c r="I43" s="19">
        <f t="shared" si="13"/>
        <v>92.760736196319002</v>
      </c>
    </row>
    <row r="44" spans="1:11" s="1" customFormat="1">
      <c r="A44" s="18"/>
      <c r="B44" s="44" t="s">
        <v>61</v>
      </c>
      <c r="C44" s="5" t="s">
        <v>17</v>
      </c>
      <c r="D44" s="5">
        <v>1</v>
      </c>
      <c r="E44" s="7">
        <f>247*8*(A37/1974)</f>
        <v>163.16514690982777</v>
      </c>
      <c r="F44" s="35">
        <f>E44/A37</f>
        <v>1.0010131712259371</v>
      </c>
      <c r="G44" s="49">
        <f t="shared" si="14"/>
        <v>6.1349693251533735E-3</v>
      </c>
      <c r="H44" s="7">
        <f>30000*0.42</f>
        <v>12600</v>
      </c>
      <c r="I44" s="19">
        <f t="shared" si="13"/>
        <v>77.300613496932513</v>
      </c>
    </row>
    <row r="45" spans="1:11" s="1" customFormat="1">
      <c r="A45" s="36"/>
      <c r="B45" s="66" t="s">
        <v>91</v>
      </c>
      <c r="C45" s="5" t="s">
        <v>17</v>
      </c>
      <c r="D45" s="5">
        <v>1</v>
      </c>
      <c r="E45" s="7">
        <f>247*8*(163/1974)</f>
        <v>163.16514690982777</v>
      </c>
      <c r="F45" s="35">
        <f>E45/163</f>
        <v>1.0010131712259371</v>
      </c>
      <c r="G45" s="49">
        <f t="shared" si="14"/>
        <v>6.1349693251533735E-3</v>
      </c>
      <c r="H45" s="7">
        <f>18000*0.42</f>
        <v>7560</v>
      </c>
      <c r="I45" s="19">
        <f t="shared" si="13"/>
        <v>46.380368098159501</v>
      </c>
    </row>
    <row r="46" spans="1:11" s="1" customFormat="1">
      <c r="A46" s="36"/>
      <c r="B46" s="66" t="s">
        <v>64</v>
      </c>
      <c r="C46" s="5" t="s">
        <v>17</v>
      </c>
      <c r="D46" s="5">
        <v>1</v>
      </c>
      <c r="E46" s="7">
        <f>247*8*(A37/1974)</f>
        <v>163.16514690982777</v>
      </c>
      <c r="F46" s="35">
        <f>E46/A37</f>
        <v>1.0010131712259371</v>
      </c>
      <c r="G46" s="49">
        <f t="shared" si="14"/>
        <v>6.1349693251533735E-3</v>
      </c>
      <c r="H46" s="7">
        <f>2000*0.42</f>
        <v>840</v>
      </c>
      <c r="I46" s="19">
        <f t="shared" si="13"/>
        <v>5.1533742331288339</v>
      </c>
    </row>
    <row r="47" spans="1:11" s="1" customFormat="1" ht="13.5" customHeight="1">
      <c r="A47" s="36"/>
      <c r="B47" s="66" t="s">
        <v>65</v>
      </c>
      <c r="C47" s="5" t="s">
        <v>17</v>
      </c>
      <c r="D47" s="5">
        <v>1</v>
      </c>
      <c r="E47" s="7">
        <f>247*8*(A37/1974)</f>
        <v>163.16514690982777</v>
      </c>
      <c r="F47" s="35">
        <f>E47/A37</f>
        <v>1.0010131712259371</v>
      </c>
      <c r="G47" s="49">
        <f t="shared" si="14"/>
        <v>6.1349693251533735E-3</v>
      </c>
      <c r="H47" s="7">
        <f>454*0.42</f>
        <v>190.68</v>
      </c>
      <c r="I47" s="19">
        <f t="shared" si="13"/>
        <v>1.1698159509202453</v>
      </c>
    </row>
    <row r="48" spans="1:11" s="1" customFormat="1" ht="15.75" thickBot="1">
      <c r="A48" s="20"/>
      <c r="B48" s="21"/>
      <c r="C48" s="21"/>
      <c r="D48" s="21"/>
      <c r="E48" s="21"/>
      <c r="F48" s="21"/>
      <c r="G48" s="25"/>
      <c r="H48" s="51"/>
      <c r="I48" s="24">
        <f>SUM(I36:I47)</f>
        <v>548.59987730061334</v>
      </c>
      <c r="J48" s="68">
        <f>(186455+24000+2454)*0.42</f>
        <v>89421.78</v>
      </c>
      <c r="K48" s="68">
        <f>I48*A37</f>
        <v>89421.77999999997</v>
      </c>
    </row>
    <row r="49" spans="1:11">
      <c r="A49" s="13" t="s">
        <v>78</v>
      </c>
      <c r="B49" s="14" t="s">
        <v>36</v>
      </c>
      <c r="C49" s="14" t="s">
        <v>17</v>
      </c>
      <c r="D49" s="14">
        <v>1</v>
      </c>
      <c r="E49" s="16">
        <f>247*8*(A50/1974)</f>
        <v>335.33941236068893</v>
      </c>
      <c r="F49" s="34">
        <f>E49/A50</f>
        <v>1.0010131712259371</v>
      </c>
      <c r="G49" s="50">
        <f>D49/E49*F49</f>
        <v>2.9850746268656717E-3</v>
      </c>
      <c r="H49" s="15">
        <f>35983*0.44</f>
        <v>15832.52</v>
      </c>
      <c r="I49" s="17">
        <f>H49*G49</f>
        <v>47.261253731343288</v>
      </c>
    </row>
    <row r="50" spans="1:11" s="1" customFormat="1">
      <c r="A50" s="64">
        <v>335</v>
      </c>
      <c r="B50" s="5" t="s">
        <v>37</v>
      </c>
      <c r="C50" s="5" t="s">
        <v>17</v>
      </c>
      <c r="D50" s="5">
        <v>1</v>
      </c>
      <c r="E50" s="7">
        <f>247*8*(A50/1974)</f>
        <v>335.33941236068893</v>
      </c>
      <c r="F50" s="35">
        <f>E50/A50</f>
        <v>1.0010131712259371</v>
      </c>
      <c r="G50" s="49">
        <f>D50/E50*F50</f>
        <v>2.9850746268656717E-3</v>
      </c>
      <c r="H50" s="6">
        <f>21600*0.44</f>
        <v>9504</v>
      </c>
      <c r="I50" s="19">
        <f t="shared" ref="I50:I59" si="15">H50*G50</f>
        <v>28.370149253731345</v>
      </c>
    </row>
    <row r="51" spans="1:11" s="1" customFormat="1">
      <c r="A51" s="18"/>
      <c r="B51" s="5" t="s">
        <v>38</v>
      </c>
      <c r="C51" s="5" t="s">
        <v>17</v>
      </c>
      <c r="D51" s="5">
        <v>1</v>
      </c>
      <c r="E51" s="7">
        <f>247*8*(A50/1974)</f>
        <v>335.33941236068893</v>
      </c>
      <c r="F51" s="35">
        <f>E51/A50</f>
        <v>1.0010131712259371</v>
      </c>
      <c r="G51" s="49">
        <f t="shared" ref="G51:G59" si="16">D51/E51*F51</f>
        <v>2.9850746268656717E-3</v>
      </c>
      <c r="H51" s="6">
        <f>(5040+24000)*0.44</f>
        <v>12777.6</v>
      </c>
      <c r="I51" s="19">
        <f t="shared" si="15"/>
        <v>38.142089552238808</v>
      </c>
    </row>
    <row r="52" spans="1:11" s="1" customFormat="1">
      <c r="A52" s="18"/>
      <c r="B52" s="5" t="s">
        <v>39</v>
      </c>
      <c r="C52" s="5" t="s">
        <v>17</v>
      </c>
      <c r="D52" s="5">
        <v>1</v>
      </c>
      <c r="E52" s="7">
        <f>247*8*(A50/1974)</f>
        <v>335.33941236068893</v>
      </c>
      <c r="F52" s="35">
        <f>E52/A50</f>
        <v>1.0010131712259371</v>
      </c>
      <c r="G52" s="49">
        <f t="shared" si="16"/>
        <v>2.9850746268656717E-3</v>
      </c>
      <c r="H52" s="7">
        <f>8270*0.44</f>
        <v>3638.8</v>
      </c>
      <c r="I52" s="19">
        <f t="shared" si="15"/>
        <v>10.862089552238807</v>
      </c>
    </row>
    <row r="53" spans="1:11" s="1" customFormat="1">
      <c r="A53" s="18"/>
      <c r="B53" s="5" t="s">
        <v>62</v>
      </c>
      <c r="C53" s="5" t="s">
        <v>17</v>
      </c>
      <c r="D53" s="5">
        <v>1</v>
      </c>
      <c r="E53" s="7">
        <f>247*8*(A50/1974)</f>
        <v>335.33941236068893</v>
      </c>
      <c r="F53" s="35">
        <f>E53/A50</f>
        <v>1.0010131712259371</v>
      </c>
      <c r="G53" s="49">
        <f t="shared" si="16"/>
        <v>2.9850746268656717E-3</v>
      </c>
      <c r="H53" s="7">
        <f>7875*0.44</f>
        <v>3465</v>
      </c>
      <c r="I53" s="19">
        <f t="shared" si="15"/>
        <v>10.343283582089553</v>
      </c>
    </row>
    <row r="54" spans="1:11" s="1" customFormat="1">
      <c r="A54" s="18"/>
      <c r="B54" s="5" t="s">
        <v>41</v>
      </c>
      <c r="C54" s="5" t="s">
        <v>17</v>
      </c>
      <c r="D54" s="5">
        <v>1</v>
      </c>
      <c r="E54" s="7">
        <f>247*8*(A50/1974)</f>
        <v>335.33941236068893</v>
      </c>
      <c r="F54" s="35">
        <f>E54/A50</f>
        <v>1.0010131712259371</v>
      </c>
      <c r="G54" s="49">
        <f t="shared" si="16"/>
        <v>2.9850746268656717E-3</v>
      </c>
      <c r="H54" s="7">
        <f>11000*0.44</f>
        <v>4840</v>
      </c>
      <c r="I54" s="19">
        <f t="shared" si="15"/>
        <v>14.447761194029852</v>
      </c>
    </row>
    <row r="55" spans="1:11" s="1" customFormat="1">
      <c r="A55" s="18"/>
      <c r="B55" s="5" t="s">
        <v>70</v>
      </c>
      <c r="C55" s="5" t="s">
        <v>17</v>
      </c>
      <c r="D55" s="5">
        <v>1</v>
      </c>
      <c r="E55" s="7">
        <f>247*8*(A50/1974)</f>
        <v>335.33941236068893</v>
      </c>
      <c r="F55" s="35">
        <f>E55/A50</f>
        <v>1.0010131712259371</v>
      </c>
      <c r="G55" s="49">
        <f t="shared" si="16"/>
        <v>2.9850746268656717E-3</v>
      </c>
      <c r="H55" s="7">
        <f>36000*0.44</f>
        <v>15840</v>
      </c>
      <c r="I55" s="19">
        <f t="shared" si="15"/>
        <v>47.28358208955224</v>
      </c>
    </row>
    <row r="56" spans="1:11" s="1" customFormat="1">
      <c r="A56" s="36"/>
      <c r="B56" s="66" t="s">
        <v>91</v>
      </c>
      <c r="C56" s="5" t="s">
        <v>17</v>
      </c>
      <c r="D56" s="5">
        <v>1</v>
      </c>
      <c r="E56" s="7">
        <f>247*8*(A50/1974)</f>
        <v>335.33941236068893</v>
      </c>
      <c r="F56" s="35">
        <f>E56/A50</f>
        <v>1.0010131712259371</v>
      </c>
      <c r="G56" s="49">
        <f t="shared" si="16"/>
        <v>2.9850746268656717E-3</v>
      </c>
      <c r="H56" s="7">
        <f>9600*0.44</f>
        <v>4224</v>
      </c>
      <c r="I56" s="19">
        <f t="shared" si="15"/>
        <v>12.608955223880598</v>
      </c>
    </row>
    <row r="57" spans="1:11" s="1" customFormat="1">
      <c r="A57" s="36"/>
      <c r="B57" s="66" t="s">
        <v>92</v>
      </c>
      <c r="C57" s="5" t="s">
        <v>17</v>
      </c>
      <c r="D57" s="5">
        <v>1</v>
      </c>
      <c r="E57" s="7">
        <f>247*8*(A50/1974)</f>
        <v>335.33941236068893</v>
      </c>
      <c r="F57" s="35">
        <f>E57/A50</f>
        <v>1.0010131712259371</v>
      </c>
      <c r="G57" s="49">
        <f t="shared" si="16"/>
        <v>2.9850746268656717E-3</v>
      </c>
      <c r="H57" s="7">
        <f>(3038+6864)*0.44</f>
        <v>4356.88</v>
      </c>
      <c r="I57" s="19">
        <f t="shared" si="15"/>
        <v>13.005611940298508</v>
      </c>
    </row>
    <row r="58" spans="1:11" s="1" customFormat="1">
      <c r="A58" s="36"/>
      <c r="B58" s="66" t="s">
        <v>64</v>
      </c>
      <c r="C58" s="5" t="s">
        <v>17</v>
      </c>
      <c r="D58" s="5">
        <v>1</v>
      </c>
      <c r="E58" s="7">
        <f>247*8*(A50/1974)</f>
        <v>335.33941236068893</v>
      </c>
      <c r="F58" s="35">
        <f>E58/A50</f>
        <v>1.0010131712259371</v>
      </c>
      <c r="G58" s="49">
        <f t="shared" si="16"/>
        <v>2.9850746268656717E-3</v>
      </c>
      <c r="H58" s="7">
        <f>2000*0.44</f>
        <v>880</v>
      </c>
      <c r="I58" s="19">
        <f t="shared" si="15"/>
        <v>2.6268656716417911</v>
      </c>
    </row>
    <row r="59" spans="1:11" s="1" customFormat="1" ht="13.5" customHeight="1">
      <c r="A59" s="36"/>
      <c r="B59" s="66" t="s">
        <v>65</v>
      </c>
      <c r="C59" s="5" t="s">
        <v>17</v>
      </c>
      <c r="D59" s="5">
        <v>1</v>
      </c>
      <c r="E59" s="7">
        <f>247*8*(A50/1974)</f>
        <v>335.33941236068893</v>
      </c>
      <c r="F59" s="35">
        <f>E59/A50</f>
        <v>1.0010131712259371</v>
      </c>
      <c r="G59" s="49">
        <f t="shared" si="16"/>
        <v>2.9850746268656717E-3</v>
      </c>
      <c r="H59" s="7">
        <f>855*0.44</f>
        <v>376.2</v>
      </c>
      <c r="I59" s="19">
        <f t="shared" si="15"/>
        <v>1.1229850746268657</v>
      </c>
    </row>
    <row r="60" spans="1:11" s="1" customFormat="1" ht="15.75" thickBot="1">
      <c r="A60" s="20"/>
      <c r="B60" s="21"/>
      <c r="C60" s="21"/>
      <c r="D60" s="21"/>
      <c r="E60" s="21"/>
      <c r="F60" s="21"/>
      <c r="G60" s="25"/>
      <c r="H60" s="51"/>
      <c r="I60" s="24">
        <f>SUM(I49:I59)</f>
        <v>226.07462686567163</v>
      </c>
      <c r="J60" s="68">
        <f>(176882+24000+6864+2855-2348-36128)*0.44</f>
        <v>75735</v>
      </c>
      <c r="K60" s="68">
        <f>I60*A50</f>
        <v>75735</v>
      </c>
    </row>
    <row r="61" spans="1:11">
      <c r="A61" s="13" t="s">
        <v>79</v>
      </c>
      <c r="B61" s="14" t="s">
        <v>36</v>
      </c>
      <c r="C61" s="14" t="s">
        <v>17</v>
      </c>
      <c r="D61" s="14">
        <v>1</v>
      </c>
      <c r="E61" s="16">
        <f>247*8*(A62/1974)</f>
        <v>390.3951367781155</v>
      </c>
      <c r="F61" s="34">
        <f>E61/A62</f>
        <v>1.0010131712259371</v>
      </c>
      <c r="G61" s="50">
        <f>D61/E61*F61</f>
        <v>2.5641025641025641E-3</v>
      </c>
      <c r="H61" s="15">
        <f>43615*0.46</f>
        <v>20062.900000000001</v>
      </c>
      <c r="I61" s="17">
        <f>H61*G61</f>
        <v>51.443333333333335</v>
      </c>
    </row>
    <row r="62" spans="1:11" s="1" customFormat="1">
      <c r="A62" s="64">
        <v>390</v>
      </c>
      <c r="B62" s="5" t="s">
        <v>37</v>
      </c>
      <c r="C62" s="5" t="s">
        <v>17</v>
      </c>
      <c r="D62" s="5">
        <v>1</v>
      </c>
      <c r="E62" s="7">
        <f>247*8*(A62/1974)</f>
        <v>390.3951367781155</v>
      </c>
      <c r="F62" s="35">
        <f>E62/A62</f>
        <v>1.0010131712259371</v>
      </c>
      <c r="G62" s="49">
        <f>D62/E62*F62</f>
        <v>2.5641025641025641E-3</v>
      </c>
      <c r="H62" s="6">
        <f>42000*0.46</f>
        <v>19320</v>
      </c>
      <c r="I62" s="19">
        <f t="shared" ref="I62:I72" si="17">H62*G62</f>
        <v>49.53846153846154</v>
      </c>
    </row>
    <row r="63" spans="1:11" s="1" customFormat="1">
      <c r="A63" s="18"/>
      <c r="B63" s="5" t="s">
        <v>40</v>
      </c>
      <c r="C63" s="5" t="s">
        <v>17</v>
      </c>
      <c r="D63" s="5">
        <v>1</v>
      </c>
      <c r="E63" s="7">
        <f>247*8*(A62/1974)</f>
        <v>390.3951367781155</v>
      </c>
      <c r="F63" s="35">
        <f>E63/A62</f>
        <v>1.0010131712259371</v>
      </c>
      <c r="G63" s="49">
        <f>D63/E63*F63</f>
        <v>2.5641025641025641E-3</v>
      </c>
      <c r="H63" s="6">
        <f>18000*0.46</f>
        <v>8280</v>
      </c>
      <c r="I63" s="19">
        <f t="shared" si="17"/>
        <v>21.23076923076923</v>
      </c>
    </row>
    <row r="64" spans="1:11" s="1" customFormat="1">
      <c r="A64" s="18"/>
      <c r="B64" s="5" t="s">
        <v>38</v>
      </c>
      <c r="C64" s="5" t="s">
        <v>17</v>
      </c>
      <c r="D64" s="5">
        <v>1</v>
      </c>
      <c r="E64" s="7">
        <f>247*8*(A62/1974)</f>
        <v>390.3951367781155</v>
      </c>
      <c r="F64" s="35">
        <f>E64/A62</f>
        <v>1.0010131712259371</v>
      </c>
      <c r="G64" s="49">
        <f t="shared" ref="G64:G72" si="18">D64/E64*F64</f>
        <v>2.5641025641025641E-3</v>
      </c>
      <c r="H64" s="6">
        <f>(7970+24000)*0.46</f>
        <v>14706.2</v>
      </c>
      <c r="I64" s="19">
        <f t="shared" si="17"/>
        <v>37.70820512820513</v>
      </c>
    </row>
    <row r="65" spans="1:11" s="1" customFormat="1">
      <c r="A65" s="18"/>
      <c r="B65" s="5" t="s">
        <v>39</v>
      </c>
      <c r="C65" s="5" t="s">
        <v>17</v>
      </c>
      <c r="D65" s="5">
        <v>1</v>
      </c>
      <c r="E65" s="7">
        <f>247*8*(A62/1974)</f>
        <v>390.3951367781155</v>
      </c>
      <c r="F65" s="35">
        <f>E65/A62</f>
        <v>1.0010131712259371</v>
      </c>
      <c r="G65" s="49">
        <f t="shared" si="18"/>
        <v>2.5641025641025641E-3</v>
      </c>
      <c r="H65" s="7">
        <f>10560*0.46</f>
        <v>4857.6000000000004</v>
      </c>
      <c r="I65" s="19">
        <f t="shared" si="17"/>
        <v>12.455384615384617</v>
      </c>
    </row>
    <row r="66" spans="1:11" s="1" customFormat="1">
      <c r="A66" s="18"/>
      <c r="B66" s="5" t="s">
        <v>62</v>
      </c>
      <c r="C66" s="5" t="s">
        <v>17</v>
      </c>
      <c r="D66" s="5">
        <v>1</v>
      </c>
      <c r="E66" s="7">
        <f>247*8*(A62/1974)</f>
        <v>390.3951367781155</v>
      </c>
      <c r="F66" s="35">
        <f>E66/A62</f>
        <v>1.0010131712259371</v>
      </c>
      <c r="G66" s="49">
        <f t="shared" si="18"/>
        <v>2.5641025641025641E-3</v>
      </c>
      <c r="H66" s="7">
        <f>14000*0.46</f>
        <v>6440</v>
      </c>
      <c r="I66" s="19">
        <f t="shared" si="17"/>
        <v>16.512820512820515</v>
      </c>
    </row>
    <row r="67" spans="1:11" s="1" customFormat="1">
      <c r="A67" s="18"/>
      <c r="B67" s="5" t="s">
        <v>41</v>
      </c>
      <c r="C67" s="5" t="s">
        <v>17</v>
      </c>
      <c r="D67" s="5">
        <v>1</v>
      </c>
      <c r="E67" s="7">
        <f>247*8*(A62/1974)</f>
        <v>390.3951367781155</v>
      </c>
      <c r="F67" s="35">
        <f>E67/A62</f>
        <v>1.0010131712259371</v>
      </c>
      <c r="G67" s="49">
        <f t="shared" si="18"/>
        <v>2.5641025641025641E-3</v>
      </c>
      <c r="H67" s="7">
        <f>44160*0.46</f>
        <v>20313.600000000002</v>
      </c>
      <c r="I67" s="19">
        <f t="shared" si="17"/>
        <v>52.086153846153849</v>
      </c>
    </row>
    <row r="68" spans="1:11" s="1" customFormat="1">
      <c r="A68" s="18"/>
      <c r="B68" s="5" t="s">
        <v>70</v>
      </c>
      <c r="C68" s="5" t="s">
        <v>17</v>
      </c>
      <c r="D68" s="5">
        <v>1</v>
      </c>
      <c r="E68" s="7">
        <f>247*8*(A62/1974)</f>
        <v>390.3951367781155</v>
      </c>
      <c r="F68" s="35">
        <f>E68/A62</f>
        <v>1.0010131712259371</v>
      </c>
      <c r="G68" s="49">
        <f t="shared" si="18"/>
        <v>2.5641025641025641E-3</v>
      </c>
      <c r="H68" s="7">
        <f>36000*0.46</f>
        <v>16560</v>
      </c>
      <c r="I68" s="19">
        <f t="shared" si="17"/>
        <v>42.46153846153846</v>
      </c>
    </row>
    <row r="69" spans="1:11" s="1" customFormat="1">
      <c r="A69" s="18"/>
      <c r="B69" s="44" t="s">
        <v>61</v>
      </c>
      <c r="C69" s="5" t="s">
        <v>17</v>
      </c>
      <c r="D69" s="5">
        <v>1</v>
      </c>
      <c r="E69" s="7">
        <f>247*8*(A62/1974)</f>
        <v>390.3951367781155</v>
      </c>
      <c r="F69" s="35">
        <f>E69/A62</f>
        <v>1.0010131712259371</v>
      </c>
      <c r="G69" s="49">
        <f t="shared" si="18"/>
        <v>2.5641025641025641E-3</v>
      </c>
      <c r="H69" s="7">
        <f>28800*0.46</f>
        <v>13248</v>
      </c>
      <c r="I69" s="19">
        <f t="shared" si="17"/>
        <v>33.969230769230769</v>
      </c>
    </row>
    <row r="70" spans="1:11" s="1" customFormat="1">
      <c r="A70" s="36"/>
      <c r="B70" s="66" t="s">
        <v>95</v>
      </c>
      <c r="C70" s="5" t="s">
        <v>17</v>
      </c>
      <c r="D70" s="5">
        <v>1</v>
      </c>
      <c r="E70" s="7">
        <f>247*8*(A62/1974)</f>
        <v>390.3951367781155</v>
      </c>
      <c r="F70" s="35">
        <f>E70/A62</f>
        <v>1.0010131712259371</v>
      </c>
      <c r="G70" s="49">
        <f t="shared" si="18"/>
        <v>2.5641025641025641E-3</v>
      </c>
      <c r="H70" s="7">
        <f>15000*0.46</f>
        <v>6900</v>
      </c>
      <c r="I70" s="19">
        <f t="shared" si="17"/>
        <v>17.692307692307693</v>
      </c>
    </row>
    <row r="71" spans="1:11" s="1" customFormat="1">
      <c r="A71" s="36"/>
      <c r="B71" s="66" t="s">
        <v>64</v>
      </c>
      <c r="C71" s="5" t="s">
        <v>17</v>
      </c>
      <c r="D71" s="5">
        <v>1</v>
      </c>
      <c r="E71" s="7">
        <f>247*8*(A62/1974)</f>
        <v>390.3951367781155</v>
      </c>
      <c r="F71" s="35">
        <f>E71/A62</f>
        <v>1.0010131712259371</v>
      </c>
      <c r="G71" s="49">
        <f t="shared" si="18"/>
        <v>2.5641025641025641E-3</v>
      </c>
      <c r="H71" s="7">
        <f>2000*0.46</f>
        <v>920</v>
      </c>
      <c r="I71" s="19">
        <f t="shared" si="17"/>
        <v>2.358974358974359</v>
      </c>
    </row>
    <row r="72" spans="1:11" s="1" customFormat="1" ht="13.5" customHeight="1">
      <c r="A72" s="36"/>
      <c r="B72" s="66" t="s">
        <v>65</v>
      </c>
      <c r="C72" s="5" t="s">
        <v>17</v>
      </c>
      <c r="D72" s="5">
        <v>1</v>
      </c>
      <c r="E72" s="7">
        <f>247*8*(A62/1974)</f>
        <v>390.3951367781155</v>
      </c>
      <c r="F72" s="35">
        <f>E72/A62</f>
        <v>1.0010131712259371</v>
      </c>
      <c r="G72" s="49">
        <f t="shared" si="18"/>
        <v>2.5641025641025641E-3</v>
      </c>
      <c r="H72" s="7">
        <f>709*0.46</f>
        <v>326.14</v>
      </c>
      <c r="I72" s="19">
        <f t="shared" si="17"/>
        <v>0.83625641025641018</v>
      </c>
    </row>
    <row r="73" spans="1:11" s="1" customFormat="1" ht="15.75" thickBot="1">
      <c r="A73" s="20"/>
      <c r="B73" s="21"/>
      <c r="C73" s="21"/>
      <c r="D73" s="21"/>
      <c r="E73" s="21"/>
      <c r="F73" s="21"/>
      <c r="G73" s="25"/>
      <c r="H73" s="51"/>
      <c r="I73" s="24">
        <f>SUM(I61:I72)</f>
        <v>338.29343589743587</v>
      </c>
      <c r="J73" s="68">
        <f>(245105+24000+17709)*0.46</f>
        <v>131934.44</v>
      </c>
      <c r="K73" s="68">
        <f>I73*A62</f>
        <v>131934.44</v>
      </c>
    </row>
    <row r="74" spans="1:11">
      <c r="A74" s="13" t="s">
        <v>80</v>
      </c>
      <c r="B74" s="14" t="s">
        <v>36</v>
      </c>
      <c r="C74" s="14" t="s">
        <v>17</v>
      </c>
      <c r="D74" s="14">
        <v>1</v>
      </c>
      <c r="E74" s="16">
        <f>247*8*(A75/1974)</f>
        <v>265.26849037487335</v>
      </c>
      <c r="F74" s="34">
        <f>E74/A75</f>
        <v>1.0010131712259371</v>
      </c>
      <c r="G74" s="50">
        <f>D74/E74*F74</f>
        <v>3.7735849056603774E-3</v>
      </c>
      <c r="H74" s="15">
        <f>23552*0.48</f>
        <v>11304.96</v>
      </c>
      <c r="I74" s="17">
        <f>H74*G74</f>
        <v>42.660226415094336</v>
      </c>
    </row>
    <row r="75" spans="1:11" s="1" customFormat="1">
      <c r="A75" s="64">
        <v>265</v>
      </c>
      <c r="B75" s="5" t="s">
        <v>37</v>
      </c>
      <c r="C75" s="5" t="s">
        <v>17</v>
      </c>
      <c r="D75" s="5">
        <v>1</v>
      </c>
      <c r="E75" s="7">
        <f>247*8*(A75/1974)</f>
        <v>265.26849037487335</v>
      </c>
      <c r="F75" s="35">
        <f>E75/A75</f>
        <v>1.0010131712259371</v>
      </c>
      <c r="G75" s="49">
        <f>D75/E75*F75</f>
        <v>3.7735849056603774E-3</v>
      </c>
      <c r="H75" s="6">
        <f>32400*0.48</f>
        <v>15552</v>
      </c>
      <c r="I75" s="19">
        <f t="shared" ref="I75:I86" si="19">H75*G75</f>
        <v>58.68679245283019</v>
      </c>
    </row>
    <row r="76" spans="1:11" s="1" customFormat="1">
      <c r="A76" s="18"/>
      <c r="B76" s="5" t="s">
        <v>40</v>
      </c>
      <c r="C76" s="5" t="s">
        <v>17</v>
      </c>
      <c r="D76" s="5">
        <v>1</v>
      </c>
      <c r="E76" s="7">
        <f>247*8*(A75/1974)</f>
        <v>265.26849037487335</v>
      </c>
      <c r="F76" s="35">
        <f>E76/A75</f>
        <v>1.0010131712259371</v>
      </c>
      <c r="G76" s="49">
        <f>D76/E76*F76</f>
        <v>3.7735849056603774E-3</v>
      </c>
      <c r="H76" s="6">
        <f>6000*0.48</f>
        <v>2880</v>
      </c>
      <c r="I76" s="19">
        <f t="shared" si="19"/>
        <v>10.867924528301886</v>
      </c>
    </row>
    <row r="77" spans="1:11" s="1" customFormat="1">
      <c r="A77" s="18"/>
      <c r="B77" s="5" t="s">
        <v>38</v>
      </c>
      <c r="C77" s="5" t="s">
        <v>17</v>
      </c>
      <c r="D77" s="5">
        <v>1</v>
      </c>
      <c r="E77" s="7">
        <f>247*8*(A75/1974)</f>
        <v>265.26849037487335</v>
      </c>
      <c r="F77" s="35">
        <f>E77/A75</f>
        <v>1.0010131712259371</v>
      </c>
      <c r="G77" s="49">
        <f t="shared" ref="G77:G86" si="20">D77/E77*F77</f>
        <v>3.7735849056603774E-3</v>
      </c>
      <c r="H77" s="6">
        <f>(7970+24000)*0.48</f>
        <v>15345.599999999999</v>
      </c>
      <c r="I77" s="19">
        <f t="shared" si="19"/>
        <v>57.907924528301884</v>
      </c>
    </row>
    <row r="78" spans="1:11" s="1" customFormat="1">
      <c r="A78" s="18"/>
      <c r="B78" s="5" t="s">
        <v>39</v>
      </c>
      <c r="C78" s="5" t="s">
        <v>17</v>
      </c>
      <c r="D78" s="5">
        <v>1</v>
      </c>
      <c r="E78" s="7">
        <f>247*8*(A75/1974)</f>
        <v>265.26849037487335</v>
      </c>
      <c r="F78" s="35">
        <f>E78/A75</f>
        <v>1.0010131712259371</v>
      </c>
      <c r="G78" s="49">
        <f t="shared" si="20"/>
        <v>3.7735849056603774E-3</v>
      </c>
      <c r="H78" s="7">
        <f>12197*0.48</f>
        <v>5854.5599999999995</v>
      </c>
      <c r="I78" s="19">
        <f t="shared" si="19"/>
        <v>22.092679245283016</v>
      </c>
    </row>
    <row r="79" spans="1:11" s="1" customFormat="1">
      <c r="A79" s="18"/>
      <c r="B79" s="5" t="s">
        <v>62</v>
      </c>
      <c r="C79" s="5" t="s">
        <v>17</v>
      </c>
      <c r="D79" s="5">
        <v>1</v>
      </c>
      <c r="E79" s="7">
        <f>247*8*(A75/1974)</f>
        <v>265.26849037487335</v>
      </c>
      <c r="F79" s="35">
        <f>E79/A75</f>
        <v>1.0010131712259371</v>
      </c>
      <c r="G79" s="49">
        <f t="shared" si="20"/>
        <v>3.7735849056603774E-3</v>
      </c>
      <c r="H79" s="7">
        <f>5500*0.48</f>
        <v>2640</v>
      </c>
      <c r="I79" s="19">
        <f t="shared" si="19"/>
        <v>9.9622641509433958</v>
      </c>
    </row>
    <row r="80" spans="1:11" s="1" customFormat="1">
      <c r="A80" s="18"/>
      <c r="B80" s="5" t="s">
        <v>41</v>
      </c>
      <c r="C80" s="5" t="s">
        <v>17</v>
      </c>
      <c r="D80" s="5">
        <v>1</v>
      </c>
      <c r="E80" s="7">
        <f>247*8*(A75/1974)</f>
        <v>265.26849037487335</v>
      </c>
      <c r="F80" s="35">
        <f>E80/A75</f>
        <v>1.0010131712259371</v>
      </c>
      <c r="G80" s="49">
        <f t="shared" si="20"/>
        <v>3.7735849056603774E-3</v>
      </c>
      <c r="H80" s="7">
        <f>11400*0.48</f>
        <v>5472</v>
      </c>
      <c r="I80" s="19">
        <f t="shared" si="19"/>
        <v>20.649056603773584</v>
      </c>
    </row>
    <row r="81" spans="1:11" s="1" customFormat="1">
      <c r="A81" s="18"/>
      <c r="B81" s="5" t="s">
        <v>70</v>
      </c>
      <c r="C81" s="5" t="s">
        <v>17</v>
      </c>
      <c r="D81" s="5">
        <v>1</v>
      </c>
      <c r="E81" s="7">
        <f>247*8*(A75/1974)</f>
        <v>265.26849037487335</v>
      </c>
      <c r="F81" s="35">
        <f>E81/A75</f>
        <v>1.0010131712259371</v>
      </c>
      <c r="G81" s="49">
        <f t="shared" si="20"/>
        <v>3.7735849056603774E-3</v>
      </c>
      <c r="H81" s="7">
        <f>36000*0.48</f>
        <v>17280</v>
      </c>
      <c r="I81" s="19">
        <f t="shared" si="19"/>
        <v>65.20754716981132</v>
      </c>
    </row>
    <row r="82" spans="1:11" s="1" customFormat="1">
      <c r="A82" s="18"/>
      <c r="B82" s="44" t="s">
        <v>61</v>
      </c>
      <c r="C82" s="5" t="s">
        <v>17</v>
      </c>
      <c r="D82" s="5">
        <v>1</v>
      </c>
      <c r="E82" s="7">
        <f>247*8*(A75/1974)</f>
        <v>265.26849037487335</v>
      </c>
      <c r="F82" s="35">
        <f>E82/A75</f>
        <v>1.0010131712259371</v>
      </c>
      <c r="G82" s="49">
        <f t="shared" si="20"/>
        <v>3.7735849056603774E-3</v>
      </c>
      <c r="H82" s="7">
        <f>25200*0.48</f>
        <v>12096</v>
      </c>
      <c r="I82" s="19">
        <f t="shared" si="19"/>
        <v>45.645283018867921</v>
      </c>
    </row>
    <row r="83" spans="1:11" s="1" customFormat="1">
      <c r="A83" s="36"/>
      <c r="B83" s="66" t="s">
        <v>92</v>
      </c>
      <c r="C83" s="5" t="s">
        <v>17</v>
      </c>
      <c r="D83" s="5">
        <v>1</v>
      </c>
      <c r="E83" s="7">
        <f>247*8*(A75/1974)</f>
        <v>265.26849037487335</v>
      </c>
      <c r="F83" s="35">
        <f>E83/A75</f>
        <v>1.0010131712259371</v>
      </c>
      <c r="G83" s="49">
        <f t="shared" si="20"/>
        <v>3.7735849056603774E-3</v>
      </c>
      <c r="H83" s="7">
        <f>(3038+6864)*0.48</f>
        <v>4752.96</v>
      </c>
      <c r="I83" s="19">
        <f t="shared" si="19"/>
        <v>17.935698113207547</v>
      </c>
    </row>
    <row r="84" spans="1:11" s="1" customFormat="1">
      <c r="A84" s="36"/>
      <c r="B84" s="66" t="s">
        <v>95</v>
      </c>
      <c r="C84" s="5" t="s">
        <v>17</v>
      </c>
      <c r="D84" s="5">
        <v>1</v>
      </c>
      <c r="E84" s="7">
        <f>247*8*(A75/1974)</f>
        <v>265.26849037487335</v>
      </c>
      <c r="F84" s="35">
        <f>E84/A75</f>
        <v>1.0010131712259371</v>
      </c>
      <c r="G84" s="49">
        <f t="shared" si="20"/>
        <v>3.7735849056603774E-3</v>
      </c>
      <c r="H84" s="7">
        <f>3500*0.48</f>
        <v>1680</v>
      </c>
      <c r="I84" s="19">
        <f t="shared" si="19"/>
        <v>6.3396226415094343</v>
      </c>
    </row>
    <row r="85" spans="1:11" s="1" customFormat="1">
      <c r="A85" s="36"/>
      <c r="B85" s="66" t="s">
        <v>64</v>
      </c>
      <c r="C85" s="5" t="s">
        <v>17</v>
      </c>
      <c r="D85" s="5">
        <v>1</v>
      </c>
      <c r="E85" s="7">
        <f>247*8*(A75/1974)</f>
        <v>265.26849037487335</v>
      </c>
      <c r="F85" s="35">
        <f>E85/A75</f>
        <v>1.0010131712259371</v>
      </c>
      <c r="G85" s="49">
        <f t="shared" si="20"/>
        <v>3.7735849056603774E-3</v>
      </c>
      <c r="H85" s="7">
        <f>2000*0.48</f>
        <v>960</v>
      </c>
      <c r="I85" s="19">
        <f t="shared" si="19"/>
        <v>3.6226415094339623</v>
      </c>
    </row>
    <row r="86" spans="1:11" s="1" customFormat="1" ht="13.5" customHeight="1">
      <c r="A86" s="36"/>
      <c r="B86" s="66" t="s">
        <v>65</v>
      </c>
      <c r="C86" s="5" t="s">
        <v>17</v>
      </c>
      <c r="D86" s="5">
        <v>1</v>
      </c>
      <c r="E86" s="7">
        <f>247*8*(A75/1974)</f>
        <v>265.26849037487335</v>
      </c>
      <c r="F86" s="35">
        <f>E86/A75</f>
        <v>1.0010131712259371</v>
      </c>
      <c r="G86" s="49">
        <f t="shared" si="20"/>
        <v>3.7735849056603774E-3</v>
      </c>
      <c r="H86" s="7">
        <f>852*0.48</f>
        <v>408.96</v>
      </c>
      <c r="I86" s="19">
        <f t="shared" si="19"/>
        <v>1.5432452830188679</v>
      </c>
    </row>
    <row r="87" spans="1:11" s="1" customFormat="1" ht="15.75" thickBot="1">
      <c r="A87" s="20"/>
      <c r="B87" s="21"/>
      <c r="C87" s="21"/>
      <c r="D87" s="21"/>
      <c r="E87" s="21"/>
      <c r="F87" s="21"/>
      <c r="G87" s="25"/>
      <c r="H87" s="51"/>
      <c r="I87" s="24">
        <f>SUM(I74:I86)</f>
        <v>363.12090566037728</v>
      </c>
      <c r="J87" s="68">
        <f>(184542-2348-18937+24000+6352+6864)*0.48</f>
        <v>96227.04</v>
      </c>
      <c r="K87" s="68">
        <f>I87*A75</f>
        <v>96227.039999999979</v>
      </c>
    </row>
    <row r="88" spans="1:11" ht="15.75" thickBot="1"/>
    <row r="89" spans="1:11">
      <c r="A89" s="13" t="s">
        <v>81</v>
      </c>
      <c r="B89" s="14" t="s">
        <v>36</v>
      </c>
      <c r="C89" s="14" t="s">
        <v>17</v>
      </c>
      <c r="D89" s="14">
        <v>1</v>
      </c>
      <c r="E89" s="16">
        <f>247*8*(A90/1974)</f>
        <v>354.35866261398178</v>
      </c>
      <c r="F89" s="34">
        <f>E89/A90</f>
        <v>1.0010131712259371</v>
      </c>
      <c r="G89" s="50">
        <f>D89/E89*F89</f>
        <v>2.8248587570621469E-3</v>
      </c>
      <c r="H89" s="15">
        <f>45796*0.39</f>
        <v>17860.440000000002</v>
      </c>
      <c r="I89" s="17">
        <f>H89*G89</f>
        <v>50.453220338983058</v>
      </c>
    </row>
    <row r="90" spans="1:11" s="1" customFormat="1">
      <c r="A90" s="64">
        <v>354</v>
      </c>
      <c r="B90" s="5" t="s">
        <v>37</v>
      </c>
      <c r="C90" s="5" t="s">
        <v>17</v>
      </c>
      <c r="D90" s="5">
        <v>1</v>
      </c>
      <c r="E90" s="7">
        <f>247*8*(A90/1974)</f>
        <v>354.35866261398178</v>
      </c>
      <c r="F90" s="35">
        <f>E90/A90</f>
        <v>1.0010131712259371</v>
      </c>
      <c r="G90" s="49">
        <f>D90/E90*F90</f>
        <v>2.8248587570621469E-3</v>
      </c>
      <c r="H90" s="6">
        <f>36000*0.39</f>
        <v>14040</v>
      </c>
      <c r="I90" s="19">
        <f t="shared" ref="I90:I99" si="21">H90*G90</f>
        <v>39.66101694915254</v>
      </c>
    </row>
    <row r="91" spans="1:11" s="1" customFormat="1">
      <c r="A91" s="18"/>
      <c r="B91" s="5" t="s">
        <v>38</v>
      </c>
      <c r="C91" s="5" t="s">
        <v>17</v>
      </c>
      <c r="D91" s="5">
        <v>1</v>
      </c>
      <c r="E91" s="7">
        <f>247*8*(A90/1974)</f>
        <v>354.35866261398178</v>
      </c>
      <c r="F91" s="35">
        <f>E91/A90</f>
        <v>1.0010131712259371</v>
      </c>
      <c r="G91" s="49">
        <f t="shared" ref="G91:G99" si="22">D91/E91*F91</f>
        <v>2.8248587570621469E-3</v>
      </c>
      <c r="H91" s="6">
        <f>(8400+48000)*0.39</f>
        <v>21996</v>
      </c>
      <c r="I91" s="19">
        <f t="shared" si="21"/>
        <v>62.135593220338983</v>
      </c>
    </row>
    <row r="92" spans="1:11" s="1" customFormat="1">
      <c r="A92" s="18"/>
      <c r="B92" s="5" t="s">
        <v>39</v>
      </c>
      <c r="C92" s="5" t="s">
        <v>17</v>
      </c>
      <c r="D92" s="5">
        <v>1</v>
      </c>
      <c r="E92" s="7">
        <f>247*8*(A90/1974)</f>
        <v>354.35866261398178</v>
      </c>
      <c r="F92" s="35">
        <f>E92/A90</f>
        <v>1.0010131712259371</v>
      </c>
      <c r="G92" s="49">
        <f t="shared" si="22"/>
        <v>2.8248587570621469E-3</v>
      </c>
      <c r="H92" s="7">
        <f>16474*0.39</f>
        <v>6424.8600000000006</v>
      </c>
      <c r="I92" s="19">
        <f t="shared" si="21"/>
        <v>18.149322033898308</v>
      </c>
    </row>
    <row r="93" spans="1:11" s="1" customFormat="1">
      <c r="A93" s="18"/>
      <c r="B93" s="5" t="s">
        <v>62</v>
      </c>
      <c r="C93" s="5" t="s">
        <v>17</v>
      </c>
      <c r="D93" s="5">
        <v>1</v>
      </c>
      <c r="E93" s="7">
        <f>247*8*(A90/1974)</f>
        <v>354.35866261398178</v>
      </c>
      <c r="F93" s="35">
        <f>E93/A90</f>
        <v>1.0010131712259371</v>
      </c>
      <c r="G93" s="49">
        <f t="shared" si="22"/>
        <v>2.8248587570621469E-3</v>
      </c>
      <c r="H93" s="7">
        <f>14001*0.39</f>
        <v>5460.39</v>
      </c>
      <c r="I93" s="19">
        <f t="shared" si="21"/>
        <v>15.424830508474576</v>
      </c>
    </row>
    <row r="94" spans="1:11" s="1" customFormat="1">
      <c r="A94" s="18"/>
      <c r="B94" s="5" t="s">
        <v>41</v>
      </c>
      <c r="C94" s="5" t="s">
        <v>17</v>
      </c>
      <c r="D94" s="5">
        <v>1</v>
      </c>
      <c r="E94" s="7">
        <f>247*8*(A90/1974)</f>
        <v>354.35866261398178</v>
      </c>
      <c r="F94" s="35">
        <f>E94/A90</f>
        <v>1.0010131712259371</v>
      </c>
      <c r="G94" s="49">
        <f t="shared" si="22"/>
        <v>2.8248587570621469E-3</v>
      </c>
      <c r="H94" s="7">
        <f>21000*0.39</f>
        <v>8190</v>
      </c>
      <c r="I94" s="19">
        <f t="shared" si="21"/>
        <v>23.135593220338983</v>
      </c>
    </row>
    <row r="95" spans="1:11" s="1" customFormat="1">
      <c r="A95" s="18"/>
      <c r="B95" s="5" t="s">
        <v>70</v>
      </c>
      <c r="C95" s="5" t="s">
        <v>17</v>
      </c>
      <c r="D95" s="5">
        <v>1</v>
      </c>
      <c r="E95" s="7">
        <f>247*8*(A90/1974)</f>
        <v>354.35866261398178</v>
      </c>
      <c r="F95" s="35">
        <f>E95/A90</f>
        <v>1.0010131712259371</v>
      </c>
      <c r="G95" s="49">
        <f t="shared" si="22"/>
        <v>2.8248587570621469E-3</v>
      </c>
      <c r="H95" s="7">
        <f>72000*0.39</f>
        <v>28080</v>
      </c>
      <c r="I95" s="19">
        <f t="shared" si="21"/>
        <v>79.322033898305079</v>
      </c>
    </row>
    <row r="96" spans="1:11" s="1" customFormat="1">
      <c r="A96" s="18"/>
      <c r="B96" s="44" t="s">
        <v>61</v>
      </c>
      <c r="C96" s="5" t="s">
        <v>17</v>
      </c>
      <c r="D96" s="5">
        <v>1</v>
      </c>
      <c r="E96" s="7">
        <f>247*8*(A90/1974)</f>
        <v>354.35866261398178</v>
      </c>
      <c r="F96" s="35">
        <f>E96/A90</f>
        <v>1.0010131712259371</v>
      </c>
      <c r="G96" s="49">
        <f t="shared" si="22"/>
        <v>2.8248587570621469E-3</v>
      </c>
      <c r="H96" s="7">
        <f>36000*0.39</f>
        <v>14040</v>
      </c>
      <c r="I96" s="19">
        <f t="shared" si="21"/>
        <v>39.66101694915254</v>
      </c>
    </row>
    <row r="97" spans="1:11" s="1" customFormat="1">
      <c r="A97" s="36"/>
      <c r="B97" s="66" t="s">
        <v>91</v>
      </c>
      <c r="C97" s="5" t="s">
        <v>17</v>
      </c>
      <c r="D97" s="5">
        <v>1</v>
      </c>
      <c r="E97" s="7">
        <f>247*8*(A90/1974)</f>
        <v>354.35866261398178</v>
      </c>
      <c r="F97" s="35">
        <f>E97/A90</f>
        <v>1.0010131712259371</v>
      </c>
      <c r="G97" s="49">
        <f t="shared" si="22"/>
        <v>2.8248587570621469E-3</v>
      </c>
      <c r="H97" s="7">
        <f>16800*0.39</f>
        <v>6552</v>
      </c>
      <c r="I97" s="19">
        <f t="shared" si="21"/>
        <v>18.508474576271187</v>
      </c>
    </row>
    <row r="98" spans="1:11" s="1" customFormat="1">
      <c r="A98" s="36"/>
      <c r="B98" s="66" t="s">
        <v>64</v>
      </c>
      <c r="C98" s="5" t="s">
        <v>17</v>
      </c>
      <c r="D98" s="5">
        <v>1</v>
      </c>
      <c r="E98" s="7">
        <f>247*8*(A90/1974)</f>
        <v>354.35866261398178</v>
      </c>
      <c r="F98" s="35">
        <f>E98/A90</f>
        <v>1.0010131712259371</v>
      </c>
      <c r="G98" s="49">
        <f t="shared" si="22"/>
        <v>2.8248587570621469E-3</v>
      </c>
      <c r="H98" s="7">
        <f>2000*0.39</f>
        <v>780</v>
      </c>
      <c r="I98" s="19">
        <f t="shared" si="21"/>
        <v>2.2033898305084745</v>
      </c>
    </row>
    <row r="99" spans="1:11" s="1" customFormat="1" ht="13.5" customHeight="1">
      <c r="A99" s="36"/>
      <c r="B99" s="66" t="s">
        <v>65</v>
      </c>
      <c r="C99" s="5" t="s">
        <v>17</v>
      </c>
      <c r="D99" s="5">
        <v>1</v>
      </c>
      <c r="E99" s="7">
        <f>247*8*(A90/1974)</f>
        <v>354.35866261398178</v>
      </c>
      <c r="F99" s="35">
        <f>E99/A90</f>
        <v>1.0010131712259371</v>
      </c>
      <c r="G99" s="49">
        <f t="shared" si="22"/>
        <v>2.8248587570621469E-3</v>
      </c>
      <c r="H99" s="7">
        <f>488*0.39</f>
        <v>190.32</v>
      </c>
      <c r="I99" s="19">
        <f t="shared" si="21"/>
        <v>0.53762711864406776</v>
      </c>
    </row>
    <row r="100" spans="1:11" s="1" customFormat="1" ht="15.75" thickBot="1">
      <c r="A100" s="20"/>
      <c r="B100" s="21"/>
      <c r="C100" s="21"/>
      <c r="D100" s="21"/>
      <c r="E100" s="21"/>
      <c r="F100" s="21"/>
      <c r="G100" s="25"/>
      <c r="H100" s="51"/>
      <c r="I100" s="24">
        <f>SUM(I89:I99)</f>
        <v>349.19211864406776</v>
      </c>
      <c r="J100" s="68">
        <f>(266471+48000+2488)*0.39</f>
        <v>123614.01000000001</v>
      </c>
      <c r="K100" s="68">
        <f>I100*A90</f>
        <v>123614.01</v>
      </c>
    </row>
    <row r="101" spans="1:11" ht="15.75" thickBot="1">
      <c r="E101" s="62"/>
    </row>
    <row r="102" spans="1:11">
      <c r="A102" s="13" t="s">
        <v>82</v>
      </c>
      <c r="B102" s="14" t="s">
        <v>36</v>
      </c>
      <c r="C102" s="14" t="s">
        <v>17</v>
      </c>
      <c r="D102" s="14">
        <v>1</v>
      </c>
      <c r="E102" s="16">
        <f>247*8*(A103/1974)</f>
        <v>93.094224924012153</v>
      </c>
      <c r="F102" s="34">
        <f>E102/A103</f>
        <v>1.0010131712259371</v>
      </c>
      <c r="G102" s="50">
        <f>D102/E102*F102</f>
        <v>1.0752688172043012E-2</v>
      </c>
      <c r="H102" s="15">
        <f>10904*0.41</f>
        <v>4470.6399999999994</v>
      </c>
      <c r="I102" s="17">
        <f>H102*G102</f>
        <v>48.071397849462365</v>
      </c>
    </row>
    <row r="103" spans="1:11" s="1" customFormat="1">
      <c r="A103" s="64">
        <v>93</v>
      </c>
      <c r="B103" s="5" t="s">
        <v>37</v>
      </c>
      <c r="C103" s="5" t="s">
        <v>17</v>
      </c>
      <c r="D103" s="5">
        <v>1</v>
      </c>
      <c r="E103" s="7">
        <f>247*8*(A103/1974)</f>
        <v>93.094224924012153</v>
      </c>
      <c r="F103" s="35">
        <f>E103/A103</f>
        <v>1.0010131712259371</v>
      </c>
      <c r="G103" s="49">
        <f>D103/E103*F103</f>
        <v>1.0752688172043012E-2</v>
      </c>
      <c r="H103" s="6">
        <f>24000*0.41</f>
        <v>9840</v>
      </c>
      <c r="I103" s="19">
        <f t="shared" ref="I103:I113" si="23">H103*G103</f>
        <v>105.80645161290323</v>
      </c>
    </row>
    <row r="104" spans="1:11" s="1" customFormat="1">
      <c r="A104" s="18"/>
      <c r="B104" s="5" t="s">
        <v>40</v>
      </c>
      <c r="C104" s="5" t="s">
        <v>17</v>
      </c>
      <c r="D104" s="5">
        <v>1</v>
      </c>
      <c r="E104" s="7">
        <f>247*8*(A103/1974)</f>
        <v>93.094224924012153</v>
      </c>
      <c r="F104" s="35">
        <f>E104/A103</f>
        <v>1.0010131712259371</v>
      </c>
      <c r="G104" s="49">
        <f>D104/E104*F104</f>
        <v>1.0752688172043012E-2</v>
      </c>
      <c r="H104" s="6">
        <f>18000*0.41</f>
        <v>7380</v>
      </c>
      <c r="I104" s="19">
        <f t="shared" si="23"/>
        <v>79.354838709677423</v>
      </c>
    </row>
    <row r="105" spans="1:11" s="1" customFormat="1">
      <c r="A105" s="18"/>
      <c r="B105" s="5" t="s">
        <v>38</v>
      </c>
      <c r="C105" s="5" t="s">
        <v>17</v>
      </c>
      <c r="D105" s="5">
        <v>1</v>
      </c>
      <c r="E105" s="7">
        <f>247*8*(A103/1974)</f>
        <v>93.094224924012153</v>
      </c>
      <c r="F105" s="35">
        <f>E105/A103</f>
        <v>1.0010131712259371</v>
      </c>
      <c r="G105" s="49">
        <f t="shared" ref="G105:G113" si="24">D105/E105*F105</f>
        <v>1.0752688172043012E-2</v>
      </c>
      <c r="H105" s="6">
        <f>(5292+24000)*0.41</f>
        <v>12009.72</v>
      </c>
      <c r="I105" s="19">
        <f t="shared" si="23"/>
        <v>129.13677419354838</v>
      </c>
    </row>
    <row r="106" spans="1:11" s="1" customFormat="1">
      <c r="A106" s="18"/>
      <c r="B106" s="5" t="s">
        <v>39</v>
      </c>
      <c r="C106" s="5" t="s">
        <v>17</v>
      </c>
      <c r="D106" s="5">
        <v>1</v>
      </c>
      <c r="E106" s="7">
        <f>247*8*(A103/1974)</f>
        <v>93.094224924012153</v>
      </c>
      <c r="F106" s="35">
        <f>E106/A103</f>
        <v>1.0010131712259371</v>
      </c>
      <c r="G106" s="49">
        <f t="shared" si="24"/>
        <v>1.0752688172043012E-2</v>
      </c>
      <c r="H106" s="7">
        <f>11299*0.41</f>
        <v>4632.59</v>
      </c>
      <c r="I106" s="19">
        <f t="shared" si="23"/>
        <v>49.812795698924738</v>
      </c>
    </row>
    <row r="107" spans="1:11" s="1" customFormat="1">
      <c r="A107" s="18"/>
      <c r="B107" s="5" t="s">
        <v>62</v>
      </c>
      <c r="C107" s="5" t="s">
        <v>17</v>
      </c>
      <c r="D107" s="5">
        <v>1</v>
      </c>
      <c r="E107" s="7">
        <f>247*8*(A103/1974)</f>
        <v>93.094224924012153</v>
      </c>
      <c r="F107" s="35">
        <f>E107/A103</f>
        <v>1.0010131712259371</v>
      </c>
      <c r="G107" s="49">
        <f t="shared" si="24"/>
        <v>1.0752688172043012E-2</v>
      </c>
      <c r="H107" s="7">
        <f>6500*0.41</f>
        <v>2665</v>
      </c>
      <c r="I107" s="19">
        <f t="shared" si="23"/>
        <v>28.655913978494628</v>
      </c>
    </row>
    <row r="108" spans="1:11" s="1" customFormat="1">
      <c r="A108" s="18"/>
      <c r="B108" s="5" t="s">
        <v>41</v>
      </c>
      <c r="C108" s="5" t="s">
        <v>17</v>
      </c>
      <c r="D108" s="5">
        <v>1</v>
      </c>
      <c r="E108" s="7">
        <f>247*8*(A103/1974)</f>
        <v>93.094224924012153</v>
      </c>
      <c r="F108" s="35">
        <f>E108/A103</f>
        <v>1.0010131712259371</v>
      </c>
      <c r="G108" s="49">
        <f t="shared" si="24"/>
        <v>1.0752688172043012E-2</v>
      </c>
      <c r="H108" s="7">
        <f>5880*0.41</f>
        <v>2410.7999999999997</v>
      </c>
      <c r="I108" s="19">
        <f t="shared" si="23"/>
        <v>25.92258064516129</v>
      </c>
    </row>
    <row r="109" spans="1:11" s="1" customFormat="1">
      <c r="A109" s="18"/>
      <c r="B109" s="5" t="s">
        <v>70</v>
      </c>
      <c r="C109" s="5" t="s">
        <v>17</v>
      </c>
      <c r="D109" s="5">
        <v>1</v>
      </c>
      <c r="E109" s="7">
        <f>247*8*(A103/1974)</f>
        <v>93.094224924012153</v>
      </c>
      <c r="F109" s="35">
        <f>E109/A103</f>
        <v>1.0010131712259371</v>
      </c>
      <c r="G109" s="49">
        <f t="shared" si="24"/>
        <v>1.0752688172043012E-2</v>
      </c>
      <c r="H109" s="7">
        <f>36000*0.41</f>
        <v>14760</v>
      </c>
      <c r="I109" s="19">
        <f t="shared" si="23"/>
        <v>158.70967741935485</v>
      </c>
    </row>
    <row r="110" spans="1:11" s="1" customFormat="1">
      <c r="A110" s="18"/>
      <c r="B110" s="44" t="s">
        <v>61</v>
      </c>
      <c r="C110" s="5" t="s">
        <v>17</v>
      </c>
      <c r="D110" s="5">
        <v>1</v>
      </c>
      <c r="E110" s="7">
        <f>247*8*(A103/1974)</f>
        <v>93.094224924012153</v>
      </c>
      <c r="F110" s="35">
        <f>E110/A103</f>
        <v>1.0010131712259371</v>
      </c>
      <c r="G110" s="49">
        <f t="shared" si="24"/>
        <v>1.0752688172043012E-2</v>
      </c>
      <c r="H110" s="7">
        <f>25200*0.41</f>
        <v>10332</v>
      </c>
      <c r="I110" s="19">
        <f t="shared" si="23"/>
        <v>111.0967741935484</v>
      </c>
    </row>
    <row r="111" spans="1:11" s="1" customFormat="1">
      <c r="A111" s="36"/>
      <c r="B111" s="66" t="s">
        <v>91</v>
      </c>
      <c r="C111" s="5" t="s">
        <v>17</v>
      </c>
      <c r="D111" s="5">
        <v>1</v>
      </c>
      <c r="E111" s="7">
        <f>247*8*(A103/1974)</f>
        <v>93.094224924012153</v>
      </c>
      <c r="F111" s="35">
        <f>E111/A103</f>
        <v>1.0010131712259371</v>
      </c>
      <c r="G111" s="49">
        <f t="shared" si="24"/>
        <v>1.0752688172043012E-2</v>
      </c>
      <c r="H111" s="7">
        <f>12000*0.41</f>
        <v>4920</v>
      </c>
      <c r="I111" s="19">
        <f t="shared" si="23"/>
        <v>52.903225806451616</v>
      </c>
    </row>
    <row r="112" spans="1:11" s="1" customFormat="1">
      <c r="A112" s="36"/>
      <c r="B112" s="66" t="s">
        <v>64</v>
      </c>
      <c r="C112" s="5" t="s">
        <v>17</v>
      </c>
      <c r="D112" s="5">
        <v>1</v>
      </c>
      <c r="E112" s="7">
        <f>247*8*(A103/1974)</f>
        <v>93.094224924012153</v>
      </c>
      <c r="F112" s="35">
        <f>E112/A103</f>
        <v>1.0010131712259371</v>
      </c>
      <c r="G112" s="49">
        <f t="shared" si="24"/>
        <v>1.0752688172043012E-2</v>
      </c>
      <c r="H112" s="7">
        <f>2000*0.41</f>
        <v>820</v>
      </c>
      <c r="I112" s="19">
        <f t="shared" si="23"/>
        <v>8.8172043010752699</v>
      </c>
    </row>
    <row r="113" spans="1:11" s="1" customFormat="1" ht="13.5" customHeight="1">
      <c r="A113" s="36"/>
      <c r="B113" s="66" t="s">
        <v>65</v>
      </c>
      <c r="C113" s="5" t="s">
        <v>17</v>
      </c>
      <c r="D113" s="5">
        <v>1</v>
      </c>
      <c r="E113" s="7">
        <f>247*8*(A103/1974)</f>
        <v>93.094224924012153</v>
      </c>
      <c r="F113" s="35">
        <f>E113/A103</f>
        <v>1.0010131712259371</v>
      </c>
      <c r="G113" s="49">
        <f t="shared" si="24"/>
        <v>1.0752688172043012E-2</v>
      </c>
      <c r="H113" s="7">
        <f>115*0.41</f>
        <v>47.15</v>
      </c>
      <c r="I113" s="19">
        <f t="shared" si="23"/>
        <v>0.50698924731182793</v>
      </c>
    </row>
    <row r="114" spans="1:11" s="1" customFormat="1" ht="15.75" thickBot="1">
      <c r="A114" s="20"/>
      <c r="B114" s="21"/>
      <c r="C114" s="21"/>
      <c r="D114" s="21"/>
      <c r="E114" s="21"/>
      <c r="F114" s="21"/>
      <c r="G114" s="25"/>
      <c r="H114" s="51"/>
      <c r="I114" s="24">
        <f>SUM(I102:I113)</f>
        <v>798.79462365591405</v>
      </c>
      <c r="J114" s="68">
        <f>(155075+24000+2115)*0.41</f>
        <v>74287.899999999994</v>
      </c>
      <c r="K114" s="68">
        <f>I114*A103</f>
        <v>74287.900000000009</v>
      </c>
    </row>
    <row r="115" spans="1:11">
      <c r="A115" s="13" t="s">
        <v>83</v>
      </c>
      <c r="B115" s="14" t="s">
        <v>36</v>
      </c>
      <c r="C115" s="14" t="s">
        <v>17</v>
      </c>
      <c r="D115" s="14">
        <v>1</v>
      </c>
      <c r="E115" s="16">
        <f>247*8*(A116/1974)</f>
        <v>106.10739614994934</v>
      </c>
      <c r="F115" s="34">
        <f>E115/A116</f>
        <v>1.0010131712259371</v>
      </c>
      <c r="G115" s="50">
        <f>D115/E115*F115</f>
        <v>9.433962264150943E-3</v>
      </c>
      <c r="H115" s="15">
        <f>10032*0.52</f>
        <v>5216.6400000000003</v>
      </c>
      <c r="I115" s="17">
        <f>H115*G115</f>
        <v>49.213584905660376</v>
      </c>
    </row>
    <row r="116" spans="1:11" s="1" customFormat="1">
      <c r="A116" s="64">
        <v>106</v>
      </c>
      <c r="B116" s="5" t="s">
        <v>37</v>
      </c>
      <c r="C116" s="5" t="s">
        <v>17</v>
      </c>
      <c r="D116" s="5">
        <v>1</v>
      </c>
      <c r="E116" s="7">
        <f>247*8*(A116/1974)</f>
        <v>106.10739614994934</v>
      </c>
      <c r="F116" s="35">
        <f>E116/A116</f>
        <v>1.0010131712259371</v>
      </c>
      <c r="G116" s="49">
        <f>D116/E116*F116</f>
        <v>9.433962264150943E-3</v>
      </c>
      <c r="H116" s="6">
        <f>24000*0.52</f>
        <v>12480</v>
      </c>
      <c r="I116" s="19">
        <f t="shared" ref="I116:I126" si="25">H116*G116</f>
        <v>117.73584905660377</v>
      </c>
    </row>
    <row r="117" spans="1:11" s="1" customFormat="1">
      <c r="A117" s="18"/>
      <c r="B117" s="5" t="s">
        <v>40</v>
      </c>
      <c r="C117" s="5" t="s">
        <v>17</v>
      </c>
      <c r="D117" s="5">
        <v>1</v>
      </c>
      <c r="E117" s="7">
        <f>247*8*(A116/1974)</f>
        <v>106.10739614994934</v>
      </c>
      <c r="F117" s="35">
        <f>E117/A116</f>
        <v>1.0010131712259371</v>
      </c>
      <c r="G117" s="49">
        <f>D117/E117*F117</f>
        <v>9.433962264150943E-3</v>
      </c>
      <c r="H117" s="6">
        <f>18000*0.52</f>
        <v>9360</v>
      </c>
      <c r="I117" s="19">
        <f t="shared" si="25"/>
        <v>88.301886792452834</v>
      </c>
    </row>
    <row r="118" spans="1:11" s="1" customFormat="1">
      <c r="A118" s="18"/>
      <c r="B118" s="5" t="s">
        <v>38</v>
      </c>
      <c r="C118" s="5" t="s">
        <v>17</v>
      </c>
      <c r="D118" s="5">
        <v>1</v>
      </c>
      <c r="E118" s="7">
        <f>247*8*(A116/1974)</f>
        <v>106.10739614994934</v>
      </c>
      <c r="F118" s="35">
        <f>E118/A116</f>
        <v>1.0010131712259371</v>
      </c>
      <c r="G118" s="49">
        <f t="shared" ref="G118:G126" si="26">D118/E118*F118</f>
        <v>9.433962264150943E-3</v>
      </c>
      <c r="H118" s="6">
        <f>(5292+24000)*0.52</f>
        <v>15231.84</v>
      </c>
      <c r="I118" s="19">
        <f t="shared" si="25"/>
        <v>143.69660377358491</v>
      </c>
    </row>
    <row r="119" spans="1:11" s="1" customFormat="1">
      <c r="A119" s="18"/>
      <c r="B119" s="5" t="s">
        <v>39</v>
      </c>
      <c r="C119" s="5" t="s">
        <v>17</v>
      </c>
      <c r="D119" s="5">
        <v>1</v>
      </c>
      <c r="E119" s="7">
        <f>247*8*(A116/1974)</f>
        <v>106.10739614994934</v>
      </c>
      <c r="F119" s="35">
        <f>E119/A116</f>
        <v>1.0010131712259371</v>
      </c>
      <c r="G119" s="49">
        <f t="shared" si="26"/>
        <v>9.433962264150943E-3</v>
      </c>
      <c r="H119" s="7">
        <f>12671*0.52</f>
        <v>6588.92</v>
      </c>
      <c r="I119" s="19">
        <f t="shared" si="25"/>
        <v>62.159622641509429</v>
      </c>
    </row>
    <row r="120" spans="1:11" s="1" customFormat="1">
      <c r="A120" s="18"/>
      <c r="B120" s="5" t="s">
        <v>62</v>
      </c>
      <c r="C120" s="5" t="s">
        <v>17</v>
      </c>
      <c r="D120" s="5">
        <v>1</v>
      </c>
      <c r="E120" s="7">
        <f>247*8*(A116/1974)</f>
        <v>106.10739614994934</v>
      </c>
      <c r="F120" s="35">
        <f>E120/A116</f>
        <v>1.0010131712259371</v>
      </c>
      <c r="G120" s="49">
        <f t="shared" si="26"/>
        <v>9.433962264150943E-3</v>
      </c>
      <c r="H120" s="7">
        <f>8400*0.52</f>
        <v>4368</v>
      </c>
      <c r="I120" s="19">
        <f t="shared" si="25"/>
        <v>41.20754716981132</v>
      </c>
    </row>
    <row r="121" spans="1:11" s="1" customFormat="1">
      <c r="A121" s="18"/>
      <c r="B121" s="5" t="s">
        <v>41</v>
      </c>
      <c r="C121" s="5" t="s">
        <v>17</v>
      </c>
      <c r="D121" s="5">
        <v>1</v>
      </c>
      <c r="E121" s="7">
        <f>247*8*(A116/1974)</f>
        <v>106.10739614994934</v>
      </c>
      <c r="F121" s="35">
        <f>E121/A116</f>
        <v>1.0010131712259371</v>
      </c>
      <c r="G121" s="49">
        <f t="shared" si="26"/>
        <v>9.433962264150943E-3</v>
      </c>
      <c r="H121" s="7">
        <f>5920*0.52</f>
        <v>3078.4</v>
      </c>
      <c r="I121" s="19">
        <f t="shared" si="25"/>
        <v>29.041509433962265</v>
      </c>
    </row>
    <row r="122" spans="1:11" s="1" customFormat="1">
      <c r="A122" s="18"/>
      <c r="B122" s="5" t="s">
        <v>70</v>
      </c>
      <c r="C122" s="5" t="s">
        <v>17</v>
      </c>
      <c r="D122" s="5">
        <v>1</v>
      </c>
      <c r="E122" s="7">
        <f>247*8*(A116/1974)</f>
        <v>106.10739614994934</v>
      </c>
      <c r="F122" s="35">
        <f>E122/A116</f>
        <v>1.0010131712259371</v>
      </c>
      <c r="G122" s="49">
        <f t="shared" si="26"/>
        <v>9.433962264150943E-3</v>
      </c>
      <c r="H122" s="7">
        <f>36000*0.52</f>
        <v>18720</v>
      </c>
      <c r="I122" s="19">
        <f t="shared" si="25"/>
        <v>176.60377358490567</v>
      </c>
    </row>
    <row r="123" spans="1:11" s="1" customFormat="1">
      <c r="A123" s="18"/>
      <c r="B123" s="44" t="s">
        <v>61</v>
      </c>
      <c r="C123" s="5" t="s">
        <v>17</v>
      </c>
      <c r="D123" s="5">
        <v>1</v>
      </c>
      <c r="E123" s="7">
        <f>247*8*(A116/1974)</f>
        <v>106.10739614994934</v>
      </c>
      <c r="F123" s="35">
        <f>E123/A116</f>
        <v>1.0010131712259371</v>
      </c>
      <c r="G123" s="49">
        <f t="shared" si="26"/>
        <v>9.433962264150943E-3</v>
      </c>
      <c r="H123" s="7">
        <f>26400*0.52</f>
        <v>13728</v>
      </c>
      <c r="I123" s="19">
        <f t="shared" si="25"/>
        <v>129.50943396226415</v>
      </c>
    </row>
    <row r="124" spans="1:11" s="1" customFormat="1">
      <c r="A124" s="36"/>
      <c r="B124" s="66" t="s">
        <v>91</v>
      </c>
      <c r="C124" s="5" t="s">
        <v>17</v>
      </c>
      <c r="D124" s="5">
        <v>1</v>
      </c>
      <c r="E124" s="7">
        <f>247*8*(A116/1974)</f>
        <v>106.10739614994934</v>
      </c>
      <c r="F124" s="35">
        <f>E124/A116</f>
        <v>1.0010131712259371</v>
      </c>
      <c r="G124" s="49">
        <f t="shared" si="26"/>
        <v>9.433962264150943E-3</v>
      </c>
      <c r="H124" s="7">
        <f>12000*0.52</f>
        <v>6240</v>
      </c>
      <c r="I124" s="19">
        <f t="shared" si="25"/>
        <v>58.867924528301884</v>
      </c>
    </row>
    <row r="125" spans="1:11" s="1" customFormat="1">
      <c r="A125" s="36"/>
      <c r="B125" s="66" t="s">
        <v>64</v>
      </c>
      <c r="C125" s="5" t="s">
        <v>17</v>
      </c>
      <c r="D125" s="5">
        <v>1</v>
      </c>
      <c r="E125" s="7">
        <f>247*8*(A116/1974)</f>
        <v>106.10739614994934</v>
      </c>
      <c r="F125" s="35">
        <f>E125/A116</f>
        <v>1.0010131712259371</v>
      </c>
      <c r="G125" s="49">
        <f t="shared" si="26"/>
        <v>9.433962264150943E-3</v>
      </c>
      <c r="H125" s="7">
        <f>2000*0.52</f>
        <v>1040</v>
      </c>
      <c r="I125" s="19">
        <f t="shared" si="25"/>
        <v>9.8113207547169807</v>
      </c>
    </row>
    <row r="126" spans="1:11" s="1" customFormat="1" ht="13.5" customHeight="1">
      <c r="A126" s="36"/>
      <c r="B126" s="66" t="s">
        <v>65</v>
      </c>
      <c r="C126" s="5" t="s">
        <v>17</v>
      </c>
      <c r="D126" s="5">
        <v>1</v>
      </c>
      <c r="E126" s="7">
        <f>247*8*(A116/1974)</f>
        <v>106.10739614994934</v>
      </c>
      <c r="F126" s="35">
        <f>E126/A116</f>
        <v>1.0010131712259371</v>
      </c>
      <c r="G126" s="49">
        <f t="shared" si="26"/>
        <v>9.433962264150943E-3</v>
      </c>
      <c r="H126" s="7">
        <f>97*0.52</f>
        <v>50.440000000000005</v>
      </c>
      <c r="I126" s="19">
        <f t="shared" si="25"/>
        <v>0.47584905660377363</v>
      </c>
    </row>
    <row r="127" spans="1:11" s="1" customFormat="1" ht="15.75" thickBot="1">
      <c r="A127" s="20"/>
      <c r="B127" s="21"/>
      <c r="C127" s="21"/>
      <c r="D127" s="21"/>
      <c r="E127" s="21"/>
      <c r="F127" s="21"/>
      <c r="G127" s="25"/>
      <c r="H127" s="51"/>
      <c r="I127" s="24">
        <f>SUM(I115:I126)</f>
        <v>906.62490566037729</v>
      </c>
      <c r="J127" s="68">
        <f>(158715+24000+2097)*0.52</f>
        <v>96102.24</v>
      </c>
      <c r="K127" s="68">
        <f>I127*A116</f>
        <v>96102.239999999991</v>
      </c>
    </row>
    <row r="129" spans="1:20" ht="19.5" thickBot="1">
      <c r="A129" s="73" t="s">
        <v>85</v>
      </c>
      <c r="H129"/>
      <c r="S129" s="1"/>
      <c r="T129" s="1"/>
    </row>
    <row r="130" spans="1:20" ht="105">
      <c r="A130" s="27" t="s">
        <v>2</v>
      </c>
      <c r="B130" s="28" t="s">
        <v>15</v>
      </c>
      <c r="C130" s="28" t="s">
        <v>14</v>
      </c>
      <c r="D130" s="28" t="s">
        <v>16</v>
      </c>
      <c r="E130" s="28" t="s">
        <v>27</v>
      </c>
      <c r="F130" s="28" t="s">
        <v>60</v>
      </c>
      <c r="G130" s="28" t="s">
        <v>29</v>
      </c>
      <c r="H130" s="28" t="s">
        <v>30</v>
      </c>
      <c r="I130" s="28" t="s">
        <v>11</v>
      </c>
      <c r="J130" s="2" t="s">
        <v>34</v>
      </c>
      <c r="K130" s="2" t="s">
        <v>33</v>
      </c>
    </row>
    <row r="131" spans="1:20" ht="15.75" thickBot="1">
      <c r="A131" s="47">
        <v>1</v>
      </c>
      <c r="B131" s="10">
        <v>2</v>
      </c>
      <c r="C131" s="10">
        <v>3</v>
      </c>
      <c r="D131" s="10">
        <v>4</v>
      </c>
      <c r="E131" s="10">
        <v>5</v>
      </c>
      <c r="F131" s="10">
        <v>6</v>
      </c>
      <c r="G131" s="10" t="s">
        <v>31</v>
      </c>
      <c r="H131" s="9">
        <v>8</v>
      </c>
      <c r="I131" s="48" t="s">
        <v>32</v>
      </c>
    </row>
    <row r="132" spans="1:20">
      <c r="A132" s="13" t="s">
        <v>71</v>
      </c>
      <c r="B132" s="14" t="s">
        <v>36</v>
      </c>
      <c r="C132" s="14" t="s">
        <v>17</v>
      </c>
      <c r="D132" s="14">
        <v>1</v>
      </c>
      <c r="E132" s="16">
        <f>247*8*(A133/1974)</f>
        <v>211.21377912867277</v>
      </c>
      <c r="F132" s="34">
        <f>E132/A133</f>
        <v>1.0010131712259374</v>
      </c>
      <c r="G132" s="50">
        <f>D132/E132*F132</f>
        <v>4.7393364928909956E-3</v>
      </c>
      <c r="H132" s="15">
        <f>23989*0.46</f>
        <v>11034.94</v>
      </c>
      <c r="I132" s="17">
        <f>H132*G132</f>
        <v>52.298293838862563</v>
      </c>
    </row>
    <row r="133" spans="1:20" s="1" customFormat="1">
      <c r="A133" s="64">
        <v>211</v>
      </c>
      <c r="B133" s="5" t="s">
        <v>37</v>
      </c>
      <c r="C133" s="5" t="s">
        <v>17</v>
      </c>
      <c r="D133" s="5">
        <v>1</v>
      </c>
      <c r="E133" s="7">
        <f>247*8*(A133/1974)</f>
        <v>211.21377912867277</v>
      </c>
      <c r="F133" s="35">
        <f>E133/A133</f>
        <v>1.0010131712259374</v>
      </c>
      <c r="G133" s="49">
        <f>D133/E133*F133</f>
        <v>4.7393364928909956E-3</v>
      </c>
      <c r="H133" s="6">
        <f>19200*0.46</f>
        <v>8832</v>
      </c>
      <c r="I133" s="19">
        <f t="shared" ref="I133:I146" si="27">H133*G133</f>
        <v>41.857819905213276</v>
      </c>
    </row>
    <row r="134" spans="1:20" s="1" customFormat="1">
      <c r="A134" s="18"/>
      <c r="B134" s="5" t="s">
        <v>40</v>
      </c>
      <c r="C134" s="5" t="s">
        <v>17</v>
      </c>
      <c r="D134" s="5">
        <v>1</v>
      </c>
      <c r="E134" s="7">
        <f>247*8*(A133/1974)</f>
        <v>211.21377912867277</v>
      </c>
      <c r="F134" s="35">
        <f>E134/A133</f>
        <v>1.0010131712259374</v>
      </c>
      <c r="G134" s="49">
        <f>D134/E134*F134</f>
        <v>4.7393364928909956E-3</v>
      </c>
      <c r="H134" s="6">
        <f>6000*0.46</f>
        <v>2760</v>
      </c>
      <c r="I134" s="19">
        <f t="shared" si="27"/>
        <v>13.080568720379148</v>
      </c>
    </row>
    <row r="135" spans="1:20" s="1" customFormat="1">
      <c r="A135" s="18"/>
      <c r="B135" s="5" t="s">
        <v>38</v>
      </c>
      <c r="C135" s="5" t="s">
        <v>17</v>
      </c>
      <c r="D135" s="5">
        <v>1</v>
      </c>
      <c r="E135" s="7">
        <f>247*8*(A133/1974)</f>
        <v>211.21377912867277</v>
      </c>
      <c r="F135" s="35">
        <f>E135/A133</f>
        <v>1.0010131712259374</v>
      </c>
      <c r="G135" s="49">
        <f t="shared" ref="G135:G146" si="28">D135/E135*F135</f>
        <v>4.7393364928909956E-3</v>
      </c>
      <c r="H135" s="6">
        <f>(5292+24000)*0.46</f>
        <v>13474.32</v>
      </c>
      <c r="I135" s="19">
        <f t="shared" si="27"/>
        <v>63.859336492890996</v>
      </c>
    </row>
    <row r="136" spans="1:20" s="1" customFormat="1">
      <c r="A136" s="18"/>
      <c r="B136" s="5" t="s">
        <v>39</v>
      </c>
      <c r="C136" s="5" t="s">
        <v>17</v>
      </c>
      <c r="D136" s="5">
        <v>1</v>
      </c>
      <c r="E136" s="7">
        <f>247*8*(A133/1974)</f>
        <v>211.21377912867277</v>
      </c>
      <c r="F136" s="35">
        <f>E136/A133</f>
        <v>1.0010131712259374</v>
      </c>
      <c r="G136" s="49">
        <f t="shared" si="28"/>
        <v>4.7393364928909956E-3</v>
      </c>
      <c r="H136" s="7">
        <f>9944*0.46</f>
        <v>4574.24</v>
      </c>
      <c r="I136" s="19">
        <f t="shared" si="27"/>
        <v>21.678862559241708</v>
      </c>
    </row>
    <row r="137" spans="1:20" s="1" customFormat="1">
      <c r="A137" s="18"/>
      <c r="B137" s="5" t="s">
        <v>62</v>
      </c>
      <c r="C137" s="5" t="s">
        <v>17</v>
      </c>
      <c r="D137" s="5">
        <v>1</v>
      </c>
      <c r="E137" s="7">
        <f>247*8*(A133/1974)</f>
        <v>211.21377912867277</v>
      </c>
      <c r="F137" s="35">
        <f>E137/A133</f>
        <v>1.0010131712259374</v>
      </c>
      <c r="G137" s="49">
        <f t="shared" si="28"/>
        <v>4.7393364928909956E-3</v>
      </c>
      <c r="H137" s="7">
        <f>8000*0.46</f>
        <v>3680</v>
      </c>
      <c r="I137" s="19">
        <f t="shared" si="27"/>
        <v>17.440758293838865</v>
      </c>
    </row>
    <row r="138" spans="1:20" s="1" customFormat="1">
      <c r="A138" s="18"/>
      <c r="B138" s="5" t="s">
        <v>41</v>
      </c>
      <c r="C138" s="5" t="s">
        <v>17</v>
      </c>
      <c r="D138" s="5">
        <v>1</v>
      </c>
      <c r="E138" s="7">
        <f>247*8*(A133/1974)</f>
        <v>211.21377912867277</v>
      </c>
      <c r="F138" s="35">
        <f>E138/A133</f>
        <v>1.0010131712259374</v>
      </c>
      <c r="G138" s="49">
        <f t="shared" si="28"/>
        <v>4.7393364928909956E-3</v>
      </c>
      <c r="H138" s="7">
        <f>11400*0.46</f>
        <v>5244</v>
      </c>
      <c r="I138" s="19">
        <f t="shared" si="27"/>
        <v>24.85308056872038</v>
      </c>
    </row>
    <row r="139" spans="1:20" s="1" customFormat="1">
      <c r="A139" s="18"/>
      <c r="B139" s="5" t="s">
        <v>70</v>
      </c>
      <c r="C139" s="5" t="s">
        <v>17</v>
      </c>
      <c r="D139" s="5">
        <v>1</v>
      </c>
      <c r="E139" s="7">
        <f>247*8*(A133/1974)</f>
        <v>211.21377912867277</v>
      </c>
      <c r="F139" s="35">
        <f>E139/A133</f>
        <v>1.0010131712259374</v>
      </c>
      <c r="G139" s="49">
        <f t="shared" si="28"/>
        <v>4.7393364928909956E-3</v>
      </c>
      <c r="H139" s="7">
        <f>36000*0.46</f>
        <v>16560</v>
      </c>
      <c r="I139" s="19">
        <f t="shared" si="27"/>
        <v>78.483412322274887</v>
      </c>
    </row>
    <row r="140" spans="1:20" s="1" customFormat="1">
      <c r="A140" s="18"/>
      <c r="B140" s="44" t="s">
        <v>61</v>
      </c>
      <c r="C140" s="5" t="s">
        <v>17</v>
      </c>
      <c r="D140" s="5">
        <v>1</v>
      </c>
      <c r="E140" s="7">
        <f>247*8*(A133/1974)</f>
        <v>211.21377912867277</v>
      </c>
      <c r="F140" s="35">
        <f>E140/A133</f>
        <v>1.0010131712259374</v>
      </c>
      <c r="G140" s="49">
        <f t="shared" si="28"/>
        <v>4.7393364928909956E-3</v>
      </c>
      <c r="H140" s="7">
        <f>25200*0.46</f>
        <v>11592</v>
      </c>
      <c r="I140" s="19">
        <f t="shared" si="27"/>
        <v>54.938388625592424</v>
      </c>
    </row>
    <row r="141" spans="1:20" s="1" customFormat="1">
      <c r="A141" s="36"/>
      <c r="B141" s="66" t="s">
        <v>91</v>
      </c>
      <c r="C141" s="5" t="s">
        <v>17</v>
      </c>
      <c r="D141" s="5">
        <v>1</v>
      </c>
      <c r="E141" s="7">
        <f>247*8*(A133/1974)</f>
        <v>211.21377912867277</v>
      </c>
      <c r="F141" s="35">
        <f>E141/A133</f>
        <v>1.0010131712259374</v>
      </c>
      <c r="G141" s="49">
        <f t="shared" si="28"/>
        <v>4.7393364928909956E-3</v>
      </c>
      <c r="H141" s="7">
        <f>6000*0.46</f>
        <v>2760</v>
      </c>
      <c r="I141" s="19">
        <f t="shared" si="27"/>
        <v>13.080568720379148</v>
      </c>
    </row>
    <row r="142" spans="1:20" s="1" customFormat="1">
      <c r="A142" s="36"/>
      <c r="B142" s="66" t="s">
        <v>92</v>
      </c>
      <c r="C142" s="5" t="s">
        <v>17</v>
      </c>
      <c r="D142" s="5">
        <v>1</v>
      </c>
      <c r="E142" s="7">
        <f>247*8*(A133/1974)</f>
        <v>211.21377912867277</v>
      </c>
      <c r="F142" s="35">
        <f>E142/A133</f>
        <v>1.0010131712259374</v>
      </c>
      <c r="G142" s="49">
        <f t="shared" si="28"/>
        <v>4.7393364928909956E-3</v>
      </c>
      <c r="H142" s="7">
        <f>(3038+6864)*0.46</f>
        <v>4554.92</v>
      </c>
      <c r="I142" s="19">
        <f t="shared" si="27"/>
        <v>21.587298578199054</v>
      </c>
    </row>
    <row r="143" spans="1:20" s="1" customFormat="1">
      <c r="A143" s="36"/>
      <c r="B143" s="66" t="s">
        <v>93</v>
      </c>
      <c r="C143" s="5" t="s">
        <v>17</v>
      </c>
      <c r="D143" s="5">
        <v>1</v>
      </c>
      <c r="E143" s="7">
        <f>247*8*(A133/1974)</f>
        <v>211.21377912867277</v>
      </c>
      <c r="F143" s="35">
        <f>E143/A133</f>
        <v>1.0010131712259374</v>
      </c>
      <c r="G143" s="49">
        <f t="shared" si="28"/>
        <v>4.7393364928909956E-3</v>
      </c>
      <c r="H143" s="7">
        <f>98000*0.46</f>
        <v>45080</v>
      </c>
      <c r="I143" s="19">
        <f t="shared" si="27"/>
        <v>213.64928909952607</v>
      </c>
    </row>
    <row r="144" spans="1:20" s="1" customFormat="1">
      <c r="A144" s="36"/>
      <c r="B144" s="66" t="s">
        <v>94</v>
      </c>
      <c r="C144" s="5" t="s">
        <v>17</v>
      </c>
      <c r="D144" s="5">
        <v>1</v>
      </c>
      <c r="E144" s="7">
        <f>247*8*(A133/1974)</f>
        <v>211.21377912867277</v>
      </c>
      <c r="F144" s="35">
        <f>E144/A133</f>
        <v>1.0010131712259374</v>
      </c>
      <c r="G144" s="49">
        <f t="shared" si="28"/>
        <v>4.7393364928909956E-3</v>
      </c>
      <c r="H144" s="7">
        <f>100219*0.46</f>
        <v>46100.740000000005</v>
      </c>
      <c r="I144" s="19">
        <f t="shared" si="27"/>
        <v>218.48691943127966</v>
      </c>
    </row>
    <row r="145" spans="1:11" s="1" customFormat="1">
      <c r="A145" s="36"/>
      <c r="B145" s="66" t="s">
        <v>64</v>
      </c>
      <c r="C145" s="5" t="s">
        <v>17</v>
      </c>
      <c r="D145" s="5">
        <v>1</v>
      </c>
      <c r="E145" s="7">
        <f>247*8*(A133/1974)</f>
        <v>211.21377912867277</v>
      </c>
      <c r="F145" s="35">
        <f>E145/A133</f>
        <v>1.0010131712259374</v>
      </c>
      <c r="G145" s="49">
        <f t="shared" si="28"/>
        <v>4.7393364928909956E-3</v>
      </c>
      <c r="H145" s="7">
        <f>2000*0.46</f>
        <v>920</v>
      </c>
      <c r="I145" s="19">
        <f t="shared" si="27"/>
        <v>4.3601895734597163</v>
      </c>
    </row>
    <row r="146" spans="1:11" s="1" customFormat="1" ht="13.5" customHeight="1">
      <c r="A146" s="36"/>
      <c r="B146" s="66" t="s">
        <v>65</v>
      </c>
      <c r="C146" s="5" t="s">
        <v>17</v>
      </c>
      <c r="D146" s="5">
        <v>1</v>
      </c>
      <c r="E146" s="7">
        <f>247*8*(A133/1974)</f>
        <v>211.21377912867277</v>
      </c>
      <c r="F146" s="35">
        <f>E146/A133</f>
        <v>1.0010131712259374</v>
      </c>
      <c r="G146" s="49">
        <f t="shared" si="28"/>
        <v>4.7393364928909956E-3</v>
      </c>
      <c r="H146" s="7">
        <f>532*0.46</f>
        <v>244.72</v>
      </c>
      <c r="I146" s="19">
        <f t="shared" si="27"/>
        <v>1.1598104265402844</v>
      </c>
    </row>
    <row r="147" spans="1:11" s="1" customFormat="1" ht="15.75" thickBot="1">
      <c r="A147" s="20"/>
      <c r="B147" s="21"/>
      <c r="C147" s="21"/>
      <c r="D147" s="21"/>
      <c r="E147" s="21"/>
      <c r="F147" s="21"/>
      <c r="G147" s="25"/>
      <c r="H147" s="51"/>
      <c r="I147" s="24">
        <f>SUM(I132:I146)</f>
        <v>840.81459715639812</v>
      </c>
      <c r="J147" s="68">
        <f>(366630-2348-12000+24000+2532+6864)*0.46</f>
        <v>177411.88</v>
      </c>
      <c r="K147" s="68">
        <f>I147*A133</f>
        <v>177411.88</v>
      </c>
    </row>
    <row r="148" spans="1:11">
      <c r="A148" s="13" t="s">
        <v>76</v>
      </c>
      <c r="B148" s="14" t="s">
        <v>36</v>
      </c>
      <c r="C148" s="14" t="s">
        <v>17</v>
      </c>
      <c r="D148" s="14">
        <v>1</v>
      </c>
      <c r="E148" s="16">
        <f>247*8*(A149/1974)</f>
        <v>219.22188449848025</v>
      </c>
      <c r="F148" s="34">
        <f>E148/A149</f>
        <v>1.0010131712259371</v>
      </c>
      <c r="G148" s="50">
        <f>D148/E148*F148</f>
        <v>4.5662100456621002E-3</v>
      </c>
      <c r="H148" s="15">
        <f>26169*0.4</f>
        <v>10467.6</v>
      </c>
      <c r="I148" s="17">
        <f>H148*G148</f>
        <v>47.797260273972604</v>
      </c>
    </row>
    <row r="149" spans="1:11" s="1" customFormat="1">
      <c r="A149" s="64">
        <v>219</v>
      </c>
      <c r="B149" s="5" t="s">
        <v>37</v>
      </c>
      <c r="C149" s="5" t="s">
        <v>17</v>
      </c>
      <c r="D149" s="5">
        <v>1</v>
      </c>
      <c r="E149" s="7">
        <f>247*8*(A149/1974)</f>
        <v>219.22188449848025</v>
      </c>
      <c r="F149" s="35">
        <f>E149/A149</f>
        <v>1.0010131712259371</v>
      </c>
      <c r="G149" s="49">
        <f>D149/E149*F149</f>
        <v>4.5662100456621002E-3</v>
      </c>
      <c r="H149" s="6">
        <f>36000*0.4</f>
        <v>14400</v>
      </c>
      <c r="I149" s="19">
        <f t="shared" ref="I149:I159" si="29">H149*G149</f>
        <v>65.753424657534239</v>
      </c>
    </row>
    <row r="150" spans="1:11" s="1" customFormat="1">
      <c r="A150" s="18"/>
      <c r="B150" s="5" t="s">
        <v>40</v>
      </c>
      <c r="C150" s="5" t="s">
        <v>17</v>
      </c>
      <c r="D150" s="5">
        <v>1</v>
      </c>
      <c r="E150" s="7">
        <f>247*8*(A149/1974)</f>
        <v>219.22188449848025</v>
      </c>
      <c r="F150" s="35">
        <f>E150/A149</f>
        <v>1.0010131712259371</v>
      </c>
      <c r="G150" s="49">
        <f>D150/E150*F150</f>
        <v>4.5662100456621002E-3</v>
      </c>
      <c r="H150" s="6">
        <f>36000*0.4</f>
        <v>14400</v>
      </c>
      <c r="I150" s="19">
        <f t="shared" si="29"/>
        <v>65.753424657534239</v>
      </c>
    </row>
    <row r="151" spans="1:11" s="1" customFormat="1">
      <c r="A151" s="18"/>
      <c r="B151" s="5" t="s">
        <v>38</v>
      </c>
      <c r="C151" s="5" t="s">
        <v>17</v>
      </c>
      <c r="D151" s="5">
        <v>1</v>
      </c>
      <c r="E151" s="7">
        <f>247*8*(A149/1974)</f>
        <v>219.22188449848025</v>
      </c>
      <c r="F151" s="35">
        <f>E151/A149</f>
        <v>1.0010131712259371</v>
      </c>
      <c r="G151" s="49">
        <f t="shared" ref="G151:G159" si="30">D151/E151*F151</f>
        <v>4.5662100456621002E-3</v>
      </c>
      <c r="H151" s="6">
        <f>(10584+48000)*0.4</f>
        <v>23433.600000000002</v>
      </c>
      <c r="I151" s="19">
        <f t="shared" si="29"/>
        <v>107.0027397260274</v>
      </c>
    </row>
    <row r="152" spans="1:11" s="1" customFormat="1">
      <c r="A152" s="18"/>
      <c r="B152" s="5" t="s">
        <v>39</v>
      </c>
      <c r="C152" s="5" t="s">
        <v>17</v>
      </c>
      <c r="D152" s="5">
        <v>1</v>
      </c>
      <c r="E152" s="7">
        <f>247*8*(A149/1974)</f>
        <v>219.22188449848025</v>
      </c>
      <c r="F152" s="35">
        <f>E152/A149</f>
        <v>1.0010131712259371</v>
      </c>
      <c r="G152" s="49">
        <f t="shared" si="30"/>
        <v>4.5662100456621002E-3</v>
      </c>
      <c r="H152" s="7">
        <f>12672*0.4</f>
        <v>5068.8</v>
      </c>
      <c r="I152" s="19">
        <f t="shared" si="29"/>
        <v>23.145205479452056</v>
      </c>
    </row>
    <row r="153" spans="1:11" s="1" customFormat="1">
      <c r="A153" s="18"/>
      <c r="B153" s="5" t="s">
        <v>62</v>
      </c>
      <c r="C153" s="5" t="s">
        <v>17</v>
      </c>
      <c r="D153" s="5">
        <v>1</v>
      </c>
      <c r="E153" s="7">
        <f>247*8*(A149/1974)</f>
        <v>219.22188449848025</v>
      </c>
      <c r="F153" s="35">
        <f>E153/A149</f>
        <v>1.0010131712259371</v>
      </c>
      <c r="G153" s="49">
        <f t="shared" si="30"/>
        <v>4.5662100456621002E-3</v>
      </c>
      <c r="H153" s="7">
        <f>13892*0.4</f>
        <v>5556.8</v>
      </c>
      <c r="I153" s="19">
        <f t="shared" si="29"/>
        <v>25.37351598173516</v>
      </c>
    </row>
    <row r="154" spans="1:11" s="1" customFormat="1">
      <c r="A154" s="18"/>
      <c r="B154" s="5" t="s">
        <v>41</v>
      </c>
      <c r="C154" s="5" t="s">
        <v>17</v>
      </c>
      <c r="D154" s="5">
        <v>1</v>
      </c>
      <c r="E154" s="7">
        <f>247*8*(A149/1974)</f>
        <v>219.22188449848025</v>
      </c>
      <c r="F154" s="35">
        <f>E154/A149</f>
        <v>1.0010131712259371</v>
      </c>
      <c r="G154" s="49">
        <f t="shared" si="30"/>
        <v>4.5662100456621002E-3</v>
      </c>
      <c r="H154" s="7">
        <f>24101*0.4</f>
        <v>9640.4</v>
      </c>
      <c r="I154" s="19">
        <f t="shared" si="29"/>
        <v>44.020091324200912</v>
      </c>
    </row>
    <row r="155" spans="1:11" s="1" customFormat="1">
      <c r="A155" s="18"/>
      <c r="B155" s="5" t="s">
        <v>70</v>
      </c>
      <c r="C155" s="5" t="s">
        <v>17</v>
      </c>
      <c r="D155" s="5">
        <v>1</v>
      </c>
      <c r="E155" s="7">
        <f>247*8*(A149/1974)</f>
        <v>219.22188449848025</v>
      </c>
      <c r="F155" s="35">
        <f>E155/A149</f>
        <v>1.0010131712259371</v>
      </c>
      <c r="G155" s="49">
        <f t="shared" si="30"/>
        <v>4.5662100456621002E-3</v>
      </c>
      <c r="H155" s="7">
        <f>72000*0.4</f>
        <v>28800</v>
      </c>
      <c r="I155" s="19">
        <f t="shared" si="29"/>
        <v>131.50684931506848</v>
      </c>
    </row>
    <row r="156" spans="1:11" s="1" customFormat="1">
      <c r="A156" s="18"/>
      <c r="B156" s="44" t="s">
        <v>61</v>
      </c>
      <c r="C156" s="5" t="s">
        <v>17</v>
      </c>
      <c r="D156" s="5">
        <v>1</v>
      </c>
      <c r="E156" s="7">
        <f>247*8*(A149/1974)</f>
        <v>219.22188449848025</v>
      </c>
      <c r="F156" s="35">
        <f>E156/A149</f>
        <v>1.0010131712259371</v>
      </c>
      <c r="G156" s="49">
        <f t="shared" si="30"/>
        <v>4.5662100456621002E-3</v>
      </c>
      <c r="H156" s="7">
        <f>50400*0.4</f>
        <v>20160</v>
      </c>
      <c r="I156" s="19">
        <f t="shared" si="29"/>
        <v>92.054794520547944</v>
      </c>
    </row>
    <row r="157" spans="1:11" s="1" customFormat="1">
      <c r="A157" s="36"/>
      <c r="B157" s="66" t="s">
        <v>91</v>
      </c>
      <c r="C157" s="5" t="s">
        <v>17</v>
      </c>
      <c r="D157" s="5">
        <v>1</v>
      </c>
      <c r="E157" s="7">
        <f>247*8*(A149/1974)</f>
        <v>219.22188449848025</v>
      </c>
      <c r="F157" s="35">
        <f>E157/A149</f>
        <v>1.0010131712259371</v>
      </c>
      <c r="G157" s="49">
        <f t="shared" si="30"/>
        <v>4.5662100456621002E-3</v>
      </c>
      <c r="H157" s="7">
        <f>12000*0.4</f>
        <v>4800</v>
      </c>
      <c r="I157" s="19">
        <f t="shared" si="29"/>
        <v>21.917808219178081</v>
      </c>
    </row>
    <row r="158" spans="1:11" s="1" customFormat="1">
      <c r="A158" s="36"/>
      <c r="B158" s="66" t="s">
        <v>64</v>
      </c>
      <c r="C158" s="5" t="s">
        <v>17</v>
      </c>
      <c r="D158" s="5">
        <v>1</v>
      </c>
      <c r="E158" s="7">
        <f>247*8*(A149/1974)</f>
        <v>219.22188449848025</v>
      </c>
      <c r="F158" s="35">
        <f>E158/A149</f>
        <v>1.0010131712259371</v>
      </c>
      <c r="G158" s="49">
        <f t="shared" si="30"/>
        <v>4.5662100456621002E-3</v>
      </c>
      <c r="H158" s="7">
        <f>2000*0.4</f>
        <v>800</v>
      </c>
      <c r="I158" s="19">
        <f t="shared" si="29"/>
        <v>3.6529680365296802</v>
      </c>
    </row>
    <row r="159" spans="1:11" s="1" customFormat="1" ht="13.5" customHeight="1">
      <c r="A159" s="36"/>
      <c r="B159" s="66" t="s">
        <v>65</v>
      </c>
      <c r="C159" s="5" t="s">
        <v>17</v>
      </c>
      <c r="D159" s="5">
        <v>1</v>
      </c>
      <c r="E159" s="7">
        <f>247*8*(A149/1974)</f>
        <v>219.22188449848025</v>
      </c>
      <c r="F159" s="35">
        <f>E159/A149</f>
        <v>1.0010131712259371</v>
      </c>
      <c r="G159" s="49">
        <f t="shared" si="30"/>
        <v>4.5662100456621002E-3</v>
      </c>
      <c r="H159" s="7">
        <f>528*0.4</f>
        <v>211.20000000000002</v>
      </c>
      <c r="I159" s="19">
        <f t="shared" si="29"/>
        <v>0.96438356164383565</v>
      </c>
    </row>
    <row r="160" spans="1:11" s="1" customFormat="1" ht="15.75" thickBot="1">
      <c r="A160" s="20"/>
      <c r="B160" s="21"/>
      <c r="C160" s="21"/>
      <c r="D160" s="21"/>
      <c r="E160" s="21"/>
      <c r="F160" s="21"/>
      <c r="G160" s="25"/>
      <c r="H160" s="51"/>
      <c r="I160" s="24">
        <f>SUM(I148:I159)</f>
        <v>628.94246575342459</v>
      </c>
      <c r="J160" s="68">
        <f>(293818+48000+2528)*0.4</f>
        <v>137738.4</v>
      </c>
      <c r="K160" s="68">
        <f>I160*A149</f>
        <v>137738.4</v>
      </c>
    </row>
    <row r="161" spans="1:11">
      <c r="A161" s="13" t="s">
        <v>77</v>
      </c>
      <c r="B161" s="14" t="s">
        <v>36</v>
      </c>
      <c r="C161" s="14" t="s">
        <v>17</v>
      </c>
      <c r="D161" s="14">
        <v>1</v>
      </c>
      <c r="E161" s="16">
        <f>247*8*(A162/1974)</f>
        <v>188.19047619047618</v>
      </c>
      <c r="F161" s="34">
        <f>E161/A162</f>
        <v>1.0010131712259371</v>
      </c>
      <c r="G161" s="50">
        <f>D161/E161*F161</f>
        <v>5.3191489361702135E-3</v>
      </c>
      <c r="H161" s="15">
        <f>21371*0.49</f>
        <v>10471.789999999999</v>
      </c>
      <c r="I161" s="17">
        <f>H161*G161</f>
        <v>55.701010638297873</v>
      </c>
    </row>
    <row r="162" spans="1:11" s="1" customFormat="1">
      <c r="A162" s="64">
        <v>188</v>
      </c>
      <c r="B162" s="5" t="s">
        <v>37</v>
      </c>
      <c r="C162" s="5" t="s">
        <v>17</v>
      </c>
      <c r="D162" s="5">
        <v>1</v>
      </c>
      <c r="E162" s="7">
        <f>247*8*(A162/1974)</f>
        <v>188.19047619047618</v>
      </c>
      <c r="F162" s="35">
        <f>E162/A162</f>
        <v>1.0010131712259371</v>
      </c>
      <c r="G162" s="49">
        <f>D162/E162*F162</f>
        <v>5.3191489361702135E-3</v>
      </c>
      <c r="H162" s="6">
        <f>25200*0.49</f>
        <v>12348</v>
      </c>
      <c r="I162" s="19">
        <f t="shared" ref="I162:I172" si="31">H162*G162</f>
        <v>65.680851063829792</v>
      </c>
    </row>
    <row r="163" spans="1:11" s="1" customFormat="1">
      <c r="A163" s="18"/>
      <c r="B163" s="5" t="s">
        <v>40</v>
      </c>
      <c r="C163" s="5" t="s">
        <v>17</v>
      </c>
      <c r="D163" s="5">
        <v>1</v>
      </c>
      <c r="E163" s="7">
        <f>247*8*(A162/1974)</f>
        <v>188.19047619047618</v>
      </c>
      <c r="F163" s="35">
        <f>E163/A162</f>
        <v>1.0010131712259371</v>
      </c>
      <c r="G163" s="49">
        <f>D163/E163*F163</f>
        <v>5.3191489361702135E-3</v>
      </c>
      <c r="H163" s="6">
        <f>26400*0.49</f>
        <v>12936</v>
      </c>
      <c r="I163" s="19">
        <f t="shared" si="31"/>
        <v>68.808510638297875</v>
      </c>
    </row>
    <row r="164" spans="1:11" s="1" customFormat="1">
      <c r="A164" s="18"/>
      <c r="B164" s="5" t="s">
        <v>38</v>
      </c>
      <c r="C164" s="5" t="s">
        <v>17</v>
      </c>
      <c r="D164" s="5">
        <v>1</v>
      </c>
      <c r="E164" s="7">
        <f>247*8*(A162/1974)</f>
        <v>188.19047619047618</v>
      </c>
      <c r="F164" s="35">
        <f>E164/A162</f>
        <v>1.0010131712259371</v>
      </c>
      <c r="G164" s="49">
        <f t="shared" ref="G164:G172" si="32">D164/E164*F164</f>
        <v>5.3191489361702135E-3</v>
      </c>
      <c r="H164" s="6">
        <f>(4940+24000)*0.49</f>
        <v>14180.6</v>
      </c>
      <c r="I164" s="19">
        <f t="shared" si="31"/>
        <v>75.428723404255337</v>
      </c>
    </row>
    <row r="165" spans="1:11" s="1" customFormat="1">
      <c r="A165" s="18"/>
      <c r="B165" s="5" t="s">
        <v>39</v>
      </c>
      <c r="C165" s="5" t="s">
        <v>17</v>
      </c>
      <c r="D165" s="5">
        <v>1</v>
      </c>
      <c r="E165" s="7">
        <f>247*8*(A162/1974)</f>
        <v>188.19047619047618</v>
      </c>
      <c r="F165" s="35">
        <f>E165/A162</f>
        <v>1.0010131712259371</v>
      </c>
      <c r="G165" s="49">
        <f t="shared" si="32"/>
        <v>5.3191489361702135E-3</v>
      </c>
      <c r="H165" s="7">
        <f>9086*0.49</f>
        <v>4452.1400000000003</v>
      </c>
      <c r="I165" s="19">
        <f t="shared" si="31"/>
        <v>23.681595744680855</v>
      </c>
    </row>
    <row r="166" spans="1:11" s="1" customFormat="1">
      <c r="A166" s="18"/>
      <c r="B166" s="5" t="s">
        <v>62</v>
      </c>
      <c r="C166" s="5" t="s">
        <v>17</v>
      </c>
      <c r="D166" s="5">
        <v>1</v>
      </c>
      <c r="E166" s="7">
        <f>247*8*(A162/1974)</f>
        <v>188.19047619047618</v>
      </c>
      <c r="F166" s="35">
        <f>E166/A162</f>
        <v>1.0010131712259371</v>
      </c>
      <c r="G166" s="49">
        <f t="shared" si="32"/>
        <v>5.3191489361702135E-3</v>
      </c>
      <c r="H166" s="7">
        <f>6500*0.49</f>
        <v>3185</v>
      </c>
      <c r="I166" s="19">
        <f t="shared" si="31"/>
        <v>16.941489361702128</v>
      </c>
    </row>
    <row r="167" spans="1:11" s="1" customFormat="1">
      <c r="A167" s="18"/>
      <c r="B167" s="5" t="s">
        <v>41</v>
      </c>
      <c r="C167" s="5" t="s">
        <v>17</v>
      </c>
      <c r="D167" s="5">
        <v>1</v>
      </c>
      <c r="E167" s="7">
        <f>247*8*(A162/1974)</f>
        <v>188.19047619047618</v>
      </c>
      <c r="F167" s="35">
        <f>E167/A162</f>
        <v>1.0010131712259371</v>
      </c>
      <c r="G167" s="49">
        <f t="shared" si="32"/>
        <v>5.3191489361702135E-3</v>
      </c>
      <c r="H167" s="7">
        <f>8958*0.49</f>
        <v>4389.42</v>
      </c>
      <c r="I167" s="19">
        <f t="shared" si="31"/>
        <v>23.34797872340426</v>
      </c>
    </row>
    <row r="168" spans="1:11" s="1" customFormat="1">
      <c r="A168" s="18"/>
      <c r="B168" s="5" t="s">
        <v>70</v>
      </c>
      <c r="C168" s="5" t="s">
        <v>17</v>
      </c>
      <c r="D168" s="5">
        <v>1</v>
      </c>
      <c r="E168" s="7">
        <f>247*8*(A162/1974)</f>
        <v>188.19047619047618</v>
      </c>
      <c r="F168" s="35">
        <f>E168/A162</f>
        <v>1.0010131712259371</v>
      </c>
      <c r="G168" s="49">
        <f t="shared" si="32"/>
        <v>5.3191489361702135E-3</v>
      </c>
      <c r="H168" s="7">
        <f>36000*0.49</f>
        <v>17640</v>
      </c>
      <c r="I168" s="19">
        <f t="shared" si="31"/>
        <v>93.82978723404257</v>
      </c>
    </row>
    <row r="169" spans="1:11" s="1" customFormat="1">
      <c r="A169" s="18"/>
      <c r="B169" s="44" t="s">
        <v>61</v>
      </c>
      <c r="C169" s="5" t="s">
        <v>17</v>
      </c>
      <c r="D169" s="5">
        <v>1</v>
      </c>
      <c r="E169" s="7">
        <f>247*8*(A162/1974)</f>
        <v>188.19047619047618</v>
      </c>
      <c r="F169" s="35">
        <f>E169/A162</f>
        <v>1.0010131712259371</v>
      </c>
      <c r="G169" s="49">
        <f t="shared" si="32"/>
        <v>5.3191489361702135E-3</v>
      </c>
      <c r="H169" s="7">
        <f>30000*0.49</f>
        <v>14700</v>
      </c>
      <c r="I169" s="19">
        <f t="shared" si="31"/>
        <v>78.191489361702139</v>
      </c>
    </row>
    <row r="170" spans="1:11" s="1" customFormat="1">
      <c r="A170" s="36"/>
      <c r="B170" s="66" t="s">
        <v>91</v>
      </c>
      <c r="C170" s="5" t="s">
        <v>17</v>
      </c>
      <c r="D170" s="5">
        <v>1</v>
      </c>
      <c r="E170" s="7">
        <f>247*8*(A162/1974)</f>
        <v>188.19047619047618</v>
      </c>
      <c r="F170" s="35">
        <f>E170/A162</f>
        <v>1.0010131712259371</v>
      </c>
      <c r="G170" s="49">
        <f t="shared" si="32"/>
        <v>5.3191489361702135E-3</v>
      </c>
      <c r="H170" s="7">
        <f>18000*0.49</f>
        <v>8820</v>
      </c>
      <c r="I170" s="19">
        <f t="shared" si="31"/>
        <v>46.914893617021285</v>
      </c>
    </row>
    <row r="171" spans="1:11" s="1" customFormat="1">
      <c r="A171" s="36"/>
      <c r="B171" s="66" t="s">
        <v>64</v>
      </c>
      <c r="C171" s="5" t="s">
        <v>17</v>
      </c>
      <c r="D171" s="5">
        <v>1</v>
      </c>
      <c r="E171" s="7">
        <f>247*8*(A162/1974)</f>
        <v>188.19047619047618</v>
      </c>
      <c r="F171" s="35">
        <f>E171/A162</f>
        <v>1.0010131712259371</v>
      </c>
      <c r="G171" s="49">
        <f t="shared" si="32"/>
        <v>5.3191489361702135E-3</v>
      </c>
      <c r="H171" s="7">
        <f>2000*0.49</f>
        <v>980</v>
      </c>
      <c r="I171" s="19">
        <f t="shared" si="31"/>
        <v>5.212765957446809</v>
      </c>
    </row>
    <row r="172" spans="1:11" s="1" customFormat="1" ht="13.5" customHeight="1">
      <c r="A172" s="36"/>
      <c r="B172" s="66" t="s">
        <v>65</v>
      </c>
      <c r="C172" s="5" t="s">
        <v>17</v>
      </c>
      <c r="D172" s="5">
        <v>1</v>
      </c>
      <c r="E172" s="7">
        <f>247*8*(A162/1974)</f>
        <v>188.19047619047618</v>
      </c>
      <c r="F172" s="35">
        <f>E172/A162</f>
        <v>1.0010131712259371</v>
      </c>
      <c r="G172" s="49">
        <f t="shared" si="32"/>
        <v>5.3191489361702135E-3</v>
      </c>
      <c r="H172" s="7">
        <f>454*0.49</f>
        <v>222.46</v>
      </c>
      <c r="I172" s="19">
        <f t="shared" si="31"/>
        <v>1.1832978723404257</v>
      </c>
    </row>
    <row r="173" spans="1:11" s="1" customFormat="1" ht="15.75" thickBot="1">
      <c r="A173" s="20"/>
      <c r="B173" s="21"/>
      <c r="C173" s="21"/>
      <c r="D173" s="21"/>
      <c r="E173" s="21"/>
      <c r="F173" s="21"/>
      <c r="G173" s="25"/>
      <c r="H173" s="51"/>
      <c r="I173" s="24">
        <f>SUM(I161:I172)</f>
        <v>554.92239361702127</v>
      </c>
      <c r="J173" s="68">
        <f>(186455+24000+2454)*0.49</f>
        <v>104325.41</v>
      </c>
      <c r="K173" s="68">
        <f>I173*A162</f>
        <v>104325.41</v>
      </c>
    </row>
    <row r="174" spans="1:11">
      <c r="A174" s="13" t="s">
        <v>78</v>
      </c>
      <c r="B174" s="14" t="s">
        <v>36</v>
      </c>
      <c r="C174" s="14" t="s">
        <v>17</v>
      </c>
      <c r="D174" s="14">
        <v>1</v>
      </c>
      <c r="E174" s="16">
        <f>247*8*(A175/1974)</f>
        <v>370.37487335359674</v>
      </c>
      <c r="F174" s="34">
        <f>E174/A175</f>
        <v>1.0010131712259371</v>
      </c>
      <c r="G174" s="50">
        <f>D174/E174*F174</f>
        <v>2.7027027027027029E-3</v>
      </c>
      <c r="H174" s="15">
        <f>35983*0.48</f>
        <v>17271.84</v>
      </c>
      <c r="I174" s="17">
        <f>H174*G174</f>
        <v>46.680648648648649</v>
      </c>
    </row>
    <row r="175" spans="1:11" s="1" customFormat="1">
      <c r="A175" s="64">
        <v>370</v>
      </c>
      <c r="B175" s="5" t="s">
        <v>37</v>
      </c>
      <c r="C175" s="5" t="s">
        <v>17</v>
      </c>
      <c r="D175" s="5">
        <v>1</v>
      </c>
      <c r="E175" s="7">
        <f>247*8*(A175/1974)</f>
        <v>370.37487335359674</v>
      </c>
      <c r="F175" s="35">
        <f>E175/A175</f>
        <v>1.0010131712259371</v>
      </c>
      <c r="G175" s="49">
        <f>D175/E175*F175</f>
        <v>2.7027027027027029E-3</v>
      </c>
      <c r="H175" s="6">
        <f>21600*0.48</f>
        <v>10368</v>
      </c>
      <c r="I175" s="19">
        <f t="shared" ref="I175:I184" si="33">H175*G175</f>
        <v>28.021621621621623</v>
      </c>
    </row>
    <row r="176" spans="1:11" s="1" customFormat="1">
      <c r="A176" s="18"/>
      <c r="B176" s="5" t="s">
        <v>38</v>
      </c>
      <c r="C176" s="5" t="s">
        <v>17</v>
      </c>
      <c r="D176" s="5">
        <v>1</v>
      </c>
      <c r="E176" s="7">
        <f>247*8*(A175/1974)</f>
        <v>370.37487335359674</v>
      </c>
      <c r="F176" s="35">
        <f>E176/A175</f>
        <v>1.0010131712259371</v>
      </c>
      <c r="G176" s="49">
        <f t="shared" ref="G176:G184" si="34">D176/E176*F176</f>
        <v>2.7027027027027029E-3</v>
      </c>
      <c r="H176" s="6">
        <f>(5040+24000)*0.48</f>
        <v>13939.199999999999</v>
      </c>
      <c r="I176" s="19">
        <f t="shared" si="33"/>
        <v>37.673513513513512</v>
      </c>
    </row>
    <row r="177" spans="1:11" s="1" customFormat="1">
      <c r="A177" s="18"/>
      <c r="B177" s="5" t="s">
        <v>39</v>
      </c>
      <c r="C177" s="5" t="s">
        <v>17</v>
      </c>
      <c r="D177" s="5">
        <v>1</v>
      </c>
      <c r="E177" s="7">
        <f>247*8*(A175/1974)</f>
        <v>370.37487335359674</v>
      </c>
      <c r="F177" s="35">
        <f>E177/A175</f>
        <v>1.0010131712259371</v>
      </c>
      <c r="G177" s="49">
        <f t="shared" si="34"/>
        <v>2.7027027027027029E-3</v>
      </c>
      <c r="H177" s="7">
        <f>8270*0.48</f>
        <v>3969.6</v>
      </c>
      <c r="I177" s="19">
        <f t="shared" si="33"/>
        <v>10.728648648648649</v>
      </c>
    </row>
    <row r="178" spans="1:11" s="1" customFormat="1">
      <c r="A178" s="18"/>
      <c r="B178" s="5" t="s">
        <v>62</v>
      </c>
      <c r="C178" s="5" t="s">
        <v>17</v>
      </c>
      <c r="D178" s="5">
        <v>1</v>
      </c>
      <c r="E178" s="7">
        <f>247*8*(A175/1974)</f>
        <v>370.37487335359674</v>
      </c>
      <c r="F178" s="35">
        <f>E178/A175</f>
        <v>1.0010131712259371</v>
      </c>
      <c r="G178" s="49">
        <f t="shared" si="34"/>
        <v>2.7027027027027029E-3</v>
      </c>
      <c r="H178" s="7">
        <f>7875*0.48</f>
        <v>3780</v>
      </c>
      <c r="I178" s="19">
        <f t="shared" si="33"/>
        <v>10.216216216216218</v>
      </c>
    </row>
    <row r="179" spans="1:11" s="1" customFormat="1">
      <c r="A179" s="18"/>
      <c r="B179" s="5" t="s">
        <v>41</v>
      </c>
      <c r="C179" s="5" t="s">
        <v>17</v>
      </c>
      <c r="D179" s="5">
        <v>1</v>
      </c>
      <c r="E179" s="7">
        <f>247*8*(A175/1974)</f>
        <v>370.37487335359674</v>
      </c>
      <c r="F179" s="35">
        <f>E179/A175</f>
        <v>1.0010131712259371</v>
      </c>
      <c r="G179" s="49">
        <f t="shared" si="34"/>
        <v>2.7027027027027029E-3</v>
      </c>
      <c r="H179" s="7">
        <f>11000*0.48</f>
        <v>5280</v>
      </c>
      <c r="I179" s="19">
        <f t="shared" si="33"/>
        <v>14.27027027027027</v>
      </c>
    </row>
    <row r="180" spans="1:11" s="1" customFormat="1">
      <c r="A180" s="18"/>
      <c r="B180" s="5" t="s">
        <v>70</v>
      </c>
      <c r="C180" s="5" t="s">
        <v>17</v>
      </c>
      <c r="D180" s="5">
        <v>1</v>
      </c>
      <c r="E180" s="7">
        <f>247*8*(A175/1974)</f>
        <v>370.37487335359674</v>
      </c>
      <c r="F180" s="35">
        <f>E180/A175</f>
        <v>1.0010131712259371</v>
      </c>
      <c r="G180" s="49">
        <f t="shared" si="34"/>
        <v>2.7027027027027029E-3</v>
      </c>
      <c r="H180" s="7">
        <f>36000*0.48</f>
        <v>17280</v>
      </c>
      <c r="I180" s="19">
        <f t="shared" si="33"/>
        <v>46.702702702702709</v>
      </c>
    </row>
    <row r="181" spans="1:11" s="1" customFormat="1">
      <c r="A181" s="36"/>
      <c r="B181" s="66" t="s">
        <v>91</v>
      </c>
      <c r="C181" s="5" t="s">
        <v>17</v>
      </c>
      <c r="D181" s="5">
        <v>1</v>
      </c>
      <c r="E181" s="7">
        <f>247*8*(A175/1974)</f>
        <v>370.37487335359674</v>
      </c>
      <c r="F181" s="35">
        <f>E181/A175</f>
        <v>1.0010131712259371</v>
      </c>
      <c r="G181" s="49">
        <f t="shared" si="34"/>
        <v>2.7027027027027029E-3</v>
      </c>
      <c r="H181" s="7">
        <f>9600*0.48</f>
        <v>4608</v>
      </c>
      <c r="I181" s="19">
        <f t="shared" si="33"/>
        <v>12.454054054054055</v>
      </c>
    </row>
    <row r="182" spans="1:11" s="1" customFormat="1">
      <c r="A182" s="36"/>
      <c r="B182" s="66" t="s">
        <v>92</v>
      </c>
      <c r="C182" s="5" t="s">
        <v>17</v>
      </c>
      <c r="D182" s="5">
        <v>1</v>
      </c>
      <c r="E182" s="7">
        <f>247*8*(A175/1974)</f>
        <v>370.37487335359674</v>
      </c>
      <c r="F182" s="35">
        <f>E182/A175</f>
        <v>1.0010131712259371</v>
      </c>
      <c r="G182" s="49">
        <f t="shared" si="34"/>
        <v>2.7027027027027029E-3</v>
      </c>
      <c r="H182" s="7">
        <f>(3038+6864)*0.48</f>
        <v>4752.96</v>
      </c>
      <c r="I182" s="19">
        <f t="shared" si="33"/>
        <v>12.84583783783784</v>
      </c>
    </row>
    <row r="183" spans="1:11" s="1" customFormat="1">
      <c r="A183" s="36"/>
      <c r="B183" s="66" t="s">
        <v>64</v>
      </c>
      <c r="C183" s="5" t="s">
        <v>17</v>
      </c>
      <c r="D183" s="5">
        <v>1</v>
      </c>
      <c r="E183" s="7">
        <f>247*8*(A175/1974)</f>
        <v>370.37487335359674</v>
      </c>
      <c r="F183" s="35">
        <f>E183/A175</f>
        <v>1.0010131712259371</v>
      </c>
      <c r="G183" s="49">
        <f t="shared" si="34"/>
        <v>2.7027027027027029E-3</v>
      </c>
      <c r="H183" s="7">
        <f>2000*0.48</f>
        <v>960</v>
      </c>
      <c r="I183" s="19">
        <f t="shared" si="33"/>
        <v>2.5945945945945947</v>
      </c>
    </row>
    <row r="184" spans="1:11" s="1" customFormat="1" ht="13.5" customHeight="1">
      <c r="A184" s="36"/>
      <c r="B184" s="66" t="s">
        <v>65</v>
      </c>
      <c r="C184" s="5" t="s">
        <v>17</v>
      </c>
      <c r="D184" s="5">
        <v>1</v>
      </c>
      <c r="E184" s="7">
        <f>247*8*(A175/1974)</f>
        <v>370.37487335359674</v>
      </c>
      <c r="F184" s="35">
        <f>E184/A175</f>
        <v>1.0010131712259371</v>
      </c>
      <c r="G184" s="49">
        <f t="shared" si="34"/>
        <v>2.7027027027027029E-3</v>
      </c>
      <c r="H184" s="7">
        <f>855*0.48</f>
        <v>410.4</v>
      </c>
      <c r="I184" s="19">
        <f t="shared" si="33"/>
        <v>1.1091891891891892</v>
      </c>
    </row>
    <row r="185" spans="1:11" s="1" customFormat="1" ht="15.75" thickBot="1">
      <c r="A185" s="20"/>
      <c r="B185" s="21"/>
      <c r="C185" s="21"/>
      <c r="D185" s="21"/>
      <c r="E185" s="21"/>
      <c r="F185" s="21"/>
      <c r="G185" s="25"/>
      <c r="H185" s="51"/>
      <c r="I185" s="24">
        <f>SUM(I174:I184)</f>
        <v>223.29729729729729</v>
      </c>
      <c r="J185" s="68">
        <f>(176882+24000+6864+2855-2348-36128)*0.48</f>
        <v>82620</v>
      </c>
      <c r="K185" s="68">
        <f>I185*A175</f>
        <v>82620</v>
      </c>
    </row>
    <row r="186" spans="1:11">
      <c r="A186" s="13" t="s">
        <v>79</v>
      </c>
      <c r="B186" s="14" t="s">
        <v>36</v>
      </c>
      <c r="C186" s="14" t="s">
        <v>17</v>
      </c>
      <c r="D186" s="14">
        <v>1</v>
      </c>
      <c r="E186" s="16">
        <f>247*8*(A187/1974)</f>
        <v>370.37487335359674</v>
      </c>
      <c r="F186" s="34">
        <f>E186/A187</f>
        <v>1.0010131712259371</v>
      </c>
      <c r="G186" s="50">
        <f>D186/E186*F186</f>
        <v>2.7027027027027029E-3</v>
      </c>
      <c r="H186" s="15">
        <f>43615*0.43</f>
        <v>18754.45</v>
      </c>
      <c r="I186" s="17">
        <f>H186*G186</f>
        <v>50.687702702702708</v>
      </c>
    </row>
    <row r="187" spans="1:11" s="1" customFormat="1">
      <c r="A187" s="64">
        <v>370</v>
      </c>
      <c r="B187" s="5" t="s">
        <v>37</v>
      </c>
      <c r="C187" s="5" t="s">
        <v>17</v>
      </c>
      <c r="D187" s="5">
        <v>1</v>
      </c>
      <c r="E187" s="7">
        <f>247*8*(A187/1974)</f>
        <v>370.37487335359674</v>
      </c>
      <c r="F187" s="35">
        <f>E187/A187</f>
        <v>1.0010131712259371</v>
      </c>
      <c r="G187" s="49">
        <f>D187/E187*F187</f>
        <v>2.7027027027027029E-3</v>
      </c>
      <c r="H187" s="6">
        <f>42000*0.43</f>
        <v>18060</v>
      </c>
      <c r="I187" s="19">
        <f t="shared" ref="I187:I197" si="35">H187*G187</f>
        <v>48.810810810810814</v>
      </c>
    </row>
    <row r="188" spans="1:11" s="1" customFormat="1">
      <c r="A188" s="18"/>
      <c r="B188" s="5" t="s">
        <v>40</v>
      </c>
      <c r="C188" s="5" t="s">
        <v>17</v>
      </c>
      <c r="D188" s="5">
        <v>1</v>
      </c>
      <c r="E188" s="7">
        <f>247*8*(A187/1974)</f>
        <v>370.37487335359674</v>
      </c>
      <c r="F188" s="35">
        <f>E188/A187</f>
        <v>1.0010131712259371</v>
      </c>
      <c r="G188" s="49">
        <f>D188/E188*F188</f>
        <v>2.7027027027027029E-3</v>
      </c>
      <c r="H188" s="6">
        <f>18000*0.43</f>
        <v>7740</v>
      </c>
      <c r="I188" s="19">
        <f t="shared" si="35"/>
        <v>20.918918918918919</v>
      </c>
    </row>
    <row r="189" spans="1:11" s="1" customFormat="1">
      <c r="A189" s="18"/>
      <c r="B189" s="5" t="s">
        <v>38</v>
      </c>
      <c r="C189" s="5" t="s">
        <v>17</v>
      </c>
      <c r="D189" s="5">
        <v>1</v>
      </c>
      <c r="E189" s="7">
        <f>247*8*(A187/1974)</f>
        <v>370.37487335359674</v>
      </c>
      <c r="F189" s="35">
        <f>E189/A187</f>
        <v>1.0010131712259371</v>
      </c>
      <c r="G189" s="49">
        <f t="shared" ref="G189:G197" si="36">D189/E189*F189</f>
        <v>2.7027027027027029E-3</v>
      </c>
      <c r="H189" s="6">
        <f>(7970+24000)*0.43</f>
        <v>13747.1</v>
      </c>
      <c r="I189" s="19">
        <f t="shared" si="35"/>
        <v>37.154324324324328</v>
      </c>
    </row>
    <row r="190" spans="1:11" s="1" customFormat="1">
      <c r="A190" s="18"/>
      <c r="B190" s="5" t="s">
        <v>39</v>
      </c>
      <c r="C190" s="5" t="s">
        <v>17</v>
      </c>
      <c r="D190" s="5">
        <v>1</v>
      </c>
      <c r="E190" s="7">
        <f>247*8*(A187/1974)</f>
        <v>370.37487335359674</v>
      </c>
      <c r="F190" s="35">
        <f>E190/A187</f>
        <v>1.0010131712259371</v>
      </c>
      <c r="G190" s="49">
        <f t="shared" si="36"/>
        <v>2.7027027027027029E-3</v>
      </c>
      <c r="H190" s="7">
        <f>10560*0.43</f>
        <v>4540.8</v>
      </c>
      <c r="I190" s="19">
        <f t="shared" si="35"/>
        <v>12.272432432432433</v>
      </c>
    </row>
    <row r="191" spans="1:11" s="1" customFormat="1">
      <c r="A191" s="18"/>
      <c r="B191" s="5" t="s">
        <v>62</v>
      </c>
      <c r="C191" s="5" t="s">
        <v>17</v>
      </c>
      <c r="D191" s="5">
        <v>1</v>
      </c>
      <c r="E191" s="7">
        <f>247*8*(A187/1974)</f>
        <v>370.37487335359674</v>
      </c>
      <c r="F191" s="35">
        <f>E191/A187</f>
        <v>1.0010131712259371</v>
      </c>
      <c r="G191" s="49">
        <f t="shared" si="36"/>
        <v>2.7027027027027029E-3</v>
      </c>
      <c r="H191" s="7">
        <f>14000*0.43</f>
        <v>6020</v>
      </c>
      <c r="I191" s="19">
        <f t="shared" si="35"/>
        <v>16.27027027027027</v>
      </c>
    </row>
    <row r="192" spans="1:11" s="1" customFormat="1">
      <c r="A192" s="18"/>
      <c r="B192" s="5" t="s">
        <v>41</v>
      </c>
      <c r="C192" s="5" t="s">
        <v>17</v>
      </c>
      <c r="D192" s="5">
        <v>1</v>
      </c>
      <c r="E192" s="7">
        <f>247*8*(A187/1974)</f>
        <v>370.37487335359674</v>
      </c>
      <c r="F192" s="35">
        <f>E192/A187</f>
        <v>1.0010131712259371</v>
      </c>
      <c r="G192" s="49">
        <f t="shared" si="36"/>
        <v>2.7027027027027029E-3</v>
      </c>
      <c r="H192" s="7">
        <f>44160*0.43</f>
        <v>18988.8</v>
      </c>
      <c r="I192" s="19">
        <f t="shared" si="35"/>
        <v>51.321081081081083</v>
      </c>
    </row>
    <row r="193" spans="1:11" s="1" customFormat="1">
      <c r="A193" s="18"/>
      <c r="B193" s="5" t="s">
        <v>70</v>
      </c>
      <c r="C193" s="5" t="s">
        <v>17</v>
      </c>
      <c r="D193" s="5">
        <v>1</v>
      </c>
      <c r="E193" s="7">
        <f>247*8*(A187/1974)</f>
        <v>370.37487335359674</v>
      </c>
      <c r="F193" s="35">
        <f>E193/A187</f>
        <v>1.0010131712259371</v>
      </c>
      <c r="G193" s="49">
        <f t="shared" si="36"/>
        <v>2.7027027027027029E-3</v>
      </c>
      <c r="H193" s="7">
        <f>36000*0.43</f>
        <v>15480</v>
      </c>
      <c r="I193" s="19">
        <f t="shared" si="35"/>
        <v>41.837837837837839</v>
      </c>
    </row>
    <row r="194" spans="1:11" s="1" customFormat="1">
      <c r="A194" s="18"/>
      <c r="B194" s="44" t="s">
        <v>61</v>
      </c>
      <c r="C194" s="5" t="s">
        <v>17</v>
      </c>
      <c r="D194" s="5">
        <v>1</v>
      </c>
      <c r="E194" s="7">
        <f>247*8*(A187/1974)</f>
        <v>370.37487335359674</v>
      </c>
      <c r="F194" s="35">
        <f>E194/A187</f>
        <v>1.0010131712259371</v>
      </c>
      <c r="G194" s="49">
        <f t="shared" si="36"/>
        <v>2.7027027027027029E-3</v>
      </c>
      <c r="H194" s="7">
        <f>28800*0.43</f>
        <v>12384</v>
      </c>
      <c r="I194" s="19">
        <f t="shared" si="35"/>
        <v>33.470270270270269</v>
      </c>
    </row>
    <row r="195" spans="1:11" s="1" customFormat="1">
      <c r="A195" s="36"/>
      <c r="B195" s="66" t="s">
        <v>95</v>
      </c>
      <c r="C195" s="5" t="s">
        <v>17</v>
      </c>
      <c r="D195" s="5">
        <v>1</v>
      </c>
      <c r="E195" s="7">
        <f>247*8*(A187/1974)</f>
        <v>370.37487335359674</v>
      </c>
      <c r="F195" s="35">
        <f>E195/A187</f>
        <v>1.0010131712259371</v>
      </c>
      <c r="G195" s="49">
        <f t="shared" si="36"/>
        <v>2.7027027027027029E-3</v>
      </c>
      <c r="H195" s="7">
        <f>15000*0.43</f>
        <v>6450</v>
      </c>
      <c r="I195" s="19">
        <f t="shared" si="35"/>
        <v>17.432432432432435</v>
      </c>
    </row>
    <row r="196" spans="1:11" s="1" customFormat="1">
      <c r="A196" s="36"/>
      <c r="B196" s="66" t="s">
        <v>64</v>
      </c>
      <c r="C196" s="5" t="s">
        <v>17</v>
      </c>
      <c r="D196" s="5">
        <v>1</v>
      </c>
      <c r="E196" s="7">
        <f>247*8*(A187/1974)</f>
        <v>370.37487335359674</v>
      </c>
      <c r="F196" s="35">
        <f>E196/A187</f>
        <v>1.0010131712259371</v>
      </c>
      <c r="G196" s="49">
        <f t="shared" si="36"/>
        <v>2.7027027027027029E-3</v>
      </c>
      <c r="H196" s="7">
        <f>2000*0.43</f>
        <v>860</v>
      </c>
      <c r="I196" s="19">
        <f t="shared" si="35"/>
        <v>2.3243243243243246</v>
      </c>
    </row>
    <row r="197" spans="1:11" s="1" customFormat="1" ht="13.5" customHeight="1">
      <c r="A197" s="36"/>
      <c r="B197" s="66" t="s">
        <v>65</v>
      </c>
      <c r="C197" s="5" t="s">
        <v>17</v>
      </c>
      <c r="D197" s="5">
        <v>1</v>
      </c>
      <c r="E197" s="7">
        <f>247*8*(A187/1974)</f>
        <v>370.37487335359674</v>
      </c>
      <c r="F197" s="35">
        <f>E197/A187</f>
        <v>1.0010131712259371</v>
      </c>
      <c r="G197" s="49">
        <f t="shared" si="36"/>
        <v>2.7027027027027029E-3</v>
      </c>
      <c r="H197" s="7">
        <f>709*0.43</f>
        <v>304.87</v>
      </c>
      <c r="I197" s="19">
        <f t="shared" si="35"/>
        <v>0.82397297297297301</v>
      </c>
    </row>
    <row r="198" spans="1:11" s="1" customFormat="1" ht="15.75" thickBot="1">
      <c r="A198" s="20"/>
      <c r="B198" s="21"/>
      <c r="C198" s="21"/>
      <c r="D198" s="21"/>
      <c r="E198" s="21"/>
      <c r="F198" s="21"/>
      <c r="G198" s="25"/>
      <c r="H198" s="51"/>
      <c r="I198" s="24">
        <f>SUM(I186:I197)</f>
        <v>333.32437837837836</v>
      </c>
      <c r="J198" s="68">
        <f>(245105+24000+17709)*0.43</f>
        <v>123330.02</v>
      </c>
      <c r="K198" s="68">
        <f>I198*A187</f>
        <v>123330.01999999999</v>
      </c>
    </row>
    <row r="199" spans="1:11">
      <c r="A199" s="13" t="s">
        <v>80</v>
      </c>
      <c r="B199" s="14" t="s">
        <v>36</v>
      </c>
      <c r="C199" s="14" t="s">
        <v>17</v>
      </c>
      <c r="D199" s="14">
        <v>1</v>
      </c>
      <c r="E199" s="16">
        <f>247*8*(A200/1974)</f>
        <v>265.26849037487335</v>
      </c>
      <c r="F199" s="34">
        <f>E199/A200</f>
        <v>1.0010131712259371</v>
      </c>
      <c r="G199" s="50">
        <f>D199/E199*F199</f>
        <v>3.7735849056603774E-3</v>
      </c>
      <c r="H199" s="15">
        <f>23552*0.44</f>
        <v>10362.879999999999</v>
      </c>
      <c r="I199" s="17">
        <f>H199*G199</f>
        <v>39.105207547169812</v>
      </c>
    </row>
    <row r="200" spans="1:11" s="1" customFormat="1">
      <c r="A200" s="64">
        <v>265</v>
      </c>
      <c r="B200" s="5" t="s">
        <v>37</v>
      </c>
      <c r="C200" s="5" t="s">
        <v>17</v>
      </c>
      <c r="D200" s="5">
        <v>1</v>
      </c>
      <c r="E200" s="7">
        <f>247*8*(A200/1974)</f>
        <v>265.26849037487335</v>
      </c>
      <c r="F200" s="35">
        <f>E200/A200</f>
        <v>1.0010131712259371</v>
      </c>
      <c r="G200" s="49">
        <f>D200/E200*F200</f>
        <v>3.7735849056603774E-3</v>
      </c>
      <c r="H200" s="6">
        <f>32400*0.44</f>
        <v>14256</v>
      </c>
      <c r="I200" s="19">
        <f t="shared" ref="I200:I211" si="37">H200*G200</f>
        <v>53.796226415094338</v>
      </c>
    </row>
    <row r="201" spans="1:11" s="1" customFormat="1">
      <c r="A201" s="18"/>
      <c r="B201" s="5" t="s">
        <v>40</v>
      </c>
      <c r="C201" s="5" t="s">
        <v>17</v>
      </c>
      <c r="D201" s="5">
        <v>1</v>
      </c>
      <c r="E201" s="7">
        <f>247*8*(A200/1974)</f>
        <v>265.26849037487335</v>
      </c>
      <c r="F201" s="35">
        <f>E201/A200</f>
        <v>1.0010131712259371</v>
      </c>
      <c r="G201" s="49">
        <f>D201/E201*F201</f>
        <v>3.7735849056603774E-3</v>
      </c>
      <c r="H201" s="6">
        <f>6000*0.44</f>
        <v>2640</v>
      </c>
      <c r="I201" s="19">
        <f t="shared" si="37"/>
        <v>9.9622641509433958</v>
      </c>
    </row>
    <row r="202" spans="1:11" s="1" customFormat="1">
      <c r="A202" s="18"/>
      <c r="B202" s="5" t="s">
        <v>38</v>
      </c>
      <c r="C202" s="5" t="s">
        <v>17</v>
      </c>
      <c r="D202" s="5">
        <v>1</v>
      </c>
      <c r="E202" s="7">
        <f>247*8*(A200/1974)</f>
        <v>265.26849037487335</v>
      </c>
      <c r="F202" s="35">
        <f>E202/A200</f>
        <v>1.0010131712259371</v>
      </c>
      <c r="G202" s="49">
        <f t="shared" ref="G202:G211" si="38">D202/E202*F202</f>
        <v>3.7735849056603774E-3</v>
      </c>
      <c r="H202" s="6">
        <f>(7970+24000)*0.44</f>
        <v>14066.8</v>
      </c>
      <c r="I202" s="19">
        <f t="shared" si="37"/>
        <v>53.082264150943395</v>
      </c>
    </row>
    <row r="203" spans="1:11" s="1" customFormat="1">
      <c r="A203" s="18"/>
      <c r="B203" s="5" t="s">
        <v>39</v>
      </c>
      <c r="C203" s="5" t="s">
        <v>17</v>
      </c>
      <c r="D203" s="5">
        <v>1</v>
      </c>
      <c r="E203" s="7">
        <f>247*8*(A200/1974)</f>
        <v>265.26849037487335</v>
      </c>
      <c r="F203" s="35">
        <f>E203/A200</f>
        <v>1.0010131712259371</v>
      </c>
      <c r="G203" s="49">
        <f t="shared" si="38"/>
        <v>3.7735849056603774E-3</v>
      </c>
      <c r="H203" s="7">
        <f>12197*0.44</f>
        <v>5366.68</v>
      </c>
      <c r="I203" s="19">
        <f t="shared" si="37"/>
        <v>20.251622641509435</v>
      </c>
    </row>
    <row r="204" spans="1:11" s="1" customFormat="1">
      <c r="A204" s="18"/>
      <c r="B204" s="5" t="s">
        <v>62</v>
      </c>
      <c r="C204" s="5" t="s">
        <v>17</v>
      </c>
      <c r="D204" s="5">
        <v>1</v>
      </c>
      <c r="E204" s="7">
        <f>247*8*(A200/1974)</f>
        <v>265.26849037487335</v>
      </c>
      <c r="F204" s="35">
        <f>E204/A200</f>
        <v>1.0010131712259371</v>
      </c>
      <c r="G204" s="49">
        <f t="shared" si="38"/>
        <v>3.7735849056603774E-3</v>
      </c>
      <c r="H204" s="7">
        <f>5500*0.44</f>
        <v>2420</v>
      </c>
      <c r="I204" s="19">
        <f t="shared" si="37"/>
        <v>9.1320754716981138</v>
      </c>
    </row>
    <row r="205" spans="1:11" s="1" customFormat="1">
      <c r="A205" s="18"/>
      <c r="B205" s="5" t="s">
        <v>41</v>
      </c>
      <c r="C205" s="5" t="s">
        <v>17</v>
      </c>
      <c r="D205" s="5">
        <v>1</v>
      </c>
      <c r="E205" s="7">
        <f>247*8*(A200/1974)</f>
        <v>265.26849037487335</v>
      </c>
      <c r="F205" s="35">
        <f>E205/A200</f>
        <v>1.0010131712259371</v>
      </c>
      <c r="G205" s="49">
        <f t="shared" si="38"/>
        <v>3.7735849056603774E-3</v>
      </c>
      <c r="H205" s="7">
        <f>11400*0.44</f>
        <v>5016</v>
      </c>
      <c r="I205" s="19">
        <f t="shared" si="37"/>
        <v>18.928301886792454</v>
      </c>
    </row>
    <row r="206" spans="1:11" s="1" customFormat="1">
      <c r="A206" s="18"/>
      <c r="B206" s="5" t="s">
        <v>70</v>
      </c>
      <c r="C206" s="5" t="s">
        <v>17</v>
      </c>
      <c r="D206" s="5">
        <v>1</v>
      </c>
      <c r="E206" s="7">
        <f>247*8*(A200/1974)</f>
        <v>265.26849037487335</v>
      </c>
      <c r="F206" s="35">
        <f>E206/A200</f>
        <v>1.0010131712259371</v>
      </c>
      <c r="G206" s="49">
        <f t="shared" si="38"/>
        <v>3.7735849056603774E-3</v>
      </c>
      <c r="H206" s="7">
        <f>36000*0.44</f>
        <v>15840</v>
      </c>
      <c r="I206" s="19">
        <f t="shared" si="37"/>
        <v>59.773584905660378</v>
      </c>
    </row>
    <row r="207" spans="1:11" s="1" customFormat="1">
      <c r="A207" s="18"/>
      <c r="B207" s="44" t="s">
        <v>61</v>
      </c>
      <c r="C207" s="5" t="s">
        <v>17</v>
      </c>
      <c r="D207" s="5">
        <v>1</v>
      </c>
      <c r="E207" s="7">
        <f>247*8*(A200/1974)</f>
        <v>265.26849037487335</v>
      </c>
      <c r="F207" s="35">
        <f>E207/A200</f>
        <v>1.0010131712259371</v>
      </c>
      <c r="G207" s="49">
        <f t="shared" si="38"/>
        <v>3.7735849056603774E-3</v>
      </c>
      <c r="H207" s="7">
        <f>25200*0.44</f>
        <v>11088</v>
      </c>
      <c r="I207" s="19">
        <f t="shared" si="37"/>
        <v>41.841509433962266</v>
      </c>
    </row>
    <row r="208" spans="1:11" s="1" customFormat="1">
      <c r="A208" s="36"/>
      <c r="B208" s="66" t="s">
        <v>92</v>
      </c>
      <c r="C208" s="5" t="s">
        <v>17</v>
      </c>
      <c r="D208" s="5">
        <v>1</v>
      </c>
      <c r="E208" s="7">
        <f>247*8*(A200/1974)</f>
        <v>265.26849037487335</v>
      </c>
      <c r="F208" s="35">
        <f>E208/A200</f>
        <v>1.0010131712259371</v>
      </c>
      <c r="G208" s="49">
        <f t="shared" si="38"/>
        <v>3.7735849056603774E-3</v>
      </c>
      <c r="H208" s="7">
        <f>(3038+6864)*0.44</f>
        <v>4356.88</v>
      </c>
      <c r="I208" s="19">
        <f t="shared" si="37"/>
        <v>16.441056603773585</v>
      </c>
    </row>
    <row r="209" spans="1:11" s="1" customFormat="1">
      <c r="A209" s="36"/>
      <c r="B209" s="66" t="s">
        <v>95</v>
      </c>
      <c r="C209" s="5" t="s">
        <v>17</v>
      </c>
      <c r="D209" s="5">
        <v>1</v>
      </c>
      <c r="E209" s="7">
        <f>247*8*(A200/1974)</f>
        <v>265.26849037487335</v>
      </c>
      <c r="F209" s="35">
        <f>E209/A200</f>
        <v>1.0010131712259371</v>
      </c>
      <c r="G209" s="49">
        <f t="shared" si="38"/>
        <v>3.7735849056603774E-3</v>
      </c>
      <c r="H209" s="7">
        <f>3500*0.44</f>
        <v>1540</v>
      </c>
      <c r="I209" s="19">
        <f t="shared" si="37"/>
        <v>5.8113207547169816</v>
      </c>
    </row>
    <row r="210" spans="1:11" s="1" customFormat="1">
      <c r="A210" s="36"/>
      <c r="B210" s="66" t="s">
        <v>64</v>
      </c>
      <c r="C210" s="5" t="s">
        <v>17</v>
      </c>
      <c r="D210" s="5">
        <v>1</v>
      </c>
      <c r="E210" s="7">
        <f>247*8*(A200/1974)</f>
        <v>265.26849037487335</v>
      </c>
      <c r="F210" s="35">
        <f>E210/A200</f>
        <v>1.0010131712259371</v>
      </c>
      <c r="G210" s="49">
        <f t="shared" si="38"/>
        <v>3.7735849056603774E-3</v>
      </c>
      <c r="H210" s="7">
        <f>2000*0.44</f>
        <v>880</v>
      </c>
      <c r="I210" s="19">
        <f t="shared" si="37"/>
        <v>3.3207547169811322</v>
      </c>
    </row>
    <row r="211" spans="1:11" s="1" customFormat="1" ht="13.5" customHeight="1">
      <c r="A211" s="36"/>
      <c r="B211" s="66" t="s">
        <v>65</v>
      </c>
      <c r="C211" s="5" t="s">
        <v>17</v>
      </c>
      <c r="D211" s="5">
        <v>1</v>
      </c>
      <c r="E211" s="7">
        <f>247*8*(A200/1974)</f>
        <v>265.26849037487335</v>
      </c>
      <c r="F211" s="35">
        <f>E211/A200</f>
        <v>1.0010131712259371</v>
      </c>
      <c r="G211" s="49">
        <f t="shared" si="38"/>
        <v>3.7735849056603774E-3</v>
      </c>
      <c r="H211" s="7">
        <f>852*0.44</f>
        <v>374.88</v>
      </c>
      <c r="I211" s="19">
        <f t="shared" si="37"/>
        <v>1.4146415094339622</v>
      </c>
    </row>
    <row r="212" spans="1:11" s="1" customFormat="1" ht="15.75" thickBot="1">
      <c r="A212" s="20"/>
      <c r="B212" s="21"/>
      <c r="C212" s="21"/>
      <c r="D212" s="21"/>
      <c r="E212" s="21"/>
      <c r="F212" s="21"/>
      <c r="G212" s="25"/>
      <c r="H212" s="51"/>
      <c r="I212" s="24">
        <f>SUM(I199:I211)</f>
        <v>332.86083018867919</v>
      </c>
      <c r="J212" s="68">
        <f>(184542-2348-18937+24000+6352+6864)*0.44</f>
        <v>88208.12</v>
      </c>
      <c r="K212" s="68">
        <f>I212*A200</f>
        <v>88208.119999999981</v>
      </c>
    </row>
    <row r="213" spans="1:11" ht="15.75" thickBot="1"/>
    <row r="214" spans="1:11">
      <c r="A214" s="13" t="s">
        <v>81</v>
      </c>
      <c r="B214" s="14" t="s">
        <v>36</v>
      </c>
      <c r="C214" s="14" t="s">
        <v>17</v>
      </c>
      <c r="D214" s="14">
        <v>1</v>
      </c>
      <c r="E214" s="16">
        <f>247*8*(A215/1974)</f>
        <v>244.24721377912866</v>
      </c>
      <c r="F214" s="34">
        <f>E214/A215</f>
        <v>1.0010131712259371</v>
      </c>
      <c r="G214" s="50">
        <f>D214/E214*F214</f>
        <v>4.0983606557377051E-3</v>
      </c>
      <c r="H214" s="15">
        <f>45796*0.48</f>
        <v>21982.079999999998</v>
      </c>
      <c r="I214" s="17">
        <f>H214*G214</f>
        <v>90.090491803278681</v>
      </c>
    </row>
    <row r="215" spans="1:11" s="1" customFormat="1">
      <c r="A215" s="64">
        <v>244</v>
      </c>
      <c r="B215" s="5" t="s">
        <v>37</v>
      </c>
      <c r="C215" s="5" t="s">
        <v>17</v>
      </c>
      <c r="D215" s="5">
        <v>1</v>
      </c>
      <c r="E215" s="7">
        <f>247*8*(A215/1974)</f>
        <v>244.24721377912866</v>
      </c>
      <c r="F215" s="35">
        <f>E215/A215</f>
        <v>1.0010131712259371</v>
      </c>
      <c r="G215" s="49">
        <f>D215/E215*F215</f>
        <v>4.0983606557377051E-3</v>
      </c>
      <c r="H215" s="6">
        <f>36000*0.48</f>
        <v>17280</v>
      </c>
      <c r="I215" s="19">
        <f t="shared" ref="I215:I224" si="39">H215*G215</f>
        <v>70.819672131147541</v>
      </c>
    </row>
    <row r="216" spans="1:11" s="1" customFormat="1">
      <c r="A216" s="18"/>
      <c r="B216" s="5" t="s">
        <v>38</v>
      </c>
      <c r="C216" s="5" t="s">
        <v>17</v>
      </c>
      <c r="D216" s="5">
        <v>1</v>
      </c>
      <c r="E216" s="7">
        <f>247*8*(A215/1974)</f>
        <v>244.24721377912866</v>
      </c>
      <c r="F216" s="35">
        <f>E216/A215</f>
        <v>1.0010131712259371</v>
      </c>
      <c r="G216" s="49">
        <f t="shared" ref="G216:G224" si="40">D216/E216*F216</f>
        <v>4.0983606557377051E-3</v>
      </c>
      <c r="H216" s="6">
        <f>(8400+48000)*0.48</f>
        <v>27072</v>
      </c>
      <c r="I216" s="19">
        <f t="shared" si="39"/>
        <v>110.95081967213115</v>
      </c>
    </row>
    <row r="217" spans="1:11" s="1" customFormat="1">
      <c r="A217" s="18"/>
      <c r="B217" s="5" t="s">
        <v>39</v>
      </c>
      <c r="C217" s="5" t="s">
        <v>17</v>
      </c>
      <c r="D217" s="5">
        <v>1</v>
      </c>
      <c r="E217" s="7">
        <f>247*8*(A215/1974)</f>
        <v>244.24721377912866</v>
      </c>
      <c r="F217" s="35">
        <f>E217/A215</f>
        <v>1.0010131712259371</v>
      </c>
      <c r="G217" s="49">
        <f t="shared" si="40"/>
        <v>4.0983606557377051E-3</v>
      </c>
      <c r="H217" s="7">
        <f>16474*0.48</f>
        <v>7907.5199999999995</v>
      </c>
      <c r="I217" s="19">
        <f t="shared" si="39"/>
        <v>32.407868852459018</v>
      </c>
    </row>
    <row r="218" spans="1:11" s="1" customFormat="1">
      <c r="A218" s="18"/>
      <c r="B218" s="5" t="s">
        <v>62</v>
      </c>
      <c r="C218" s="5" t="s">
        <v>17</v>
      </c>
      <c r="D218" s="5">
        <v>1</v>
      </c>
      <c r="E218" s="7">
        <f>247*8*(A215/1974)</f>
        <v>244.24721377912866</v>
      </c>
      <c r="F218" s="35">
        <f>E218/A215</f>
        <v>1.0010131712259371</v>
      </c>
      <c r="G218" s="49">
        <f t="shared" si="40"/>
        <v>4.0983606557377051E-3</v>
      </c>
      <c r="H218" s="7">
        <f>14001*0.48</f>
        <v>6720.48</v>
      </c>
      <c r="I218" s="19">
        <f t="shared" si="39"/>
        <v>27.542950819672132</v>
      </c>
    </row>
    <row r="219" spans="1:11" s="1" customFormat="1">
      <c r="A219" s="18"/>
      <c r="B219" s="5" t="s">
        <v>41</v>
      </c>
      <c r="C219" s="5" t="s">
        <v>17</v>
      </c>
      <c r="D219" s="5">
        <v>1</v>
      </c>
      <c r="E219" s="7">
        <f>247*8*(A215/1974)</f>
        <v>244.24721377912866</v>
      </c>
      <c r="F219" s="35">
        <f>E219/A215</f>
        <v>1.0010131712259371</v>
      </c>
      <c r="G219" s="49">
        <f t="shared" si="40"/>
        <v>4.0983606557377051E-3</v>
      </c>
      <c r="H219" s="7">
        <f>21000*0.48</f>
        <v>10080</v>
      </c>
      <c r="I219" s="19">
        <f t="shared" si="39"/>
        <v>41.311475409836071</v>
      </c>
    </row>
    <row r="220" spans="1:11" s="1" customFormat="1">
      <c r="A220" s="18"/>
      <c r="B220" s="5" t="s">
        <v>70</v>
      </c>
      <c r="C220" s="5" t="s">
        <v>17</v>
      </c>
      <c r="D220" s="5">
        <v>1</v>
      </c>
      <c r="E220" s="7">
        <f>247*8*(A215/1974)</f>
        <v>244.24721377912866</v>
      </c>
      <c r="F220" s="35">
        <f>E220/A215</f>
        <v>1.0010131712259371</v>
      </c>
      <c r="G220" s="49">
        <f t="shared" si="40"/>
        <v>4.0983606557377051E-3</v>
      </c>
      <c r="H220" s="7">
        <f>72000*0.48</f>
        <v>34560</v>
      </c>
      <c r="I220" s="19">
        <f t="shared" si="39"/>
        <v>141.63934426229508</v>
      </c>
    </row>
    <row r="221" spans="1:11" s="1" customFormat="1">
      <c r="A221" s="18"/>
      <c r="B221" s="44" t="s">
        <v>61</v>
      </c>
      <c r="C221" s="5" t="s">
        <v>17</v>
      </c>
      <c r="D221" s="5">
        <v>1</v>
      </c>
      <c r="E221" s="7">
        <f>247*8*(A215/1974)</f>
        <v>244.24721377912866</v>
      </c>
      <c r="F221" s="35">
        <f>E221/A215</f>
        <v>1.0010131712259371</v>
      </c>
      <c r="G221" s="49">
        <f t="shared" si="40"/>
        <v>4.0983606557377051E-3</v>
      </c>
      <c r="H221" s="7">
        <f>36000*0.48</f>
        <v>17280</v>
      </c>
      <c r="I221" s="19">
        <f t="shared" si="39"/>
        <v>70.819672131147541</v>
      </c>
    </row>
    <row r="222" spans="1:11" s="1" customFormat="1">
      <c r="A222" s="36"/>
      <c r="B222" s="66" t="s">
        <v>91</v>
      </c>
      <c r="C222" s="5" t="s">
        <v>17</v>
      </c>
      <c r="D222" s="5">
        <v>1</v>
      </c>
      <c r="E222" s="7">
        <f>247*8*(A215/1974)</f>
        <v>244.24721377912866</v>
      </c>
      <c r="F222" s="35">
        <f>E222/A215</f>
        <v>1.0010131712259371</v>
      </c>
      <c r="G222" s="49">
        <f t="shared" si="40"/>
        <v>4.0983606557377051E-3</v>
      </c>
      <c r="H222" s="7">
        <f>16800*0.48</f>
        <v>8064</v>
      </c>
      <c r="I222" s="19">
        <f t="shared" si="39"/>
        <v>33.049180327868854</v>
      </c>
    </row>
    <row r="223" spans="1:11" s="1" customFormat="1">
      <c r="A223" s="36"/>
      <c r="B223" s="66" t="s">
        <v>64</v>
      </c>
      <c r="C223" s="5" t="s">
        <v>17</v>
      </c>
      <c r="D223" s="5">
        <v>1</v>
      </c>
      <c r="E223" s="7">
        <f>247*8*(A215/1974)</f>
        <v>244.24721377912866</v>
      </c>
      <c r="F223" s="35">
        <f>E223/A215</f>
        <v>1.0010131712259371</v>
      </c>
      <c r="G223" s="49">
        <f t="shared" si="40"/>
        <v>4.0983606557377051E-3</v>
      </c>
      <c r="H223" s="7">
        <f>2000*0.48</f>
        <v>960</v>
      </c>
      <c r="I223" s="19">
        <f t="shared" si="39"/>
        <v>3.9344262295081971</v>
      </c>
    </row>
    <row r="224" spans="1:11" s="1" customFormat="1" ht="13.5" customHeight="1">
      <c r="A224" s="36"/>
      <c r="B224" s="66" t="s">
        <v>65</v>
      </c>
      <c r="C224" s="5" t="s">
        <v>17</v>
      </c>
      <c r="D224" s="5">
        <v>1</v>
      </c>
      <c r="E224" s="7">
        <f>247*8*(A215/1974)</f>
        <v>244.24721377912866</v>
      </c>
      <c r="F224" s="35">
        <f>E224/A215</f>
        <v>1.0010131712259371</v>
      </c>
      <c r="G224" s="49">
        <f t="shared" si="40"/>
        <v>4.0983606557377051E-3</v>
      </c>
      <c r="H224" s="7">
        <f>488*0.48</f>
        <v>234.23999999999998</v>
      </c>
      <c r="I224" s="19">
        <f t="shared" si="39"/>
        <v>0.96</v>
      </c>
    </row>
    <row r="225" spans="1:11" s="1" customFormat="1" ht="15.75" thickBot="1">
      <c r="A225" s="20"/>
      <c r="B225" s="21"/>
      <c r="C225" s="21"/>
      <c r="D225" s="21"/>
      <c r="E225" s="21"/>
      <c r="F225" s="21"/>
      <c r="G225" s="25"/>
      <c r="H225" s="51"/>
      <c r="I225" s="24">
        <f>SUM(I214:I224)</f>
        <v>623.52590163934428</v>
      </c>
      <c r="J225" s="68">
        <f>(266471+48000+2488)*0.48</f>
        <v>152140.32</v>
      </c>
      <c r="K225" s="68">
        <f>I225*A215</f>
        <v>152140.32</v>
      </c>
    </row>
    <row r="226" spans="1:11" ht="15.75" thickBot="1">
      <c r="E226" s="62"/>
    </row>
    <row r="227" spans="1:11">
      <c r="A227" s="13" t="s">
        <v>82</v>
      </c>
      <c r="B227" s="14" t="s">
        <v>36</v>
      </c>
      <c r="C227" s="14" t="s">
        <v>17</v>
      </c>
      <c r="D227" s="14">
        <v>1</v>
      </c>
      <c r="E227" s="16">
        <f>247*8*(A228/1974)</f>
        <v>103.10435663627153</v>
      </c>
      <c r="F227" s="34">
        <f>E227/A228</f>
        <v>1.0010131712259371</v>
      </c>
      <c r="G227" s="50">
        <f>D227/E227*F227</f>
        <v>9.7087378640776708E-3</v>
      </c>
      <c r="H227" s="15">
        <f>10904*0.45</f>
        <v>4906.8</v>
      </c>
      <c r="I227" s="17">
        <f>H227*G227</f>
        <v>47.638834951456317</v>
      </c>
    </row>
    <row r="228" spans="1:11" s="1" customFormat="1">
      <c r="A228" s="64">
        <v>103</v>
      </c>
      <c r="B228" s="5" t="s">
        <v>37</v>
      </c>
      <c r="C228" s="5" t="s">
        <v>17</v>
      </c>
      <c r="D228" s="5">
        <v>1</v>
      </c>
      <c r="E228" s="7">
        <f>247*8*(A228/1974)</f>
        <v>103.10435663627153</v>
      </c>
      <c r="F228" s="35">
        <f>E228/A228</f>
        <v>1.0010131712259371</v>
      </c>
      <c r="G228" s="49">
        <f>D228/E228*F228</f>
        <v>9.7087378640776708E-3</v>
      </c>
      <c r="H228" s="6">
        <f>24000*0.45</f>
        <v>10800</v>
      </c>
      <c r="I228" s="19">
        <f t="shared" ref="I228:I238" si="41">H228*G228</f>
        <v>104.85436893203884</v>
      </c>
    </row>
    <row r="229" spans="1:11" s="1" customFormat="1">
      <c r="A229" s="18"/>
      <c r="B229" s="5" t="s">
        <v>40</v>
      </c>
      <c r="C229" s="5" t="s">
        <v>17</v>
      </c>
      <c r="D229" s="5">
        <v>1</v>
      </c>
      <c r="E229" s="7">
        <f>247*8*(A228/1974)</f>
        <v>103.10435663627153</v>
      </c>
      <c r="F229" s="35">
        <f>E229/A228</f>
        <v>1.0010131712259371</v>
      </c>
      <c r="G229" s="49">
        <f>D229/E229*F229</f>
        <v>9.7087378640776708E-3</v>
      </c>
      <c r="H229" s="6">
        <f>18000*0.45</f>
        <v>8100</v>
      </c>
      <c r="I229" s="19">
        <f t="shared" si="41"/>
        <v>78.640776699029132</v>
      </c>
    </row>
    <row r="230" spans="1:11" s="1" customFormat="1">
      <c r="A230" s="18"/>
      <c r="B230" s="5" t="s">
        <v>38</v>
      </c>
      <c r="C230" s="5" t="s">
        <v>17</v>
      </c>
      <c r="D230" s="5">
        <v>1</v>
      </c>
      <c r="E230" s="7">
        <f>247*8*(A228/1974)</f>
        <v>103.10435663627153</v>
      </c>
      <c r="F230" s="35">
        <f>E230/A228</f>
        <v>1.0010131712259371</v>
      </c>
      <c r="G230" s="49">
        <f t="shared" ref="G230:G238" si="42">D230/E230*F230</f>
        <v>9.7087378640776708E-3</v>
      </c>
      <c r="H230" s="6">
        <f>(5292+24000)*0.45</f>
        <v>13181.4</v>
      </c>
      <c r="I230" s="19">
        <f t="shared" si="41"/>
        <v>127.97475728155341</v>
      </c>
    </row>
    <row r="231" spans="1:11" s="1" customFormat="1">
      <c r="A231" s="18"/>
      <c r="B231" s="5" t="s">
        <v>39</v>
      </c>
      <c r="C231" s="5" t="s">
        <v>17</v>
      </c>
      <c r="D231" s="5">
        <v>1</v>
      </c>
      <c r="E231" s="7">
        <f>247*8*(A228/1974)</f>
        <v>103.10435663627153</v>
      </c>
      <c r="F231" s="35">
        <f>E231/A228</f>
        <v>1.0010131712259371</v>
      </c>
      <c r="G231" s="49">
        <f t="shared" si="42"/>
        <v>9.7087378640776708E-3</v>
      </c>
      <c r="H231" s="7">
        <f>11299*0.45</f>
        <v>5084.55</v>
      </c>
      <c r="I231" s="19">
        <f t="shared" si="41"/>
        <v>49.364563106796126</v>
      </c>
    </row>
    <row r="232" spans="1:11" s="1" customFormat="1">
      <c r="A232" s="18"/>
      <c r="B232" s="5" t="s">
        <v>62</v>
      </c>
      <c r="C232" s="5" t="s">
        <v>17</v>
      </c>
      <c r="D232" s="5">
        <v>1</v>
      </c>
      <c r="E232" s="7">
        <f>247*8*(A228/1974)</f>
        <v>103.10435663627153</v>
      </c>
      <c r="F232" s="35">
        <f>E232/A228</f>
        <v>1.0010131712259371</v>
      </c>
      <c r="G232" s="49">
        <f t="shared" si="42"/>
        <v>9.7087378640776708E-3</v>
      </c>
      <c r="H232" s="7">
        <f>6500*0.45</f>
        <v>2925</v>
      </c>
      <c r="I232" s="19">
        <f t="shared" si="41"/>
        <v>28.398058252427187</v>
      </c>
    </row>
    <row r="233" spans="1:11" s="1" customFormat="1">
      <c r="A233" s="18"/>
      <c r="B233" s="5" t="s">
        <v>41</v>
      </c>
      <c r="C233" s="5" t="s">
        <v>17</v>
      </c>
      <c r="D233" s="5">
        <v>1</v>
      </c>
      <c r="E233" s="7">
        <f>247*8*(A228/1974)</f>
        <v>103.10435663627153</v>
      </c>
      <c r="F233" s="35">
        <f>E233/A228</f>
        <v>1.0010131712259371</v>
      </c>
      <c r="G233" s="49">
        <f t="shared" si="42"/>
        <v>9.7087378640776708E-3</v>
      </c>
      <c r="H233" s="7">
        <f>5880*0.45</f>
        <v>2646</v>
      </c>
      <c r="I233" s="19">
        <f t="shared" si="41"/>
        <v>25.689320388349518</v>
      </c>
    </row>
    <row r="234" spans="1:11" s="1" customFormat="1">
      <c r="A234" s="18"/>
      <c r="B234" s="5" t="s">
        <v>70</v>
      </c>
      <c r="C234" s="5" t="s">
        <v>17</v>
      </c>
      <c r="D234" s="5">
        <v>1</v>
      </c>
      <c r="E234" s="7">
        <f>247*8*(A228/1974)</f>
        <v>103.10435663627153</v>
      </c>
      <c r="F234" s="35">
        <f>E234/A228</f>
        <v>1.0010131712259371</v>
      </c>
      <c r="G234" s="49">
        <f t="shared" si="42"/>
        <v>9.7087378640776708E-3</v>
      </c>
      <c r="H234" s="7">
        <f>36000*0.45</f>
        <v>16200</v>
      </c>
      <c r="I234" s="19">
        <f t="shared" si="41"/>
        <v>157.28155339805826</v>
      </c>
    </row>
    <row r="235" spans="1:11" s="1" customFormat="1">
      <c r="A235" s="18"/>
      <c r="B235" s="44" t="s">
        <v>61</v>
      </c>
      <c r="C235" s="5" t="s">
        <v>17</v>
      </c>
      <c r="D235" s="5">
        <v>1</v>
      </c>
      <c r="E235" s="7">
        <f>247*8*(A228/1974)</f>
        <v>103.10435663627153</v>
      </c>
      <c r="F235" s="35">
        <f>E235/A228</f>
        <v>1.0010131712259371</v>
      </c>
      <c r="G235" s="49">
        <f t="shared" si="42"/>
        <v>9.7087378640776708E-3</v>
      </c>
      <c r="H235" s="7">
        <f>25200*0.45</f>
        <v>11340</v>
      </c>
      <c r="I235" s="19">
        <f t="shared" si="41"/>
        <v>110.09708737864079</v>
      </c>
    </row>
    <row r="236" spans="1:11" s="1" customFormat="1">
      <c r="A236" s="36"/>
      <c r="B236" s="66" t="s">
        <v>91</v>
      </c>
      <c r="C236" s="5" t="s">
        <v>17</v>
      </c>
      <c r="D236" s="5">
        <v>1</v>
      </c>
      <c r="E236" s="7">
        <f>247*8*(A228/1974)</f>
        <v>103.10435663627153</v>
      </c>
      <c r="F236" s="35">
        <f>E236/A228</f>
        <v>1.0010131712259371</v>
      </c>
      <c r="G236" s="49">
        <f t="shared" si="42"/>
        <v>9.7087378640776708E-3</v>
      </c>
      <c r="H236" s="7">
        <f>12000*0.45</f>
        <v>5400</v>
      </c>
      <c r="I236" s="19">
        <f t="shared" si="41"/>
        <v>52.427184466019419</v>
      </c>
    </row>
    <row r="237" spans="1:11" s="1" customFormat="1">
      <c r="A237" s="36"/>
      <c r="B237" s="66" t="s">
        <v>64</v>
      </c>
      <c r="C237" s="5" t="s">
        <v>17</v>
      </c>
      <c r="D237" s="5">
        <v>1</v>
      </c>
      <c r="E237" s="7">
        <f>247*8*(A228/1974)</f>
        <v>103.10435663627153</v>
      </c>
      <c r="F237" s="35">
        <f>E237/A228</f>
        <v>1.0010131712259371</v>
      </c>
      <c r="G237" s="49">
        <f t="shared" si="42"/>
        <v>9.7087378640776708E-3</v>
      </c>
      <c r="H237" s="7">
        <f>2000*0.45</f>
        <v>900</v>
      </c>
      <c r="I237" s="19">
        <f t="shared" si="41"/>
        <v>8.7378640776699044</v>
      </c>
    </row>
    <row r="238" spans="1:11" s="1" customFormat="1" ht="13.5" customHeight="1">
      <c r="A238" s="36"/>
      <c r="B238" s="66" t="s">
        <v>65</v>
      </c>
      <c r="C238" s="5" t="s">
        <v>17</v>
      </c>
      <c r="D238" s="5">
        <v>1</v>
      </c>
      <c r="E238" s="7">
        <f>247*8*(A228/1974)</f>
        <v>103.10435663627153</v>
      </c>
      <c r="F238" s="35">
        <f>E238/A228</f>
        <v>1.0010131712259371</v>
      </c>
      <c r="G238" s="49">
        <f t="shared" si="42"/>
        <v>9.7087378640776708E-3</v>
      </c>
      <c r="H238" s="7">
        <f>115*0.45</f>
        <v>51.75</v>
      </c>
      <c r="I238" s="19">
        <f t="shared" si="41"/>
        <v>0.50242718446601942</v>
      </c>
    </row>
    <row r="239" spans="1:11" s="1" customFormat="1" ht="15.75" thickBot="1">
      <c r="A239" s="20"/>
      <c r="B239" s="21"/>
      <c r="C239" s="21"/>
      <c r="D239" s="21"/>
      <c r="E239" s="21"/>
      <c r="F239" s="21"/>
      <c r="G239" s="25"/>
      <c r="H239" s="51"/>
      <c r="I239" s="24">
        <f>SUM(I227:I238)</f>
        <v>791.60679611650494</v>
      </c>
      <c r="J239" s="68">
        <f>(155075+24000+2115)*0.45</f>
        <v>81535.5</v>
      </c>
      <c r="K239" s="68">
        <f>I239*A228</f>
        <v>81535.500000000015</v>
      </c>
    </row>
    <row r="240" spans="1:11">
      <c r="A240" s="13" t="s">
        <v>83</v>
      </c>
      <c r="B240" s="14" t="s">
        <v>36</v>
      </c>
      <c r="C240" s="14" t="s">
        <v>17</v>
      </c>
      <c r="D240" s="14">
        <v>1</v>
      </c>
      <c r="E240" s="16">
        <f>247*8*(A241/1974)</f>
        <v>115.11651469098277</v>
      </c>
      <c r="F240" s="34">
        <f>E240/A241</f>
        <v>1.0010131712259371</v>
      </c>
      <c r="G240" s="50">
        <f>D240/E240*F240</f>
        <v>8.6956521739130436E-3</v>
      </c>
      <c r="H240" s="15">
        <f>10032*0.48</f>
        <v>4815.3599999999997</v>
      </c>
      <c r="I240" s="17">
        <f>H240*G240</f>
        <v>41.87269565217391</v>
      </c>
    </row>
    <row r="241" spans="1:20" s="1" customFormat="1">
      <c r="A241" s="64">
        <v>115</v>
      </c>
      <c r="B241" s="5" t="s">
        <v>37</v>
      </c>
      <c r="C241" s="5" t="s">
        <v>17</v>
      </c>
      <c r="D241" s="5">
        <v>1</v>
      </c>
      <c r="E241" s="7">
        <f>247*8*(A241/1974)</f>
        <v>115.11651469098277</v>
      </c>
      <c r="F241" s="35">
        <f>E241/A241</f>
        <v>1.0010131712259371</v>
      </c>
      <c r="G241" s="49">
        <f>D241/E241*F241</f>
        <v>8.6956521739130436E-3</v>
      </c>
      <c r="H241" s="6">
        <f>24000*0.48</f>
        <v>11520</v>
      </c>
      <c r="I241" s="19">
        <f t="shared" ref="I241:I251" si="43">H241*G241</f>
        <v>100.17391304347827</v>
      </c>
    </row>
    <row r="242" spans="1:20" s="1" customFormat="1">
      <c r="A242" s="18"/>
      <c r="B242" s="5" t="s">
        <v>40</v>
      </c>
      <c r="C242" s="5" t="s">
        <v>17</v>
      </c>
      <c r="D242" s="5">
        <v>1</v>
      </c>
      <c r="E242" s="7">
        <f>247*8*(A241/1974)</f>
        <v>115.11651469098277</v>
      </c>
      <c r="F242" s="35">
        <f>E242/A241</f>
        <v>1.0010131712259371</v>
      </c>
      <c r="G242" s="49">
        <f>D242/E242*F242</f>
        <v>8.6956521739130436E-3</v>
      </c>
      <c r="H242" s="6">
        <f>18000*0.48</f>
        <v>8640</v>
      </c>
      <c r="I242" s="19">
        <f t="shared" si="43"/>
        <v>75.130434782608702</v>
      </c>
    </row>
    <row r="243" spans="1:20" s="1" customFormat="1">
      <c r="A243" s="18"/>
      <c r="B243" s="5" t="s">
        <v>38</v>
      </c>
      <c r="C243" s="5" t="s">
        <v>17</v>
      </c>
      <c r="D243" s="5">
        <v>1</v>
      </c>
      <c r="E243" s="7">
        <f>247*8*(A241/1974)</f>
        <v>115.11651469098277</v>
      </c>
      <c r="F243" s="35">
        <f>E243/A241</f>
        <v>1.0010131712259371</v>
      </c>
      <c r="G243" s="49">
        <f t="shared" ref="G243:G251" si="44">D243/E243*F243</f>
        <v>8.6956521739130436E-3</v>
      </c>
      <c r="H243" s="6">
        <f>(5292+24000)*0.48</f>
        <v>14060.16</v>
      </c>
      <c r="I243" s="19">
        <f t="shared" si="43"/>
        <v>122.26226086956522</v>
      </c>
    </row>
    <row r="244" spans="1:20" s="1" customFormat="1">
      <c r="A244" s="18"/>
      <c r="B244" s="5" t="s">
        <v>39</v>
      </c>
      <c r="C244" s="5" t="s">
        <v>17</v>
      </c>
      <c r="D244" s="5">
        <v>1</v>
      </c>
      <c r="E244" s="7">
        <f>247*8*(A241/1974)</f>
        <v>115.11651469098277</v>
      </c>
      <c r="F244" s="35">
        <f>E244/A241</f>
        <v>1.0010131712259371</v>
      </c>
      <c r="G244" s="49">
        <f t="shared" si="44"/>
        <v>8.6956521739130436E-3</v>
      </c>
      <c r="H244" s="7">
        <f>12671*0.48</f>
        <v>6082.08</v>
      </c>
      <c r="I244" s="19">
        <f t="shared" si="43"/>
        <v>52.887652173913047</v>
      </c>
    </row>
    <row r="245" spans="1:20" s="1" customFormat="1">
      <c r="A245" s="18"/>
      <c r="B245" s="5" t="s">
        <v>62</v>
      </c>
      <c r="C245" s="5" t="s">
        <v>17</v>
      </c>
      <c r="D245" s="5">
        <v>1</v>
      </c>
      <c r="E245" s="7">
        <f>247*8*(A241/1974)</f>
        <v>115.11651469098277</v>
      </c>
      <c r="F245" s="35">
        <f>E245/A241</f>
        <v>1.0010131712259371</v>
      </c>
      <c r="G245" s="49">
        <f t="shared" si="44"/>
        <v>8.6956521739130436E-3</v>
      </c>
      <c r="H245" s="7">
        <f>8400*0.48</f>
        <v>4032</v>
      </c>
      <c r="I245" s="19">
        <f t="shared" si="43"/>
        <v>35.060869565217395</v>
      </c>
    </row>
    <row r="246" spans="1:20" s="1" customFormat="1">
      <c r="A246" s="18"/>
      <c r="B246" s="5" t="s">
        <v>41</v>
      </c>
      <c r="C246" s="5" t="s">
        <v>17</v>
      </c>
      <c r="D246" s="5">
        <v>1</v>
      </c>
      <c r="E246" s="7">
        <f>247*8*(A241/1974)</f>
        <v>115.11651469098277</v>
      </c>
      <c r="F246" s="35">
        <f>E246/A241</f>
        <v>1.0010131712259371</v>
      </c>
      <c r="G246" s="49">
        <f t="shared" si="44"/>
        <v>8.6956521739130436E-3</v>
      </c>
      <c r="H246" s="7">
        <f>5920*0.48</f>
        <v>2841.6</v>
      </c>
      <c r="I246" s="19">
        <f t="shared" si="43"/>
        <v>24.709565217391305</v>
      </c>
    </row>
    <row r="247" spans="1:20" s="1" customFormat="1">
      <c r="A247" s="18"/>
      <c r="B247" s="5" t="s">
        <v>70</v>
      </c>
      <c r="C247" s="5" t="s">
        <v>17</v>
      </c>
      <c r="D247" s="5">
        <v>1</v>
      </c>
      <c r="E247" s="7">
        <f>247*8*(A241/1974)</f>
        <v>115.11651469098277</v>
      </c>
      <c r="F247" s="35">
        <f>E247/A241</f>
        <v>1.0010131712259371</v>
      </c>
      <c r="G247" s="49">
        <f t="shared" si="44"/>
        <v>8.6956521739130436E-3</v>
      </c>
      <c r="H247" s="7">
        <f>36000*0.48</f>
        <v>17280</v>
      </c>
      <c r="I247" s="19">
        <f t="shared" si="43"/>
        <v>150.2608695652174</v>
      </c>
    </row>
    <row r="248" spans="1:20" s="1" customFormat="1">
      <c r="A248" s="18"/>
      <c r="B248" s="44" t="s">
        <v>61</v>
      </c>
      <c r="C248" s="5" t="s">
        <v>17</v>
      </c>
      <c r="D248" s="5">
        <v>1</v>
      </c>
      <c r="E248" s="7">
        <f>247*8*(A241/1974)</f>
        <v>115.11651469098277</v>
      </c>
      <c r="F248" s="35">
        <f>E248/A241</f>
        <v>1.0010131712259371</v>
      </c>
      <c r="G248" s="49">
        <f t="shared" si="44"/>
        <v>8.6956521739130436E-3</v>
      </c>
      <c r="H248" s="7">
        <f>26400*0.48</f>
        <v>12672</v>
      </c>
      <c r="I248" s="19">
        <f t="shared" si="43"/>
        <v>110.19130434782609</v>
      </c>
    </row>
    <row r="249" spans="1:20" s="1" customFormat="1">
      <c r="A249" s="36"/>
      <c r="B249" s="66" t="s">
        <v>91</v>
      </c>
      <c r="C249" s="5" t="s">
        <v>17</v>
      </c>
      <c r="D249" s="5">
        <v>1</v>
      </c>
      <c r="E249" s="7">
        <f>247*8*(A241/1974)</f>
        <v>115.11651469098277</v>
      </c>
      <c r="F249" s="35">
        <f>E249/A241</f>
        <v>1.0010131712259371</v>
      </c>
      <c r="G249" s="49">
        <f t="shared" si="44"/>
        <v>8.6956521739130436E-3</v>
      </c>
      <c r="H249" s="7">
        <f>12000*0.48</f>
        <v>5760</v>
      </c>
      <c r="I249" s="19">
        <f t="shared" si="43"/>
        <v>50.086956521739133</v>
      </c>
    </row>
    <row r="250" spans="1:20" s="1" customFormat="1">
      <c r="A250" s="36"/>
      <c r="B250" s="66" t="s">
        <v>64</v>
      </c>
      <c r="C250" s="5" t="s">
        <v>17</v>
      </c>
      <c r="D250" s="5">
        <v>1</v>
      </c>
      <c r="E250" s="7">
        <f>247*8*(A241/1974)</f>
        <v>115.11651469098277</v>
      </c>
      <c r="F250" s="35">
        <f>E250/A241</f>
        <v>1.0010131712259371</v>
      </c>
      <c r="G250" s="49">
        <f t="shared" si="44"/>
        <v>8.6956521739130436E-3</v>
      </c>
      <c r="H250" s="7">
        <f>2000*0.48</f>
        <v>960</v>
      </c>
      <c r="I250" s="19">
        <f t="shared" si="43"/>
        <v>8.3478260869565215</v>
      </c>
    </row>
    <row r="251" spans="1:20" s="1" customFormat="1" ht="13.5" customHeight="1">
      <c r="A251" s="36"/>
      <c r="B251" s="66" t="s">
        <v>65</v>
      </c>
      <c r="C251" s="5" t="s">
        <v>17</v>
      </c>
      <c r="D251" s="5">
        <v>1</v>
      </c>
      <c r="E251" s="7">
        <f>247*8*(A241/1974)</f>
        <v>115.11651469098277</v>
      </c>
      <c r="F251" s="35">
        <f>E251/A241</f>
        <v>1.0010131712259371</v>
      </c>
      <c r="G251" s="49">
        <f t="shared" si="44"/>
        <v>8.6956521739130436E-3</v>
      </c>
      <c r="H251" s="7">
        <f>97*0.48</f>
        <v>46.559999999999995</v>
      </c>
      <c r="I251" s="19">
        <f t="shared" si="43"/>
        <v>0.40486956521739126</v>
      </c>
    </row>
    <row r="252" spans="1:20" s="1" customFormat="1" ht="15.75" thickBot="1">
      <c r="A252" s="20"/>
      <c r="B252" s="21"/>
      <c r="C252" s="21"/>
      <c r="D252" s="21"/>
      <c r="E252" s="21"/>
      <c r="F252" s="21"/>
      <c r="G252" s="25"/>
      <c r="H252" s="51"/>
      <c r="I252" s="24">
        <f>SUM(I240:I251)</f>
        <v>771.38921739130433</v>
      </c>
      <c r="J252" s="68">
        <f>(158715+24000+2097)*0.48</f>
        <v>88709.759999999995</v>
      </c>
      <c r="K252" s="68">
        <f>I252*A241</f>
        <v>88709.759999999995</v>
      </c>
    </row>
    <row r="254" spans="1:20" ht="19.5" thickBot="1">
      <c r="A254" s="73" t="s">
        <v>86</v>
      </c>
      <c r="H254"/>
      <c r="S254" s="1"/>
      <c r="T254" s="1"/>
    </row>
    <row r="255" spans="1:20" ht="105">
      <c r="A255" s="27" t="s">
        <v>2</v>
      </c>
      <c r="B255" s="28" t="s">
        <v>15</v>
      </c>
      <c r="C255" s="28" t="s">
        <v>14</v>
      </c>
      <c r="D255" s="28" t="s">
        <v>16</v>
      </c>
      <c r="E255" s="28" t="s">
        <v>27</v>
      </c>
      <c r="F255" s="28" t="s">
        <v>60</v>
      </c>
      <c r="G255" s="28" t="s">
        <v>29</v>
      </c>
      <c r="H255" s="28" t="s">
        <v>30</v>
      </c>
      <c r="I255" s="28" t="s">
        <v>11</v>
      </c>
      <c r="J255" s="2" t="s">
        <v>34</v>
      </c>
      <c r="K255" s="2" t="s">
        <v>33</v>
      </c>
    </row>
    <row r="256" spans="1:20" ht="15.75" thickBot="1">
      <c r="A256" s="47">
        <v>1</v>
      </c>
      <c r="B256" s="10">
        <v>2</v>
      </c>
      <c r="C256" s="10">
        <v>3</v>
      </c>
      <c r="D256" s="10">
        <v>4</v>
      </c>
      <c r="E256" s="10">
        <v>5</v>
      </c>
      <c r="F256" s="10">
        <v>6</v>
      </c>
      <c r="G256" s="10" t="s">
        <v>31</v>
      </c>
      <c r="H256" s="9">
        <v>8</v>
      </c>
      <c r="I256" s="48" t="s">
        <v>32</v>
      </c>
    </row>
    <row r="257" spans="1:11">
      <c r="A257" s="13" t="s">
        <v>71</v>
      </c>
      <c r="B257" s="14" t="s">
        <v>36</v>
      </c>
      <c r="C257" s="14" t="s">
        <v>17</v>
      </c>
      <c r="D257" s="14">
        <v>1</v>
      </c>
      <c r="E257" s="16">
        <f>247*8*(A258/1974)</f>
        <v>61.061803444782164</v>
      </c>
      <c r="F257" s="34">
        <f>E257/A258</f>
        <v>1.0010131712259371</v>
      </c>
      <c r="G257" s="50">
        <f>D257/E257*F257</f>
        <v>1.6393442622950821E-2</v>
      </c>
      <c r="H257" s="15">
        <f>23989*0.14</f>
        <v>3358.4600000000005</v>
      </c>
      <c r="I257" s="17">
        <f>H257*G257</f>
        <v>55.056721311475421</v>
      </c>
    </row>
    <row r="258" spans="1:11" s="1" customFormat="1">
      <c r="A258" s="64">
        <v>61</v>
      </c>
      <c r="B258" s="5" t="s">
        <v>37</v>
      </c>
      <c r="C258" s="5" t="s">
        <v>17</v>
      </c>
      <c r="D258" s="5">
        <v>1</v>
      </c>
      <c r="E258" s="7">
        <f>247*8*(A258/1974)</f>
        <v>61.061803444782164</v>
      </c>
      <c r="F258" s="35">
        <f>E258/A258</f>
        <v>1.0010131712259371</v>
      </c>
      <c r="G258" s="49">
        <f>D258/E258*F258</f>
        <v>1.6393442622950821E-2</v>
      </c>
      <c r="H258" s="6">
        <f>19200*0.14</f>
        <v>2688.0000000000005</v>
      </c>
      <c r="I258" s="19">
        <f t="shared" ref="I258:I271" si="45">H258*G258</f>
        <v>44.06557377049181</v>
      </c>
    </row>
    <row r="259" spans="1:11" s="1" customFormat="1">
      <c r="A259" s="18"/>
      <c r="B259" s="5" t="s">
        <v>40</v>
      </c>
      <c r="C259" s="5" t="s">
        <v>17</v>
      </c>
      <c r="D259" s="5">
        <v>1</v>
      </c>
      <c r="E259" s="7">
        <f>247*8*(A258/1974)</f>
        <v>61.061803444782164</v>
      </c>
      <c r="F259" s="35">
        <f>E259/A258</f>
        <v>1.0010131712259371</v>
      </c>
      <c r="G259" s="49">
        <f>D259/E259*F259</f>
        <v>1.6393442622950821E-2</v>
      </c>
      <c r="H259" s="6">
        <f>6000*0.14</f>
        <v>840.00000000000011</v>
      </c>
      <c r="I259" s="19">
        <f t="shared" si="45"/>
        <v>13.770491803278691</v>
      </c>
    </row>
    <row r="260" spans="1:11" s="1" customFormat="1">
      <c r="A260" s="18"/>
      <c r="B260" s="5" t="s">
        <v>38</v>
      </c>
      <c r="C260" s="5" t="s">
        <v>17</v>
      </c>
      <c r="D260" s="5">
        <v>1</v>
      </c>
      <c r="E260" s="7">
        <f>247*8*(A258/1974)</f>
        <v>61.061803444782164</v>
      </c>
      <c r="F260" s="35">
        <f>E260/A258</f>
        <v>1.0010131712259371</v>
      </c>
      <c r="G260" s="49">
        <f t="shared" ref="G260:G271" si="46">D260/E260*F260</f>
        <v>1.6393442622950821E-2</v>
      </c>
      <c r="H260" s="6">
        <f>(5292+24000)*0.14</f>
        <v>4100.88</v>
      </c>
      <c r="I260" s="19">
        <f t="shared" si="45"/>
        <v>67.227540983606559</v>
      </c>
    </row>
    <row r="261" spans="1:11" s="1" customFormat="1">
      <c r="A261" s="18"/>
      <c r="B261" s="5" t="s">
        <v>39</v>
      </c>
      <c r="C261" s="5" t="s">
        <v>17</v>
      </c>
      <c r="D261" s="5">
        <v>1</v>
      </c>
      <c r="E261" s="7">
        <f>247*8*(A258/1974)</f>
        <v>61.061803444782164</v>
      </c>
      <c r="F261" s="35">
        <f>E261/A258</f>
        <v>1.0010131712259371</v>
      </c>
      <c r="G261" s="49">
        <f t="shared" si="46"/>
        <v>1.6393442622950821E-2</v>
      </c>
      <c r="H261" s="7">
        <f>9944*0.14</f>
        <v>1392.16</v>
      </c>
      <c r="I261" s="19">
        <f t="shared" si="45"/>
        <v>22.822295081967216</v>
      </c>
    </row>
    <row r="262" spans="1:11" s="1" customFormat="1">
      <c r="A262" s="18"/>
      <c r="B262" s="5" t="s">
        <v>62</v>
      </c>
      <c r="C262" s="5" t="s">
        <v>17</v>
      </c>
      <c r="D262" s="5">
        <v>1</v>
      </c>
      <c r="E262" s="7">
        <f>247*8*(A258/1974)</f>
        <v>61.061803444782164</v>
      </c>
      <c r="F262" s="35">
        <f>E262/A258</f>
        <v>1.0010131712259371</v>
      </c>
      <c r="G262" s="49">
        <f t="shared" si="46"/>
        <v>1.6393442622950821E-2</v>
      </c>
      <c r="H262" s="7">
        <f>8000*0.14</f>
        <v>1120</v>
      </c>
      <c r="I262" s="19">
        <f t="shared" si="45"/>
        <v>18.360655737704921</v>
      </c>
    </row>
    <row r="263" spans="1:11" s="1" customFormat="1">
      <c r="A263" s="18"/>
      <c r="B263" s="5" t="s">
        <v>41</v>
      </c>
      <c r="C263" s="5" t="s">
        <v>17</v>
      </c>
      <c r="D263" s="5">
        <v>1</v>
      </c>
      <c r="E263" s="7">
        <f>247*8*(A258/1974)</f>
        <v>61.061803444782164</v>
      </c>
      <c r="F263" s="35">
        <f>E263/A258</f>
        <v>1.0010131712259371</v>
      </c>
      <c r="G263" s="49">
        <f t="shared" si="46"/>
        <v>1.6393442622950821E-2</v>
      </c>
      <c r="H263" s="7">
        <f>11400*0.14</f>
        <v>1596.0000000000002</v>
      </c>
      <c r="I263" s="19">
        <f t="shared" si="45"/>
        <v>26.163934426229513</v>
      </c>
    </row>
    <row r="264" spans="1:11" s="1" customFormat="1">
      <c r="A264" s="18"/>
      <c r="B264" s="5" t="s">
        <v>70</v>
      </c>
      <c r="C264" s="5" t="s">
        <v>17</v>
      </c>
      <c r="D264" s="5">
        <v>1</v>
      </c>
      <c r="E264" s="7">
        <f>247*8*(A258/1974)</f>
        <v>61.061803444782164</v>
      </c>
      <c r="F264" s="35">
        <f>E264/A258</f>
        <v>1.0010131712259371</v>
      </c>
      <c r="G264" s="49">
        <f t="shared" si="46"/>
        <v>1.6393442622950821E-2</v>
      </c>
      <c r="H264" s="7">
        <f>36000*0.14</f>
        <v>5040.0000000000009</v>
      </c>
      <c r="I264" s="19">
        <f t="shared" si="45"/>
        <v>82.622950819672155</v>
      </c>
    </row>
    <row r="265" spans="1:11" s="1" customFormat="1">
      <c r="A265" s="18"/>
      <c r="B265" s="44" t="s">
        <v>61</v>
      </c>
      <c r="C265" s="5" t="s">
        <v>17</v>
      </c>
      <c r="D265" s="5">
        <v>1</v>
      </c>
      <c r="E265" s="7">
        <f>247*8*(A258/1974)</f>
        <v>61.061803444782164</v>
      </c>
      <c r="F265" s="35">
        <f>E265/A258</f>
        <v>1.0010131712259371</v>
      </c>
      <c r="G265" s="49">
        <f t="shared" si="46"/>
        <v>1.6393442622950821E-2</v>
      </c>
      <c r="H265" s="7">
        <f>25200*0.14</f>
        <v>3528.0000000000005</v>
      </c>
      <c r="I265" s="19">
        <f t="shared" si="45"/>
        <v>57.836065573770504</v>
      </c>
    </row>
    <row r="266" spans="1:11" s="1" customFormat="1">
      <c r="A266" s="36"/>
      <c r="B266" s="66" t="s">
        <v>91</v>
      </c>
      <c r="C266" s="5" t="s">
        <v>17</v>
      </c>
      <c r="D266" s="5">
        <v>1</v>
      </c>
      <c r="E266" s="7">
        <f>247*8*(A258/1974)</f>
        <v>61.061803444782164</v>
      </c>
      <c r="F266" s="35">
        <f>E266/A258</f>
        <v>1.0010131712259371</v>
      </c>
      <c r="G266" s="49">
        <f t="shared" si="46"/>
        <v>1.6393442622950821E-2</v>
      </c>
      <c r="H266" s="7">
        <f>6000*0.14</f>
        <v>840.00000000000011</v>
      </c>
      <c r="I266" s="19">
        <f t="shared" si="45"/>
        <v>13.770491803278691</v>
      </c>
    </row>
    <row r="267" spans="1:11" s="1" customFormat="1">
      <c r="A267" s="36"/>
      <c r="B267" s="66" t="s">
        <v>92</v>
      </c>
      <c r="C267" s="5" t="s">
        <v>17</v>
      </c>
      <c r="D267" s="5">
        <v>1</v>
      </c>
      <c r="E267" s="7">
        <f>247*8*(A258/1974)</f>
        <v>61.061803444782164</v>
      </c>
      <c r="F267" s="35">
        <f>E267/A258</f>
        <v>1.0010131712259371</v>
      </c>
      <c r="G267" s="49">
        <f t="shared" si="46"/>
        <v>1.6393442622950821E-2</v>
      </c>
      <c r="H267" s="7">
        <f>(3038+6864)*0.14</f>
        <v>1386.2800000000002</v>
      </c>
      <c r="I267" s="19">
        <f t="shared" si="45"/>
        <v>22.725901639344265</v>
      </c>
    </row>
    <row r="268" spans="1:11" s="1" customFormat="1">
      <c r="A268" s="36"/>
      <c r="B268" s="66" t="s">
        <v>93</v>
      </c>
      <c r="C268" s="5" t="s">
        <v>17</v>
      </c>
      <c r="D268" s="5">
        <v>1</v>
      </c>
      <c r="E268" s="7">
        <f>247*8*(A258/1974)</f>
        <v>61.061803444782164</v>
      </c>
      <c r="F268" s="35">
        <f>E268/A258</f>
        <v>1.0010131712259371</v>
      </c>
      <c r="G268" s="49">
        <f t="shared" si="46"/>
        <v>1.6393442622950821E-2</v>
      </c>
      <c r="H268" s="7">
        <f>98000*0.14</f>
        <v>13720.000000000002</v>
      </c>
      <c r="I268" s="19">
        <f t="shared" si="45"/>
        <v>224.91803278688528</v>
      </c>
    </row>
    <row r="269" spans="1:11" s="1" customFormat="1">
      <c r="A269" s="36"/>
      <c r="B269" s="66" t="s">
        <v>94</v>
      </c>
      <c r="C269" s="5" t="s">
        <v>17</v>
      </c>
      <c r="D269" s="5">
        <v>1</v>
      </c>
      <c r="E269" s="7">
        <f>247*8*(A258/1974)</f>
        <v>61.061803444782164</v>
      </c>
      <c r="F269" s="35">
        <f>E269/A258</f>
        <v>1.0010131712259371</v>
      </c>
      <c r="G269" s="49">
        <f t="shared" si="46"/>
        <v>1.6393442622950821E-2</v>
      </c>
      <c r="H269" s="7">
        <f>100219*0.14</f>
        <v>14030.660000000002</v>
      </c>
      <c r="I269" s="19">
        <f t="shared" si="45"/>
        <v>230.01081967213119</v>
      </c>
    </row>
    <row r="270" spans="1:11" s="1" customFormat="1">
      <c r="A270" s="36"/>
      <c r="B270" s="66" t="s">
        <v>64</v>
      </c>
      <c r="C270" s="5" t="s">
        <v>17</v>
      </c>
      <c r="D270" s="5">
        <v>1</v>
      </c>
      <c r="E270" s="7">
        <f>247*8*(A258/1974)</f>
        <v>61.061803444782164</v>
      </c>
      <c r="F270" s="35">
        <f>E270/A258</f>
        <v>1.0010131712259371</v>
      </c>
      <c r="G270" s="49">
        <f t="shared" si="46"/>
        <v>1.6393442622950821E-2</v>
      </c>
      <c r="H270" s="7">
        <f>2000*0.14</f>
        <v>280</v>
      </c>
      <c r="I270" s="19">
        <f t="shared" si="45"/>
        <v>4.5901639344262302</v>
      </c>
    </row>
    <row r="271" spans="1:11" s="1" customFormat="1" ht="13.5" customHeight="1">
      <c r="A271" s="36"/>
      <c r="B271" s="66" t="s">
        <v>65</v>
      </c>
      <c r="C271" s="5" t="s">
        <v>17</v>
      </c>
      <c r="D271" s="5">
        <v>1</v>
      </c>
      <c r="E271" s="7">
        <f>247*8*(A258/1974)</f>
        <v>61.061803444782164</v>
      </c>
      <c r="F271" s="35">
        <f>E271/A258</f>
        <v>1.0010131712259371</v>
      </c>
      <c r="G271" s="49">
        <f t="shared" si="46"/>
        <v>1.6393442622950821E-2</v>
      </c>
      <c r="H271" s="7">
        <f>532*0.14</f>
        <v>74.48</v>
      </c>
      <c r="I271" s="19">
        <f t="shared" si="45"/>
        <v>1.2209836065573771</v>
      </c>
    </row>
    <row r="272" spans="1:11" s="1" customFormat="1" ht="15.75" thickBot="1">
      <c r="A272" s="20"/>
      <c r="B272" s="21"/>
      <c r="C272" s="21"/>
      <c r="D272" s="21"/>
      <c r="E272" s="21"/>
      <c r="F272" s="21"/>
      <c r="G272" s="25"/>
      <c r="H272" s="51"/>
      <c r="I272" s="24">
        <f>SUM(I257:I271)</f>
        <v>885.16262295081981</v>
      </c>
      <c r="J272" s="68">
        <f>(366630-2348-12000+24000+2532+6864)*0.14</f>
        <v>53994.920000000006</v>
      </c>
      <c r="K272" s="68">
        <f>I272*A258</f>
        <v>53994.920000000006</v>
      </c>
    </row>
    <row r="273" spans="1:11">
      <c r="A273" s="13" t="s">
        <v>76</v>
      </c>
      <c r="B273" s="14" t="s">
        <v>36</v>
      </c>
      <c r="C273" s="14" t="s">
        <v>17</v>
      </c>
      <c r="D273" s="14">
        <v>1</v>
      </c>
      <c r="E273" s="16">
        <f>247*8*(A274/1974)</f>
        <v>34.034447821681866</v>
      </c>
      <c r="F273" s="34">
        <f>E273/A274</f>
        <v>1.0010131712259371</v>
      </c>
      <c r="G273" s="50">
        <f>D273/E273*F273</f>
        <v>2.9411764705882353E-2</v>
      </c>
      <c r="H273" s="15">
        <f>26169*0.06</f>
        <v>1570.1399999999999</v>
      </c>
      <c r="I273" s="17">
        <f>H273*G273</f>
        <v>46.18058823529411</v>
      </c>
    </row>
    <row r="274" spans="1:11" s="1" customFormat="1">
      <c r="A274" s="64">
        <v>34</v>
      </c>
      <c r="B274" s="5" t="s">
        <v>37</v>
      </c>
      <c r="C274" s="5" t="s">
        <v>17</v>
      </c>
      <c r="D274" s="5">
        <v>1</v>
      </c>
      <c r="E274" s="7">
        <f>247*8*(A274/1974)</f>
        <v>34.034447821681866</v>
      </c>
      <c r="F274" s="35">
        <f>E274/A274</f>
        <v>1.0010131712259371</v>
      </c>
      <c r="G274" s="49">
        <f>D274/E274*F274</f>
        <v>2.9411764705882353E-2</v>
      </c>
      <c r="H274" s="6">
        <f>36000*0.06</f>
        <v>2160</v>
      </c>
      <c r="I274" s="19">
        <f t="shared" ref="I274:I284" si="47">H274*G274</f>
        <v>63.529411764705884</v>
      </c>
    </row>
    <row r="275" spans="1:11" s="1" customFormat="1">
      <c r="A275" s="18"/>
      <c r="B275" s="5" t="s">
        <v>40</v>
      </c>
      <c r="C275" s="5" t="s">
        <v>17</v>
      </c>
      <c r="D275" s="5">
        <v>1</v>
      </c>
      <c r="E275" s="7">
        <f>247*8*(A274/1974)</f>
        <v>34.034447821681866</v>
      </c>
      <c r="F275" s="35">
        <f>E275/A274</f>
        <v>1.0010131712259371</v>
      </c>
      <c r="G275" s="49">
        <f>D275/E275*F275</f>
        <v>2.9411764705882353E-2</v>
      </c>
      <c r="H275" s="6">
        <f>36000*0.06</f>
        <v>2160</v>
      </c>
      <c r="I275" s="19">
        <f t="shared" si="47"/>
        <v>63.529411764705884</v>
      </c>
    </row>
    <row r="276" spans="1:11" s="1" customFormat="1">
      <c r="A276" s="18"/>
      <c r="B276" s="5" t="s">
        <v>38</v>
      </c>
      <c r="C276" s="5" t="s">
        <v>17</v>
      </c>
      <c r="D276" s="5">
        <v>1</v>
      </c>
      <c r="E276" s="7">
        <f>247*8*(A274/1974)</f>
        <v>34.034447821681866</v>
      </c>
      <c r="F276" s="35">
        <f>E276/A274</f>
        <v>1.0010131712259371</v>
      </c>
      <c r="G276" s="49">
        <f t="shared" ref="G276:G284" si="48">D276/E276*F276</f>
        <v>2.9411764705882353E-2</v>
      </c>
      <c r="H276" s="6">
        <f>(10584+48000)*0.06</f>
        <v>3515.04</v>
      </c>
      <c r="I276" s="19">
        <f t="shared" si="47"/>
        <v>103.3835294117647</v>
      </c>
    </row>
    <row r="277" spans="1:11" s="1" customFormat="1">
      <c r="A277" s="18"/>
      <c r="B277" s="5" t="s">
        <v>39</v>
      </c>
      <c r="C277" s="5" t="s">
        <v>17</v>
      </c>
      <c r="D277" s="5">
        <v>1</v>
      </c>
      <c r="E277" s="7">
        <f>247*8*(A274/1974)</f>
        <v>34.034447821681866</v>
      </c>
      <c r="F277" s="35">
        <f>E277/A274</f>
        <v>1.0010131712259371</v>
      </c>
      <c r="G277" s="49">
        <f t="shared" si="48"/>
        <v>2.9411764705882353E-2</v>
      </c>
      <c r="H277" s="7">
        <f>12672*0.06</f>
        <v>760.31999999999994</v>
      </c>
      <c r="I277" s="19">
        <f t="shared" si="47"/>
        <v>22.362352941176468</v>
      </c>
    </row>
    <row r="278" spans="1:11" s="1" customFormat="1">
      <c r="A278" s="18"/>
      <c r="B278" s="5" t="s">
        <v>62</v>
      </c>
      <c r="C278" s="5" t="s">
        <v>17</v>
      </c>
      <c r="D278" s="5">
        <v>1</v>
      </c>
      <c r="E278" s="7">
        <f>247*8*(A274/1974)</f>
        <v>34.034447821681866</v>
      </c>
      <c r="F278" s="35">
        <f>E278/A274</f>
        <v>1.0010131712259371</v>
      </c>
      <c r="G278" s="49">
        <f t="shared" si="48"/>
        <v>2.9411764705882353E-2</v>
      </c>
      <c r="H278" s="7">
        <f>13892*0.06</f>
        <v>833.52</v>
      </c>
      <c r="I278" s="19">
        <f t="shared" si="47"/>
        <v>24.515294117647059</v>
      </c>
    </row>
    <row r="279" spans="1:11" s="1" customFormat="1">
      <c r="A279" s="18"/>
      <c r="B279" s="5" t="s">
        <v>41</v>
      </c>
      <c r="C279" s="5" t="s">
        <v>17</v>
      </c>
      <c r="D279" s="5">
        <v>1</v>
      </c>
      <c r="E279" s="7">
        <f>247*8*(A274/1974)</f>
        <v>34.034447821681866</v>
      </c>
      <c r="F279" s="35">
        <f>E279/A274</f>
        <v>1.0010131712259371</v>
      </c>
      <c r="G279" s="49">
        <f t="shared" si="48"/>
        <v>2.9411764705882353E-2</v>
      </c>
      <c r="H279" s="7">
        <f>24101*0.06</f>
        <v>1446.06</v>
      </c>
      <c r="I279" s="19">
        <f t="shared" si="47"/>
        <v>42.531176470588235</v>
      </c>
    </row>
    <row r="280" spans="1:11" s="1" customFormat="1">
      <c r="A280" s="18"/>
      <c r="B280" s="5" t="s">
        <v>70</v>
      </c>
      <c r="C280" s="5" t="s">
        <v>17</v>
      </c>
      <c r="D280" s="5">
        <v>1</v>
      </c>
      <c r="E280" s="7">
        <f>247*8*(A274/1974)</f>
        <v>34.034447821681866</v>
      </c>
      <c r="F280" s="35">
        <f>E280/A274</f>
        <v>1.0010131712259371</v>
      </c>
      <c r="G280" s="49">
        <f t="shared" si="48"/>
        <v>2.9411764705882353E-2</v>
      </c>
      <c r="H280" s="7">
        <f>72000*0.06</f>
        <v>4320</v>
      </c>
      <c r="I280" s="19">
        <f t="shared" si="47"/>
        <v>127.05882352941177</v>
      </c>
    </row>
    <row r="281" spans="1:11" s="1" customFormat="1">
      <c r="A281" s="18"/>
      <c r="B281" s="44" t="s">
        <v>61</v>
      </c>
      <c r="C281" s="5" t="s">
        <v>17</v>
      </c>
      <c r="D281" s="5">
        <v>1</v>
      </c>
      <c r="E281" s="7">
        <f>247*8*(A274/1974)</f>
        <v>34.034447821681866</v>
      </c>
      <c r="F281" s="35">
        <f>E281/A274</f>
        <v>1.0010131712259371</v>
      </c>
      <c r="G281" s="49">
        <f t="shared" si="48"/>
        <v>2.9411764705882353E-2</v>
      </c>
      <c r="H281" s="7">
        <f>50400*0.06</f>
        <v>3024</v>
      </c>
      <c r="I281" s="19">
        <f t="shared" si="47"/>
        <v>88.941176470588232</v>
      </c>
    </row>
    <row r="282" spans="1:11" s="1" customFormat="1">
      <c r="A282" s="36"/>
      <c r="B282" s="66" t="s">
        <v>91</v>
      </c>
      <c r="C282" s="5" t="s">
        <v>17</v>
      </c>
      <c r="D282" s="5">
        <v>1</v>
      </c>
      <c r="E282" s="7">
        <f>247*8*(A274/1974)</f>
        <v>34.034447821681866</v>
      </c>
      <c r="F282" s="35">
        <f>E282/A274</f>
        <v>1.0010131712259371</v>
      </c>
      <c r="G282" s="49">
        <f t="shared" si="48"/>
        <v>2.9411764705882353E-2</v>
      </c>
      <c r="H282" s="7">
        <f>12000*0.06</f>
        <v>720</v>
      </c>
      <c r="I282" s="19">
        <f t="shared" si="47"/>
        <v>21.176470588235293</v>
      </c>
    </row>
    <row r="283" spans="1:11" s="1" customFormat="1">
      <c r="A283" s="36"/>
      <c r="B283" s="66" t="s">
        <v>64</v>
      </c>
      <c r="C283" s="5" t="s">
        <v>17</v>
      </c>
      <c r="D283" s="5">
        <v>1</v>
      </c>
      <c r="E283" s="7">
        <f>247*8*(A274/1974)</f>
        <v>34.034447821681866</v>
      </c>
      <c r="F283" s="35">
        <f>E283/A274</f>
        <v>1.0010131712259371</v>
      </c>
      <c r="G283" s="49">
        <f t="shared" si="48"/>
        <v>2.9411764705882353E-2</v>
      </c>
      <c r="H283" s="7">
        <f>2000*0.06</f>
        <v>120</v>
      </c>
      <c r="I283" s="19">
        <f t="shared" si="47"/>
        <v>3.5294117647058822</v>
      </c>
    </row>
    <row r="284" spans="1:11" s="1" customFormat="1" ht="13.5" customHeight="1">
      <c r="A284" s="36"/>
      <c r="B284" s="66" t="s">
        <v>65</v>
      </c>
      <c r="C284" s="5" t="s">
        <v>17</v>
      </c>
      <c r="D284" s="5">
        <v>1</v>
      </c>
      <c r="E284" s="7">
        <f>247*8*(A274/1974)</f>
        <v>34.034447821681866</v>
      </c>
      <c r="F284" s="35">
        <f>E284/A274</f>
        <v>1.0010131712259371</v>
      </c>
      <c r="G284" s="49">
        <f t="shared" si="48"/>
        <v>2.9411764705882353E-2</v>
      </c>
      <c r="H284" s="7">
        <f>528*0.06</f>
        <v>31.68</v>
      </c>
      <c r="I284" s="19">
        <f t="shared" si="47"/>
        <v>0.93176470588235294</v>
      </c>
    </row>
    <row r="285" spans="1:11" s="1" customFormat="1" ht="15.75" thickBot="1">
      <c r="A285" s="20"/>
      <c r="B285" s="21"/>
      <c r="C285" s="21"/>
      <c r="D285" s="21"/>
      <c r="E285" s="21"/>
      <c r="F285" s="21"/>
      <c r="G285" s="25"/>
      <c r="H285" s="51"/>
      <c r="I285" s="24">
        <f>SUM(I273:I284)</f>
        <v>607.66941176470573</v>
      </c>
      <c r="J285" s="68">
        <f>(293818+48000+2528)*0.06</f>
        <v>20660.759999999998</v>
      </c>
      <c r="K285" s="68">
        <f>I285*A274</f>
        <v>20660.759999999995</v>
      </c>
    </row>
    <row r="286" spans="1:11">
      <c r="A286" s="13" t="s">
        <v>77</v>
      </c>
      <c r="B286" s="14" t="s">
        <v>36</v>
      </c>
      <c r="C286" s="14" t="s">
        <v>17</v>
      </c>
      <c r="D286" s="14">
        <v>1</v>
      </c>
      <c r="E286" s="16">
        <f>247*8*(A287/1974)</f>
        <v>35.035460992907801</v>
      </c>
      <c r="F286" s="34">
        <f>E286/A287</f>
        <v>1.0010131712259371</v>
      </c>
      <c r="G286" s="50">
        <f>D286/E286*F286</f>
        <v>2.8571428571428571E-2</v>
      </c>
      <c r="H286" s="15">
        <f>21371*0.09</f>
        <v>1923.3899999999999</v>
      </c>
      <c r="I286" s="17">
        <f>H286*G286</f>
        <v>54.953999999999994</v>
      </c>
    </row>
    <row r="287" spans="1:11" s="1" customFormat="1">
      <c r="A287" s="64">
        <v>35</v>
      </c>
      <c r="B287" s="5" t="s">
        <v>37</v>
      </c>
      <c r="C287" s="5" t="s">
        <v>17</v>
      </c>
      <c r="D287" s="5">
        <v>1</v>
      </c>
      <c r="E287" s="7">
        <f>247*8*(A287/1974)</f>
        <v>35.035460992907801</v>
      </c>
      <c r="F287" s="35">
        <f>E287/A287</f>
        <v>1.0010131712259371</v>
      </c>
      <c r="G287" s="49">
        <f>D287/E287*F287</f>
        <v>2.8571428571428571E-2</v>
      </c>
      <c r="H287" s="6">
        <f>25200*0.09</f>
        <v>2268</v>
      </c>
      <c r="I287" s="19">
        <f t="shared" ref="I287:I297" si="49">H287*G287</f>
        <v>64.8</v>
      </c>
    </row>
    <row r="288" spans="1:11" s="1" customFormat="1">
      <c r="A288" s="18"/>
      <c r="B288" s="5" t="s">
        <v>40</v>
      </c>
      <c r="C288" s="5" t="s">
        <v>17</v>
      </c>
      <c r="D288" s="5">
        <v>1</v>
      </c>
      <c r="E288" s="7">
        <f>247*8*(A287/1974)</f>
        <v>35.035460992907801</v>
      </c>
      <c r="F288" s="35">
        <f>E288/A287</f>
        <v>1.0010131712259371</v>
      </c>
      <c r="G288" s="49">
        <f>D288/E288*F288</f>
        <v>2.8571428571428571E-2</v>
      </c>
      <c r="H288" s="6">
        <f>26400*0.09</f>
        <v>2376</v>
      </c>
      <c r="I288" s="19">
        <f t="shared" si="49"/>
        <v>67.885714285714286</v>
      </c>
    </row>
    <row r="289" spans="1:11" s="1" customFormat="1">
      <c r="A289" s="18"/>
      <c r="B289" s="5" t="s">
        <v>38</v>
      </c>
      <c r="C289" s="5" t="s">
        <v>17</v>
      </c>
      <c r="D289" s="5">
        <v>1</v>
      </c>
      <c r="E289" s="7">
        <f>247*8*(A287/1974)</f>
        <v>35.035460992907801</v>
      </c>
      <c r="F289" s="35">
        <f>E289/A287</f>
        <v>1.0010131712259371</v>
      </c>
      <c r="G289" s="49">
        <f t="shared" ref="G289:G297" si="50">D289/E289*F289</f>
        <v>2.8571428571428571E-2</v>
      </c>
      <c r="H289" s="6">
        <f>(4940+24000)*0.09</f>
        <v>2604.6</v>
      </c>
      <c r="I289" s="19">
        <f t="shared" si="49"/>
        <v>74.417142857142849</v>
      </c>
    </row>
    <row r="290" spans="1:11" s="1" customFormat="1">
      <c r="A290" s="18"/>
      <c r="B290" s="5" t="s">
        <v>39</v>
      </c>
      <c r="C290" s="5" t="s">
        <v>17</v>
      </c>
      <c r="D290" s="5">
        <v>1</v>
      </c>
      <c r="E290" s="7">
        <f>247*8*(A287/1974)</f>
        <v>35.035460992907801</v>
      </c>
      <c r="F290" s="35">
        <f>E290/A287</f>
        <v>1.0010131712259371</v>
      </c>
      <c r="G290" s="49">
        <f t="shared" si="50"/>
        <v>2.8571428571428571E-2</v>
      </c>
      <c r="H290" s="7">
        <f>9086*0.09</f>
        <v>817.74</v>
      </c>
      <c r="I290" s="19">
        <f t="shared" si="49"/>
        <v>23.364000000000001</v>
      </c>
    </row>
    <row r="291" spans="1:11" s="1" customFormat="1">
      <c r="A291" s="18"/>
      <c r="B291" s="5" t="s">
        <v>62</v>
      </c>
      <c r="C291" s="5" t="s">
        <v>17</v>
      </c>
      <c r="D291" s="5">
        <v>1</v>
      </c>
      <c r="E291" s="7">
        <f>247*8*(A287/1974)</f>
        <v>35.035460992907801</v>
      </c>
      <c r="F291" s="35">
        <f>E291/A287</f>
        <v>1.0010131712259371</v>
      </c>
      <c r="G291" s="49">
        <f t="shared" si="50"/>
        <v>2.8571428571428571E-2</v>
      </c>
      <c r="H291" s="7">
        <f>6500*0.09</f>
        <v>585</v>
      </c>
      <c r="I291" s="19">
        <f t="shared" si="49"/>
        <v>16.714285714285715</v>
      </c>
    </row>
    <row r="292" spans="1:11" s="1" customFormat="1">
      <c r="A292" s="18"/>
      <c r="B292" s="5" t="s">
        <v>41</v>
      </c>
      <c r="C292" s="5" t="s">
        <v>17</v>
      </c>
      <c r="D292" s="5">
        <v>1</v>
      </c>
      <c r="E292" s="7">
        <f>247*8*(A287/1974)</f>
        <v>35.035460992907801</v>
      </c>
      <c r="F292" s="35">
        <f>E292/A287</f>
        <v>1.0010131712259371</v>
      </c>
      <c r="G292" s="49">
        <f t="shared" si="50"/>
        <v>2.8571428571428571E-2</v>
      </c>
      <c r="H292" s="7">
        <f>8958*0.09</f>
        <v>806.21999999999991</v>
      </c>
      <c r="I292" s="19">
        <f t="shared" si="49"/>
        <v>23.034857142857138</v>
      </c>
    </row>
    <row r="293" spans="1:11" s="1" customFormat="1">
      <c r="A293" s="18"/>
      <c r="B293" s="5" t="s">
        <v>70</v>
      </c>
      <c r="C293" s="5" t="s">
        <v>17</v>
      </c>
      <c r="D293" s="5">
        <v>1</v>
      </c>
      <c r="E293" s="7">
        <f>247*8*(A287/1974)</f>
        <v>35.035460992907801</v>
      </c>
      <c r="F293" s="35">
        <f>E293/A287</f>
        <v>1.0010131712259371</v>
      </c>
      <c r="G293" s="49">
        <f t="shared" si="50"/>
        <v>2.8571428571428571E-2</v>
      </c>
      <c r="H293" s="7">
        <f>36000*0.09</f>
        <v>3240</v>
      </c>
      <c r="I293" s="19">
        <f t="shared" si="49"/>
        <v>92.571428571428569</v>
      </c>
    </row>
    <row r="294" spans="1:11" s="1" customFormat="1">
      <c r="A294" s="18"/>
      <c r="B294" s="44" t="s">
        <v>61</v>
      </c>
      <c r="C294" s="5" t="s">
        <v>17</v>
      </c>
      <c r="D294" s="5">
        <v>1</v>
      </c>
      <c r="E294" s="7">
        <f>247*8*(A287/1974)</f>
        <v>35.035460992907801</v>
      </c>
      <c r="F294" s="35">
        <f>E294/A287</f>
        <v>1.0010131712259371</v>
      </c>
      <c r="G294" s="49">
        <f t="shared" si="50"/>
        <v>2.8571428571428571E-2</v>
      </c>
      <c r="H294" s="7">
        <f>30000*0.09</f>
        <v>2700</v>
      </c>
      <c r="I294" s="19">
        <f t="shared" si="49"/>
        <v>77.142857142857139</v>
      </c>
    </row>
    <row r="295" spans="1:11" s="1" customFormat="1">
      <c r="A295" s="36"/>
      <c r="B295" s="66" t="s">
        <v>91</v>
      </c>
      <c r="C295" s="5" t="s">
        <v>17</v>
      </c>
      <c r="D295" s="5">
        <v>1</v>
      </c>
      <c r="E295" s="7">
        <f>247*8*(A287/1974)</f>
        <v>35.035460992907801</v>
      </c>
      <c r="F295" s="35">
        <f>E295/A287</f>
        <v>1.0010131712259371</v>
      </c>
      <c r="G295" s="49">
        <f t="shared" si="50"/>
        <v>2.8571428571428571E-2</v>
      </c>
      <c r="H295" s="7">
        <f>18000*0.09</f>
        <v>1620</v>
      </c>
      <c r="I295" s="19">
        <f t="shared" si="49"/>
        <v>46.285714285714285</v>
      </c>
    </row>
    <row r="296" spans="1:11" s="1" customFormat="1">
      <c r="A296" s="36"/>
      <c r="B296" s="66" t="s">
        <v>64</v>
      </c>
      <c r="C296" s="5" t="s">
        <v>17</v>
      </c>
      <c r="D296" s="5">
        <v>1</v>
      </c>
      <c r="E296" s="7">
        <f>247*8*(A287/1974)</f>
        <v>35.035460992907801</v>
      </c>
      <c r="F296" s="35">
        <f>E296/A287</f>
        <v>1.0010131712259371</v>
      </c>
      <c r="G296" s="49">
        <f t="shared" si="50"/>
        <v>2.8571428571428571E-2</v>
      </c>
      <c r="H296" s="7">
        <f>2000*0.09</f>
        <v>180</v>
      </c>
      <c r="I296" s="19">
        <f t="shared" si="49"/>
        <v>5.1428571428571423</v>
      </c>
    </row>
    <row r="297" spans="1:11" s="1" customFormat="1" ht="13.5" customHeight="1">
      <c r="A297" s="36"/>
      <c r="B297" s="66" t="s">
        <v>65</v>
      </c>
      <c r="C297" s="5" t="s">
        <v>17</v>
      </c>
      <c r="D297" s="5">
        <v>1</v>
      </c>
      <c r="E297" s="7">
        <f>247*8*(A287/1974)</f>
        <v>35.035460992907801</v>
      </c>
      <c r="F297" s="35">
        <f>E297/A287</f>
        <v>1.0010131712259371</v>
      </c>
      <c r="G297" s="49">
        <f t="shared" si="50"/>
        <v>2.8571428571428571E-2</v>
      </c>
      <c r="H297" s="7">
        <f>454*0.09</f>
        <v>40.86</v>
      </c>
      <c r="I297" s="19">
        <f t="shared" si="49"/>
        <v>1.1674285714285715</v>
      </c>
    </row>
    <row r="298" spans="1:11" s="1" customFormat="1" ht="15.75" thickBot="1">
      <c r="A298" s="20"/>
      <c r="B298" s="21"/>
      <c r="C298" s="21"/>
      <c r="D298" s="21"/>
      <c r="E298" s="21"/>
      <c r="F298" s="21"/>
      <c r="G298" s="25"/>
      <c r="H298" s="51"/>
      <c r="I298" s="24">
        <f>SUM(I286:I297)</f>
        <v>547.48028571428563</v>
      </c>
      <c r="J298" s="68">
        <f>(186455+24000+2454)*0.09</f>
        <v>19161.809999999998</v>
      </c>
      <c r="K298" s="68">
        <f>I298*A287</f>
        <v>19161.809999999998</v>
      </c>
    </row>
    <row r="299" spans="1:11">
      <c r="A299" s="13" t="s">
        <v>78</v>
      </c>
      <c r="B299" s="14" t="s">
        <v>36</v>
      </c>
      <c r="C299" s="14" t="s">
        <v>17</v>
      </c>
      <c r="D299" s="14">
        <v>1</v>
      </c>
      <c r="E299" s="16">
        <f>247*8*(A300/1974)</f>
        <v>60.060790273556229</v>
      </c>
      <c r="F299" s="34">
        <f>E299/A300</f>
        <v>1.0010131712259371</v>
      </c>
      <c r="G299" s="50">
        <f>D299/E299*F299</f>
        <v>1.6666666666666666E-2</v>
      </c>
      <c r="H299" s="15">
        <f>35983*0.08</f>
        <v>2878.64</v>
      </c>
      <c r="I299" s="17">
        <f>H299*G299</f>
        <v>47.977333333333334</v>
      </c>
    </row>
    <row r="300" spans="1:11" s="1" customFormat="1">
      <c r="A300" s="64">
        <v>60</v>
      </c>
      <c r="B300" s="5" t="s">
        <v>37</v>
      </c>
      <c r="C300" s="5" t="s">
        <v>17</v>
      </c>
      <c r="D300" s="5">
        <v>1</v>
      </c>
      <c r="E300" s="7">
        <f>247*8*(A300/1974)</f>
        <v>60.060790273556229</v>
      </c>
      <c r="F300" s="35">
        <f>E300/A300</f>
        <v>1.0010131712259371</v>
      </c>
      <c r="G300" s="49">
        <f>D300/E300*F300</f>
        <v>1.6666666666666666E-2</v>
      </c>
      <c r="H300" s="6">
        <f>21600*0.08</f>
        <v>1728</v>
      </c>
      <c r="I300" s="19">
        <f t="shared" ref="I300:I309" si="51">H300*G300</f>
        <v>28.8</v>
      </c>
    </row>
    <row r="301" spans="1:11" s="1" customFormat="1">
      <c r="A301" s="18"/>
      <c r="B301" s="5" t="s">
        <v>38</v>
      </c>
      <c r="C301" s="5" t="s">
        <v>17</v>
      </c>
      <c r="D301" s="5">
        <v>1</v>
      </c>
      <c r="E301" s="7">
        <f>247*8*(A300/1974)</f>
        <v>60.060790273556229</v>
      </c>
      <c r="F301" s="35">
        <f>E301/A300</f>
        <v>1.0010131712259371</v>
      </c>
      <c r="G301" s="49">
        <f t="shared" ref="G301:G309" si="52">D301/E301*F301</f>
        <v>1.6666666666666666E-2</v>
      </c>
      <c r="H301" s="6">
        <f>(5040+24000)*0.08</f>
        <v>2323.2000000000003</v>
      </c>
      <c r="I301" s="19">
        <f t="shared" si="51"/>
        <v>38.720000000000006</v>
      </c>
    </row>
    <row r="302" spans="1:11" s="1" customFormat="1">
      <c r="A302" s="18"/>
      <c r="B302" s="5" t="s">
        <v>39</v>
      </c>
      <c r="C302" s="5" t="s">
        <v>17</v>
      </c>
      <c r="D302" s="5">
        <v>1</v>
      </c>
      <c r="E302" s="7">
        <f>247*8*(A300/1974)</f>
        <v>60.060790273556229</v>
      </c>
      <c r="F302" s="35">
        <f>E302/A300</f>
        <v>1.0010131712259371</v>
      </c>
      <c r="G302" s="49">
        <f t="shared" si="52"/>
        <v>1.6666666666666666E-2</v>
      </c>
      <c r="H302" s="7">
        <f>8270*0.08</f>
        <v>661.6</v>
      </c>
      <c r="I302" s="19">
        <f t="shared" si="51"/>
        <v>11.026666666666667</v>
      </c>
    </row>
    <row r="303" spans="1:11" s="1" customFormat="1">
      <c r="A303" s="18"/>
      <c r="B303" s="5" t="s">
        <v>62</v>
      </c>
      <c r="C303" s="5" t="s">
        <v>17</v>
      </c>
      <c r="D303" s="5">
        <v>1</v>
      </c>
      <c r="E303" s="7">
        <f>247*8*(A300/1974)</f>
        <v>60.060790273556229</v>
      </c>
      <c r="F303" s="35">
        <f>E303/A300</f>
        <v>1.0010131712259371</v>
      </c>
      <c r="G303" s="49">
        <f t="shared" si="52"/>
        <v>1.6666666666666666E-2</v>
      </c>
      <c r="H303" s="7">
        <f>7875*0.08</f>
        <v>630</v>
      </c>
      <c r="I303" s="19">
        <f t="shared" si="51"/>
        <v>10.5</v>
      </c>
    </row>
    <row r="304" spans="1:11" s="1" customFormat="1">
      <c r="A304" s="18"/>
      <c r="B304" s="5" t="s">
        <v>41</v>
      </c>
      <c r="C304" s="5" t="s">
        <v>17</v>
      </c>
      <c r="D304" s="5">
        <v>1</v>
      </c>
      <c r="E304" s="7">
        <f>247*8*(A300/1974)</f>
        <v>60.060790273556229</v>
      </c>
      <c r="F304" s="35">
        <f>E304/A300</f>
        <v>1.0010131712259371</v>
      </c>
      <c r="G304" s="49">
        <f t="shared" si="52"/>
        <v>1.6666666666666666E-2</v>
      </c>
      <c r="H304" s="7">
        <f>11000*0.08</f>
        <v>880</v>
      </c>
      <c r="I304" s="19">
        <f t="shared" si="51"/>
        <v>14.666666666666666</v>
      </c>
    </row>
    <row r="305" spans="1:11" s="1" customFormat="1">
      <c r="A305" s="18"/>
      <c r="B305" s="5" t="s">
        <v>70</v>
      </c>
      <c r="C305" s="5" t="s">
        <v>17</v>
      </c>
      <c r="D305" s="5">
        <v>1</v>
      </c>
      <c r="E305" s="7">
        <f>247*8*(A300/1974)</f>
        <v>60.060790273556229</v>
      </c>
      <c r="F305" s="35">
        <f>E305/A300</f>
        <v>1.0010131712259371</v>
      </c>
      <c r="G305" s="49">
        <f t="shared" si="52"/>
        <v>1.6666666666666666E-2</v>
      </c>
      <c r="H305" s="7">
        <f>36000*0.08</f>
        <v>2880</v>
      </c>
      <c r="I305" s="19">
        <f t="shared" si="51"/>
        <v>48</v>
      </c>
    </row>
    <row r="306" spans="1:11" s="1" customFormat="1">
      <c r="A306" s="36"/>
      <c r="B306" s="66" t="s">
        <v>91</v>
      </c>
      <c r="C306" s="5" t="s">
        <v>17</v>
      </c>
      <c r="D306" s="5">
        <v>1</v>
      </c>
      <c r="E306" s="7">
        <f>247*8*(A300/1974)</f>
        <v>60.060790273556229</v>
      </c>
      <c r="F306" s="35">
        <f>E306/A300</f>
        <v>1.0010131712259371</v>
      </c>
      <c r="G306" s="49">
        <f t="shared" si="52"/>
        <v>1.6666666666666666E-2</v>
      </c>
      <c r="H306" s="7">
        <f>9600*0.08</f>
        <v>768</v>
      </c>
      <c r="I306" s="19">
        <f t="shared" si="51"/>
        <v>12.8</v>
      </c>
    </row>
    <row r="307" spans="1:11" s="1" customFormat="1">
      <c r="A307" s="36"/>
      <c r="B307" s="66" t="s">
        <v>92</v>
      </c>
      <c r="C307" s="5" t="s">
        <v>17</v>
      </c>
      <c r="D307" s="5">
        <v>1</v>
      </c>
      <c r="E307" s="7">
        <f>247*8*(A300/1974)</f>
        <v>60.060790273556229</v>
      </c>
      <c r="F307" s="35">
        <f>E307/A300</f>
        <v>1.0010131712259371</v>
      </c>
      <c r="G307" s="49">
        <f t="shared" si="52"/>
        <v>1.6666666666666666E-2</v>
      </c>
      <c r="H307" s="7">
        <f>(3038+6864)*0.08</f>
        <v>792.16</v>
      </c>
      <c r="I307" s="19">
        <f t="shared" si="51"/>
        <v>13.202666666666666</v>
      </c>
    </row>
    <row r="308" spans="1:11" s="1" customFormat="1">
      <c r="A308" s="36"/>
      <c r="B308" s="66" t="s">
        <v>64</v>
      </c>
      <c r="C308" s="5" t="s">
        <v>17</v>
      </c>
      <c r="D308" s="5">
        <v>1</v>
      </c>
      <c r="E308" s="7">
        <f>247*8*(A300/1974)</f>
        <v>60.060790273556229</v>
      </c>
      <c r="F308" s="35">
        <f>E308/A300</f>
        <v>1.0010131712259371</v>
      </c>
      <c r="G308" s="49">
        <f t="shared" si="52"/>
        <v>1.6666666666666666E-2</v>
      </c>
      <c r="H308" s="7">
        <f>2000*0.08</f>
        <v>160</v>
      </c>
      <c r="I308" s="19">
        <f t="shared" si="51"/>
        <v>2.6666666666666665</v>
      </c>
    </row>
    <row r="309" spans="1:11" s="1" customFormat="1" ht="13.5" customHeight="1">
      <c r="A309" s="36"/>
      <c r="B309" s="66" t="s">
        <v>65</v>
      </c>
      <c r="C309" s="5" t="s">
        <v>17</v>
      </c>
      <c r="D309" s="5">
        <v>1</v>
      </c>
      <c r="E309" s="7">
        <f>247*8*(A300/1974)</f>
        <v>60.060790273556229</v>
      </c>
      <c r="F309" s="35">
        <f>E309/A300</f>
        <v>1.0010131712259371</v>
      </c>
      <c r="G309" s="49">
        <f t="shared" si="52"/>
        <v>1.6666666666666666E-2</v>
      </c>
      <c r="H309" s="7">
        <f>855*0.08</f>
        <v>68.400000000000006</v>
      </c>
      <c r="I309" s="19">
        <f t="shared" si="51"/>
        <v>1.1400000000000001</v>
      </c>
    </row>
    <row r="310" spans="1:11" s="1" customFormat="1" ht="15.75" thickBot="1">
      <c r="A310" s="20"/>
      <c r="B310" s="21"/>
      <c r="C310" s="21"/>
      <c r="D310" s="21"/>
      <c r="E310" s="21"/>
      <c r="F310" s="21"/>
      <c r="G310" s="25"/>
      <c r="H310" s="51"/>
      <c r="I310" s="24">
        <f>SUM(I299:I309)</f>
        <v>229.49999999999997</v>
      </c>
      <c r="J310" s="68">
        <f>(176882+24000+6864+2855-2348-36128)*0.08</f>
        <v>13770</v>
      </c>
      <c r="K310" s="68">
        <f>I310*A300</f>
        <v>13769.999999999998</v>
      </c>
    </row>
    <row r="311" spans="1:11">
      <c r="A311" s="13" t="s">
        <v>79</v>
      </c>
      <c r="B311" s="14" t="s">
        <v>36</v>
      </c>
      <c r="C311" s="14" t="s">
        <v>17</v>
      </c>
      <c r="D311" s="14">
        <v>1</v>
      </c>
      <c r="E311" s="16">
        <f>247*8*(A312/1974)</f>
        <v>92.093211752786218</v>
      </c>
      <c r="F311" s="34">
        <f>E311/A312</f>
        <v>1.0010131712259371</v>
      </c>
      <c r="G311" s="50">
        <f>D311/E311*F311</f>
        <v>1.0869565217391304E-2</v>
      </c>
      <c r="H311" s="15">
        <f>43615*0.11</f>
        <v>4797.6499999999996</v>
      </c>
      <c r="I311" s="17">
        <f>H311*G311</f>
        <v>52.148369565217386</v>
      </c>
    </row>
    <row r="312" spans="1:11" s="1" customFormat="1">
      <c r="A312" s="64">
        <v>92</v>
      </c>
      <c r="B312" s="5" t="s">
        <v>37</v>
      </c>
      <c r="C312" s="5" t="s">
        <v>17</v>
      </c>
      <c r="D312" s="5">
        <v>1</v>
      </c>
      <c r="E312" s="7">
        <f>247*8*(A312/1974)</f>
        <v>92.093211752786218</v>
      </c>
      <c r="F312" s="35">
        <f>E312/A312</f>
        <v>1.0010131712259371</v>
      </c>
      <c r="G312" s="49">
        <f>D312/E312*F312</f>
        <v>1.0869565217391304E-2</v>
      </c>
      <c r="H312" s="6">
        <f>42000*0.11</f>
        <v>4620</v>
      </c>
      <c r="I312" s="19">
        <f t="shared" ref="I312:I322" si="53">H312*G312</f>
        <v>50.217391304347828</v>
      </c>
    </row>
    <row r="313" spans="1:11" s="1" customFormat="1">
      <c r="A313" s="18"/>
      <c r="B313" s="5" t="s">
        <v>40</v>
      </c>
      <c r="C313" s="5" t="s">
        <v>17</v>
      </c>
      <c r="D313" s="5">
        <v>1</v>
      </c>
      <c r="E313" s="7">
        <f>247*8*(A312/1974)</f>
        <v>92.093211752786218</v>
      </c>
      <c r="F313" s="35">
        <f>E313/A312</f>
        <v>1.0010131712259371</v>
      </c>
      <c r="G313" s="49">
        <f>D313/E313*F313</f>
        <v>1.0869565217391304E-2</v>
      </c>
      <c r="H313" s="6">
        <f>18000*0.11</f>
        <v>1980</v>
      </c>
      <c r="I313" s="19">
        <f t="shared" si="53"/>
        <v>21.521739130434781</v>
      </c>
    </row>
    <row r="314" spans="1:11" s="1" customFormat="1">
      <c r="A314" s="18"/>
      <c r="B314" s="5" t="s">
        <v>38</v>
      </c>
      <c r="C314" s="5" t="s">
        <v>17</v>
      </c>
      <c r="D314" s="5">
        <v>1</v>
      </c>
      <c r="E314" s="7">
        <f>247*8*(A312/1974)</f>
        <v>92.093211752786218</v>
      </c>
      <c r="F314" s="35">
        <f>E314/A312</f>
        <v>1.0010131712259371</v>
      </c>
      <c r="G314" s="49">
        <f t="shared" ref="G314:G322" si="54">D314/E314*F314</f>
        <v>1.0869565217391304E-2</v>
      </c>
      <c r="H314" s="6">
        <f>(7970+24000)*0.11</f>
        <v>3516.7</v>
      </c>
      <c r="I314" s="19">
        <f t="shared" si="53"/>
        <v>38.224999999999994</v>
      </c>
    </row>
    <row r="315" spans="1:11" s="1" customFormat="1">
      <c r="A315" s="18"/>
      <c r="B315" s="5" t="s">
        <v>39</v>
      </c>
      <c r="C315" s="5" t="s">
        <v>17</v>
      </c>
      <c r="D315" s="5">
        <v>1</v>
      </c>
      <c r="E315" s="7">
        <f>247*8*(A312/1974)</f>
        <v>92.093211752786218</v>
      </c>
      <c r="F315" s="35">
        <f>E315/A312</f>
        <v>1.0010131712259371</v>
      </c>
      <c r="G315" s="49">
        <f t="shared" si="54"/>
        <v>1.0869565217391304E-2</v>
      </c>
      <c r="H315" s="7">
        <f>10560*0.11</f>
        <v>1161.5999999999999</v>
      </c>
      <c r="I315" s="19">
        <f t="shared" si="53"/>
        <v>12.626086956521737</v>
      </c>
    </row>
    <row r="316" spans="1:11" s="1" customFormat="1">
      <c r="A316" s="18"/>
      <c r="B316" s="5" t="s">
        <v>62</v>
      </c>
      <c r="C316" s="5" t="s">
        <v>17</v>
      </c>
      <c r="D316" s="5">
        <v>1</v>
      </c>
      <c r="E316" s="7">
        <f>247*8*(A312/1974)</f>
        <v>92.093211752786218</v>
      </c>
      <c r="F316" s="35">
        <f>E316/A312</f>
        <v>1.0010131712259371</v>
      </c>
      <c r="G316" s="49">
        <f t="shared" si="54"/>
        <v>1.0869565217391304E-2</v>
      </c>
      <c r="H316" s="7">
        <f>14000*0.11</f>
        <v>1540</v>
      </c>
      <c r="I316" s="19">
        <f t="shared" si="53"/>
        <v>16.739130434782609</v>
      </c>
    </row>
    <row r="317" spans="1:11" s="1" customFormat="1">
      <c r="A317" s="18"/>
      <c r="B317" s="5" t="s">
        <v>41</v>
      </c>
      <c r="C317" s="5" t="s">
        <v>17</v>
      </c>
      <c r="D317" s="5">
        <v>1</v>
      </c>
      <c r="E317" s="7">
        <f>247*8*(A312/1974)</f>
        <v>92.093211752786218</v>
      </c>
      <c r="F317" s="35">
        <f>E317/A312</f>
        <v>1.0010131712259371</v>
      </c>
      <c r="G317" s="49">
        <f t="shared" si="54"/>
        <v>1.0869565217391304E-2</v>
      </c>
      <c r="H317" s="7">
        <f>44160*0.11</f>
        <v>4857.6000000000004</v>
      </c>
      <c r="I317" s="19">
        <f t="shared" si="53"/>
        <v>52.800000000000004</v>
      </c>
    </row>
    <row r="318" spans="1:11" s="1" customFormat="1">
      <c r="A318" s="18"/>
      <c r="B318" s="5" t="s">
        <v>70</v>
      </c>
      <c r="C318" s="5" t="s">
        <v>17</v>
      </c>
      <c r="D318" s="5">
        <v>1</v>
      </c>
      <c r="E318" s="7">
        <f>247*8*(A312/1974)</f>
        <v>92.093211752786218</v>
      </c>
      <c r="F318" s="35">
        <f>E318/A312</f>
        <v>1.0010131712259371</v>
      </c>
      <c r="G318" s="49">
        <f t="shared" si="54"/>
        <v>1.0869565217391304E-2</v>
      </c>
      <c r="H318" s="7">
        <f>36000*0.11</f>
        <v>3960</v>
      </c>
      <c r="I318" s="19">
        <f t="shared" si="53"/>
        <v>43.043478260869563</v>
      </c>
    </row>
    <row r="319" spans="1:11" s="1" customFormat="1">
      <c r="A319" s="18"/>
      <c r="B319" s="44" t="s">
        <v>61</v>
      </c>
      <c r="C319" s="5" t="s">
        <v>17</v>
      </c>
      <c r="D319" s="5">
        <v>1</v>
      </c>
      <c r="E319" s="7">
        <f>247*8*(A312/1974)</f>
        <v>92.093211752786218</v>
      </c>
      <c r="F319" s="35">
        <f>E319/A312</f>
        <v>1.0010131712259371</v>
      </c>
      <c r="G319" s="49">
        <f t="shared" si="54"/>
        <v>1.0869565217391304E-2</v>
      </c>
      <c r="H319" s="7">
        <f>28800*0.11</f>
        <v>3168</v>
      </c>
      <c r="I319" s="19">
        <f t="shared" si="53"/>
        <v>34.434782608695649</v>
      </c>
    </row>
    <row r="320" spans="1:11" s="1" customFormat="1">
      <c r="A320" s="36"/>
      <c r="B320" s="66" t="s">
        <v>95</v>
      </c>
      <c r="C320" s="5" t="s">
        <v>17</v>
      </c>
      <c r="D320" s="5">
        <v>1</v>
      </c>
      <c r="E320" s="7">
        <f>247*8*(A312/1974)</f>
        <v>92.093211752786218</v>
      </c>
      <c r="F320" s="35">
        <f>E320/A312</f>
        <v>1.0010131712259371</v>
      </c>
      <c r="G320" s="49">
        <f t="shared" si="54"/>
        <v>1.0869565217391304E-2</v>
      </c>
      <c r="H320" s="7">
        <f>15000*0.11</f>
        <v>1650</v>
      </c>
      <c r="I320" s="19">
        <f t="shared" si="53"/>
        <v>17.934782608695652</v>
      </c>
    </row>
    <row r="321" spans="1:11" s="1" customFormat="1">
      <c r="A321" s="36"/>
      <c r="B321" s="66" t="s">
        <v>64</v>
      </c>
      <c r="C321" s="5" t="s">
        <v>17</v>
      </c>
      <c r="D321" s="5">
        <v>1</v>
      </c>
      <c r="E321" s="7">
        <f>247*8*(A312/1974)</f>
        <v>92.093211752786218</v>
      </c>
      <c r="F321" s="35">
        <f>E321/A312</f>
        <v>1.0010131712259371</v>
      </c>
      <c r="G321" s="49">
        <f t="shared" si="54"/>
        <v>1.0869565217391304E-2</v>
      </c>
      <c r="H321" s="7">
        <f>2000*0.11</f>
        <v>220</v>
      </c>
      <c r="I321" s="19">
        <f t="shared" si="53"/>
        <v>2.3913043478260869</v>
      </c>
    </row>
    <row r="322" spans="1:11" s="1" customFormat="1" ht="13.5" customHeight="1">
      <c r="A322" s="36"/>
      <c r="B322" s="66" t="s">
        <v>65</v>
      </c>
      <c r="C322" s="5" t="s">
        <v>17</v>
      </c>
      <c r="D322" s="5">
        <v>1</v>
      </c>
      <c r="E322" s="7">
        <f>247*8*(A312/1974)</f>
        <v>92.093211752786218</v>
      </c>
      <c r="F322" s="35">
        <f>E322/A312</f>
        <v>1.0010131712259371</v>
      </c>
      <c r="G322" s="49">
        <f t="shared" si="54"/>
        <v>1.0869565217391304E-2</v>
      </c>
      <c r="H322" s="7">
        <f>709*0.11</f>
        <v>77.989999999999995</v>
      </c>
      <c r="I322" s="19">
        <f t="shared" si="53"/>
        <v>0.84771739130434776</v>
      </c>
    </row>
    <row r="323" spans="1:11" s="1" customFormat="1" ht="15.75" thickBot="1">
      <c r="A323" s="20"/>
      <c r="B323" s="21"/>
      <c r="C323" s="21"/>
      <c r="D323" s="21"/>
      <c r="E323" s="21"/>
      <c r="F323" s="21"/>
      <c r="G323" s="25"/>
      <c r="H323" s="51"/>
      <c r="I323" s="24">
        <f>SUM(I311:I322)</f>
        <v>342.92978260869558</v>
      </c>
      <c r="J323" s="68">
        <f>(245105+24000+17709)*0.11</f>
        <v>31549.54</v>
      </c>
      <c r="K323" s="68">
        <f>I323*A312</f>
        <v>31549.539999999994</v>
      </c>
    </row>
    <row r="324" spans="1:11">
      <c r="A324" s="13" t="s">
        <v>80</v>
      </c>
      <c r="B324" s="14" t="s">
        <v>36</v>
      </c>
      <c r="C324" s="14" t="s">
        <v>17</v>
      </c>
      <c r="D324" s="14">
        <v>1</v>
      </c>
      <c r="E324" s="16">
        <f>247*8*(A325/1974)</f>
        <v>40.040526849037491</v>
      </c>
      <c r="F324" s="34">
        <f>E324/A325</f>
        <v>1.0010131712259374</v>
      </c>
      <c r="G324" s="50">
        <f>D324/E324*F324</f>
        <v>2.5000000000000001E-2</v>
      </c>
      <c r="H324" s="15">
        <f>23552*0.08</f>
        <v>1884.16</v>
      </c>
      <c r="I324" s="17">
        <f>H324*G324</f>
        <v>47.104000000000006</v>
      </c>
    </row>
    <row r="325" spans="1:11" s="1" customFormat="1">
      <c r="A325" s="64">
        <v>40</v>
      </c>
      <c r="B325" s="5" t="s">
        <v>37</v>
      </c>
      <c r="C325" s="5" t="s">
        <v>17</v>
      </c>
      <c r="D325" s="5">
        <v>1</v>
      </c>
      <c r="E325" s="7">
        <f>247*8*(A325/1974)</f>
        <v>40.040526849037491</v>
      </c>
      <c r="F325" s="35">
        <f>E325/A325</f>
        <v>1.0010131712259374</v>
      </c>
      <c r="G325" s="49">
        <f>D325/E325*F325</f>
        <v>2.5000000000000001E-2</v>
      </c>
      <c r="H325" s="6">
        <f>32400*0.08</f>
        <v>2592</v>
      </c>
      <c r="I325" s="19">
        <f t="shared" ref="I325:I336" si="55">H325*G325</f>
        <v>64.8</v>
      </c>
    </row>
    <row r="326" spans="1:11" s="1" customFormat="1">
      <c r="A326" s="18"/>
      <c r="B326" s="5" t="s">
        <v>40</v>
      </c>
      <c r="C326" s="5" t="s">
        <v>17</v>
      </c>
      <c r="D326" s="5">
        <v>1</v>
      </c>
      <c r="E326" s="7">
        <f>247*8*(A325/1974)</f>
        <v>40.040526849037491</v>
      </c>
      <c r="F326" s="35">
        <f>E326/A325</f>
        <v>1.0010131712259374</v>
      </c>
      <c r="G326" s="49">
        <f>D326/E326*F326</f>
        <v>2.5000000000000001E-2</v>
      </c>
      <c r="H326" s="6">
        <f>6000*0.08</f>
        <v>480</v>
      </c>
      <c r="I326" s="19">
        <f t="shared" si="55"/>
        <v>12</v>
      </c>
    </row>
    <row r="327" spans="1:11" s="1" customFormat="1">
      <c r="A327" s="18"/>
      <c r="B327" s="5" t="s">
        <v>38</v>
      </c>
      <c r="C327" s="5" t="s">
        <v>17</v>
      </c>
      <c r="D327" s="5">
        <v>1</v>
      </c>
      <c r="E327" s="7">
        <f>247*8*(A325/1974)</f>
        <v>40.040526849037491</v>
      </c>
      <c r="F327" s="35">
        <f>E327/A325</f>
        <v>1.0010131712259374</v>
      </c>
      <c r="G327" s="49">
        <f t="shared" ref="G327:G336" si="56">D327/E327*F327</f>
        <v>2.5000000000000001E-2</v>
      </c>
      <c r="H327" s="6">
        <f>(7970+24000)*0.08</f>
        <v>2557.6</v>
      </c>
      <c r="I327" s="19">
        <f t="shared" si="55"/>
        <v>63.94</v>
      </c>
    </row>
    <row r="328" spans="1:11" s="1" customFormat="1">
      <c r="A328" s="18"/>
      <c r="B328" s="5" t="s">
        <v>39</v>
      </c>
      <c r="C328" s="5" t="s">
        <v>17</v>
      </c>
      <c r="D328" s="5">
        <v>1</v>
      </c>
      <c r="E328" s="7">
        <f>247*8*(A325/1974)</f>
        <v>40.040526849037491</v>
      </c>
      <c r="F328" s="35">
        <f>E328/A325</f>
        <v>1.0010131712259374</v>
      </c>
      <c r="G328" s="49">
        <f t="shared" si="56"/>
        <v>2.5000000000000001E-2</v>
      </c>
      <c r="H328" s="7">
        <f>12197*0.08</f>
        <v>975.76</v>
      </c>
      <c r="I328" s="19">
        <f t="shared" si="55"/>
        <v>24.394000000000002</v>
      </c>
    </row>
    <row r="329" spans="1:11" s="1" customFormat="1">
      <c r="A329" s="18"/>
      <c r="B329" s="5" t="s">
        <v>62</v>
      </c>
      <c r="C329" s="5" t="s">
        <v>17</v>
      </c>
      <c r="D329" s="5">
        <v>1</v>
      </c>
      <c r="E329" s="7">
        <f>247*8*(A325/1974)</f>
        <v>40.040526849037491</v>
      </c>
      <c r="F329" s="35">
        <f>E329/A325</f>
        <v>1.0010131712259374</v>
      </c>
      <c r="G329" s="49">
        <f t="shared" si="56"/>
        <v>2.5000000000000001E-2</v>
      </c>
      <c r="H329" s="7">
        <f>5500*0.08</f>
        <v>440</v>
      </c>
      <c r="I329" s="19">
        <f t="shared" si="55"/>
        <v>11</v>
      </c>
    </row>
    <row r="330" spans="1:11" s="1" customFormat="1">
      <c r="A330" s="18"/>
      <c r="B330" s="5" t="s">
        <v>41</v>
      </c>
      <c r="C330" s="5" t="s">
        <v>17</v>
      </c>
      <c r="D330" s="5">
        <v>1</v>
      </c>
      <c r="E330" s="7">
        <f>247*8*(A325/1974)</f>
        <v>40.040526849037491</v>
      </c>
      <c r="F330" s="35">
        <f>E330/A325</f>
        <v>1.0010131712259374</v>
      </c>
      <c r="G330" s="49">
        <f t="shared" si="56"/>
        <v>2.5000000000000001E-2</v>
      </c>
      <c r="H330" s="7">
        <f>11400*0.08</f>
        <v>912</v>
      </c>
      <c r="I330" s="19">
        <f t="shared" si="55"/>
        <v>22.8</v>
      </c>
    </row>
    <row r="331" spans="1:11" s="1" customFormat="1">
      <c r="A331" s="18"/>
      <c r="B331" s="5" t="s">
        <v>70</v>
      </c>
      <c r="C331" s="5" t="s">
        <v>17</v>
      </c>
      <c r="D331" s="5">
        <v>1</v>
      </c>
      <c r="E331" s="7">
        <f>247*8*(A325/1974)</f>
        <v>40.040526849037491</v>
      </c>
      <c r="F331" s="35">
        <f>E331/A325</f>
        <v>1.0010131712259374</v>
      </c>
      <c r="G331" s="49">
        <f t="shared" si="56"/>
        <v>2.5000000000000001E-2</v>
      </c>
      <c r="H331" s="7">
        <f>36000*0.08</f>
        <v>2880</v>
      </c>
      <c r="I331" s="19">
        <f t="shared" si="55"/>
        <v>72</v>
      </c>
    </row>
    <row r="332" spans="1:11" s="1" customFormat="1">
      <c r="A332" s="18"/>
      <c r="B332" s="44" t="s">
        <v>61</v>
      </c>
      <c r="C332" s="5" t="s">
        <v>17</v>
      </c>
      <c r="D332" s="5">
        <v>1</v>
      </c>
      <c r="E332" s="7">
        <f>247*8*(A325/1974)</f>
        <v>40.040526849037491</v>
      </c>
      <c r="F332" s="35">
        <f>E332/A325</f>
        <v>1.0010131712259374</v>
      </c>
      <c r="G332" s="49">
        <f t="shared" si="56"/>
        <v>2.5000000000000001E-2</v>
      </c>
      <c r="H332" s="7">
        <f>25200*0.08</f>
        <v>2016</v>
      </c>
      <c r="I332" s="19">
        <f t="shared" si="55"/>
        <v>50.400000000000006</v>
      </c>
    </row>
    <row r="333" spans="1:11" s="1" customFormat="1">
      <c r="A333" s="36"/>
      <c r="B333" s="66" t="s">
        <v>92</v>
      </c>
      <c r="C333" s="5" t="s">
        <v>17</v>
      </c>
      <c r="D333" s="5">
        <v>1</v>
      </c>
      <c r="E333" s="7">
        <f>247*8*(A325/1974)</f>
        <v>40.040526849037491</v>
      </c>
      <c r="F333" s="35">
        <f>E333/A325</f>
        <v>1.0010131712259374</v>
      </c>
      <c r="G333" s="49">
        <f t="shared" si="56"/>
        <v>2.5000000000000001E-2</v>
      </c>
      <c r="H333" s="7">
        <f>(3038+6864)*0.08</f>
        <v>792.16</v>
      </c>
      <c r="I333" s="19">
        <f t="shared" si="55"/>
        <v>19.804000000000002</v>
      </c>
    </row>
    <row r="334" spans="1:11" s="1" customFormat="1">
      <c r="A334" s="36"/>
      <c r="B334" s="66" t="s">
        <v>95</v>
      </c>
      <c r="C334" s="5" t="s">
        <v>17</v>
      </c>
      <c r="D334" s="5">
        <v>1</v>
      </c>
      <c r="E334" s="7">
        <f>247*8*(A325/1974)</f>
        <v>40.040526849037491</v>
      </c>
      <c r="F334" s="35">
        <f>E334/A325</f>
        <v>1.0010131712259374</v>
      </c>
      <c r="G334" s="49">
        <f t="shared" si="56"/>
        <v>2.5000000000000001E-2</v>
      </c>
      <c r="H334" s="7">
        <f>3500*0.08</f>
        <v>280</v>
      </c>
      <c r="I334" s="19">
        <f t="shared" si="55"/>
        <v>7</v>
      </c>
    </row>
    <row r="335" spans="1:11" s="1" customFormat="1">
      <c r="A335" s="36"/>
      <c r="B335" s="66" t="s">
        <v>64</v>
      </c>
      <c r="C335" s="5" t="s">
        <v>17</v>
      </c>
      <c r="D335" s="5">
        <v>1</v>
      </c>
      <c r="E335" s="7">
        <f>247*8*(A325/1974)</f>
        <v>40.040526849037491</v>
      </c>
      <c r="F335" s="35">
        <f>E335/A325</f>
        <v>1.0010131712259374</v>
      </c>
      <c r="G335" s="49">
        <f t="shared" si="56"/>
        <v>2.5000000000000001E-2</v>
      </c>
      <c r="H335" s="7">
        <f>2000*0.08</f>
        <v>160</v>
      </c>
      <c r="I335" s="19">
        <f t="shared" si="55"/>
        <v>4</v>
      </c>
    </row>
    <row r="336" spans="1:11" s="1" customFormat="1" ht="13.5" customHeight="1">
      <c r="A336" s="36"/>
      <c r="B336" s="66" t="s">
        <v>65</v>
      </c>
      <c r="C336" s="5" t="s">
        <v>17</v>
      </c>
      <c r="D336" s="5">
        <v>1</v>
      </c>
      <c r="E336" s="7">
        <f>247*8*(A325/1974)</f>
        <v>40.040526849037491</v>
      </c>
      <c r="F336" s="35">
        <f>E336/A325</f>
        <v>1.0010131712259374</v>
      </c>
      <c r="G336" s="49">
        <f t="shared" si="56"/>
        <v>2.5000000000000001E-2</v>
      </c>
      <c r="H336" s="7">
        <f>852*0.08</f>
        <v>68.16</v>
      </c>
      <c r="I336" s="19">
        <f t="shared" si="55"/>
        <v>1.704</v>
      </c>
    </row>
    <row r="337" spans="1:11" s="1" customFormat="1" ht="15.75" thickBot="1">
      <c r="A337" s="20"/>
      <c r="B337" s="21"/>
      <c r="C337" s="21"/>
      <c r="D337" s="21"/>
      <c r="E337" s="21"/>
      <c r="F337" s="21"/>
      <c r="G337" s="25"/>
      <c r="H337" s="51"/>
      <c r="I337" s="24">
        <f>SUM(I324:I336)</f>
        <v>400.94599999999997</v>
      </c>
      <c r="J337" s="68">
        <f>(184542-2348-18937+24000+6352+6864)*0.08</f>
        <v>16037.84</v>
      </c>
      <c r="K337" s="68">
        <f>I337*A325</f>
        <v>16037.839999999998</v>
      </c>
    </row>
    <row r="338" spans="1:11" ht="15.75" thickBot="1"/>
    <row r="339" spans="1:11">
      <c r="A339" s="13" t="s">
        <v>81</v>
      </c>
      <c r="B339" s="14" t="s">
        <v>36</v>
      </c>
      <c r="C339" s="14" t="s">
        <v>17</v>
      </c>
      <c r="D339" s="14">
        <v>1</v>
      </c>
      <c r="E339" s="16">
        <f>247*8*(A340/1974)</f>
        <v>114.11550151975685</v>
      </c>
      <c r="F339" s="34">
        <f>E339/A340</f>
        <v>1.0010131712259374</v>
      </c>
      <c r="G339" s="50">
        <f>D339/E339*F339</f>
        <v>8.7719298245614048E-3</v>
      </c>
      <c r="H339" s="15">
        <f>45796*0.13</f>
        <v>5953.4800000000005</v>
      </c>
      <c r="I339" s="17">
        <f>H339*G339</f>
        <v>52.223508771929836</v>
      </c>
    </row>
    <row r="340" spans="1:11" s="1" customFormat="1">
      <c r="A340" s="64">
        <v>114</v>
      </c>
      <c r="B340" s="5" t="s">
        <v>37</v>
      </c>
      <c r="C340" s="5" t="s">
        <v>17</v>
      </c>
      <c r="D340" s="5">
        <v>1</v>
      </c>
      <c r="E340" s="7">
        <f>247*8*(A340/1974)</f>
        <v>114.11550151975685</v>
      </c>
      <c r="F340" s="35">
        <f>E340/A340</f>
        <v>1.0010131712259374</v>
      </c>
      <c r="G340" s="49">
        <f>D340/E340*F340</f>
        <v>8.7719298245614048E-3</v>
      </c>
      <c r="H340" s="6">
        <f>36000*0.13</f>
        <v>4680</v>
      </c>
      <c r="I340" s="19">
        <f t="shared" ref="I340:I349" si="57">H340*G340</f>
        <v>41.052631578947377</v>
      </c>
    </row>
    <row r="341" spans="1:11" s="1" customFormat="1">
      <c r="A341" s="18"/>
      <c r="B341" s="5" t="s">
        <v>38</v>
      </c>
      <c r="C341" s="5" t="s">
        <v>17</v>
      </c>
      <c r="D341" s="5">
        <v>1</v>
      </c>
      <c r="E341" s="7">
        <f>247*8*(A340/1974)</f>
        <v>114.11550151975685</v>
      </c>
      <c r="F341" s="35">
        <f>E341/A340</f>
        <v>1.0010131712259374</v>
      </c>
      <c r="G341" s="49">
        <f t="shared" ref="G341:G349" si="58">D341/E341*F341</f>
        <v>8.7719298245614048E-3</v>
      </c>
      <c r="H341" s="6">
        <f>(8400+48000)*0.13</f>
        <v>7332</v>
      </c>
      <c r="I341" s="19">
        <f t="shared" si="57"/>
        <v>64.31578947368422</v>
      </c>
    </row>
    <row r="342" spans="1:11" s="1" customFormat="1">
      <c r="A342" s="18"/>
      <c r="B342" s="5" t="s">
        <v>39</v>
      </c>
      <c r="C342" s="5" t="s">
        <v>17</v>
      </c>
      <c r="D342" s="5">
        <v>1</v>
      </c>
      <c r="E342" s="7">
        <f>247*8*(A340/1974)</f>
        <v>114.11550151975685</v>
      </c>
      <c r="F342" s="35">
        <f>E342/A340</f>
        <v>1.0010131712259374</v>
      </c>
      <c r="G342" s="49">
        <f t="shared" si="58"/>
        <v>8.7719298245614048E-3</v>
      </c>
      <c r="H342" s="7">
        <f>16474*0.13</f>
        <v>2141.62</v>
      </c>
      <c r="I342" s="19">
        <f t="shared" si="57"/>
        <v>18.786140350877194</v>
      </c>
    </row>
    <row r="343" spans="1:11" s="1" customFormat="1">
      <c r="A343" s="18"/>
      <c r="B343" s="5" t="s">
        <v>62</v>
      </c>
      <c r="C343" s="5" t="s">
        <v>17</v>
      </c>
      <c r="D343" s="5">
        <v>1</v>
      </c>
      <c r="E343" s="7">
        <f>247*8*(A340/1974)</f>
        <v>114.11550151975685</v>
      </c>
      <c r="F343" s="35">
        <f>E343/A340</f>
        <v>1.0010131712259374</v>
      </c>
      <c r="G343" s="49">
        <f t="shared" si="58"/>
        <v>8.7719298245614048E-3</v>
      </c>
      <c r="H343" s="7">
        <f>14001*0.13</f>
        <v>1820.13</v>
      </c>
      <c r="I343" s="19">
        <f t="shared" si="57"/>
        <v>15.96605263157895</v>
      </c>
    </row>
    <row r="344" spans="1:11" s="1" customFormat="1">
      <c r="A344" s="18"/>
      <c r="B344" s="5" t="s">
        <v>41</v>
      </c>
      <c r="C344" s="5" t="s">
        <v>17</v>
      </c>
      <c r="D344" s="5">
        <v>1</v>
      </c>
      <c r="E344" s="7">
        <f>247*8*(A340/1974)</f>
        <v>114.11550151975685</v>
      </c>
      <c r="F344" s="35">
        <f>E344/A340</f>
        <v>1.0010131712259374</v>
      </c>
      <c r="G344" s="49">
        <f t="shared" si="58"/>
        <v>8.7719298245614048E-3</v>
      </c>
      <c r="H344" s="7">
        <f>21000*0.13</f>
        <v>2730</v>
      </c>
      <c r="I344" s="19">
        <f t="shared" si="57"/>
        <v>23.947368421052634</v>
      </c>
    </row>
    <row r="345" spans="1:11" s="1" customFormat="1">
      <c r="A345" s="18"/>
      <c r="B345" s="5" t="s">
        <v>70</v>
      </c>
      <c r="C345" s="5" t="s">
        <v>17</v>
      </c>
      <c r="D345" s="5">
        <v>1</v>
      </c>
      <c r="E345" s="7">
        <f>247*8*(A340/1974)</f>
        <v>114.11550151975685</v>
      </c>
      <c r="F345" s="35">
        <f>E345/A340</f>
        <v>1.0010131712259374</v>
      </c>
      <c r="G345" s="49">
        <f t="shared" si="58"/>
        <v>8.7719298245614048E-3</v>
      </c>
      <c r="H345" s="7">
        <f>72000*0.13</f>
        <v>9360</v>
      </c>
      <c r="I345" s="19">
        <f t="shared" si="57"/>
        <v>82.105263157894754</v>
      </c>
    </row>
    <row r="346" spans="1:11" s="1" customFormat="1">
      <c r="A346" s="18"/>
      <c r="B346" s="44" t="s">
        <v>61</v>
      </c>
      <c r="C346" s="5" t="s">
        <v>17</v>
      </c>
      <c r="D346" s="5">
        <v>1</v>
      </c>
      <c r="E346" s="7">
        <f>247*8*(A340/1974)</f>
        <v>114.11550151975685</v>
      </c>
      <c r="F346" s="35">
        <f>E346/A340</f>
        <v>1.0010131712259374</v>
      </c>
      <c r="G346" s="49">
        <f t="shared" si="58"/>
        <v>8.7719298245614048E-3</v>
      </c>
      <c r="H346" s="7">
        <f>36000*0.13</f>
        <v>4680</v>
      </c>
      <c r="I346" s="19">
        <f t="shared" si="57"/>
        <v>41.052631578947377</v>
      </c>
    </row>
    <row r="347" spans="1:11" s="1" customFormat="1">
      <c r="A347" s="36"/>
      <c r="B347" s="66" t="s">
        <v>91</v>
      </c>
      <c r="C347" s="5" t="s">
        <v>17</v>
      </c>
      <c r="D347" s="5">
        <v>1</v>
      </c>
      <c r="E347" s="7">
        <f>247*8*(A340/1974)</f>
        <v>114.11550151975685</v>
      </c>
      <c r="F347" s="35">
        <f>E347/A340</f>
        <v>1.0010131712259374</v>
      </c>
      <c r="G347" s="49">
        <f t="shared" si="58"/>
        <v>8.7719298245614048E-3</v>
      </c>
      <c r="H347" s="7">
        <f>16800*0.13</f>
        <v>2184</v>
      </c>
      <c r="I347" s="19">
        <f t="shared" si="57"/>
        <v>19.15789473684211</v>
      </c>
    </row>
    <row r="348" spans="1:11" s="1" customFormat="1">
      <c r="A348" s="36"/>
      <c r="B348" s="66" t="s">
        <v>64</v>
      </c>
      <c r="C348" s="5" t="s">
        <v>17</v>
      </c>
      <c r="D348" s="5">
        <v>1</v>
      </c>
      <c r="E348" s="7">
        <f>247*8*(A340/1974)</f>
        <v>114.11550151975685</v>
      </c>
      <c r="F348" s="35">
        <f>E348/A340</f>
        <v>1.0010131712259374</v>
      </c>
      <c r="G348" s="49">
        <f t="shared" si="58"/>
        <v>8.7719298245614048E-3</v>
      </c>
      <c r="H348" s="7">
        <f>2000*0.13</f>
        <v>260</v>
      </c>
      <c r="I348" s="19">
        <f t="shared" si="57"/>
        <v>2.2807017543859653</v>
      </c>
    </row>
    <row r="349" spans="1:11" s="1" customFormat="1" ht="13.5" customHeight="1">
      <c r="A349" s="36"/>
      <c r="B349" s="66" t="s">
        <v>65</v>
      </c>
      <c r="C349" s="5" t="s">
        <v>17</v>
      </c>
      <c r="D349" s="5">
        <v>1</v>
      </c>
      <c r="E349" s="7">
        <f>247*8*(A340/1974)</f>
        <v>114.11550151975685</v>
      </c>
      <c r="F349" s="35">
        <f>E349/A340</f>
        <v>1.0010131712259374</v>
      </c>
      <c r="G349" s="49">
        <f t="shared" si="58"/>
        <v>8.7719298245614048E-3</v>
      </c>
      <c r="H349" s="7">
        <f>488*0.13</f>
        <v>63.440000000000005</v>
      </c>
      <c r="I349" s="19">
        <f t="shared" si="57"/>
        <v>0.55649122807017559</v>
      </c>
    </row>
    <row r="350" spans="1:11" s="1" customFormat="1" ht="15.75" thickBot="1">
      <c r="A350" s="20"/>
      <c r="B350" s="21"/>
      <c r="C350" s="21"/>
      <c r="D350" s="21"/>
      <c r="E350" s="21"/>
      <c r="F350" s="21"/>
      <c r="G350" s="25"/>
      <c r="H350" s="51"/>
      <c r="I350" s="24">
        <f>SUM(I339:I349)</f>
        <v>361.44447368421061</v>
      </c>
      <c r="J350" s="68">
        <f>(266471+48000+2488)*0.13</f>
        <v>41204.67</v>
      </c>
      <c r="K350" s="68">
        <f>I350*A340</f>
        <v>41204.670000000013</v>
      </c>
    </row>
    <row r="351" spans="1:11" ht="15.75" thickBot="1">
      <c r="E351" s="62"/>
    </row>
    <row r="352" spans="1:11">
      <c r="A352" s="13" t="s">
        <v>82</v>
      </c>
      <c r="B352" s="14" t="s">
        <v>36</v>
      </c>
      <c r="C352" s="14" t="s">
        <v>17</v>
      </c>
      <c r="D352" s="14">
        <v>1</v>
      </c>
      <c r="E352" s="16">
        <f>247*8*(A353/1974)</f>
        <v>33.033434650455924</v>
      </c>
      <c r="F352" s="34">
        <f>E352/A353</f>
        <v>1.0010131712259371</v>
      </c>
      <c r="G352" s="50">
        <f>D352/E352*F352</f>
        <v>3.0303030303030304E-2</v>
      </c>
      <c r="H352" s="15">
        <f>10904*0.14</f>
        <v>1526.5600000000002</v>
      </c>
      <c r="I352" s="17">
        <f>H352*G352</f>
        <v>46.259393939393945</v>
      </c>
    </row>
    <row r="353" spans="1:11" s="1" customFormat="1">
      <c r="A353" s="64">
        <v>33</v>
      </c>
      <c r="B353" s="5" t="s">
        <v>37</v>
      </c>
      <c r="C353" s="5" t="s">
        <v>17</v>
      </c>
      <c r="D353" s="5">
        <v>1</v>
      </c>
      <c r="E353" s="7">
        <f>247*8*(A353/1974)</f>
        <v>33.033434650455924</v>
      </c>
      <c r="F353" s="35">
        <f>E353/A353</f>
        <v>1.0010131712259371</v>
      </c>
      <c r="G353" s="49">
        <f>D353/E353*F353</f>
        <v>3.0303030303030304E-2</v>
      </c>
      <c r="H353" s="6">
        <f>24000*0.14</f>
        <v>3360.0000000000005</v>
      </c>
      <c r="I353" s="19">
        <f t="shared" ref="I353:I363" si="59">H353*G353</f>
        <v>101.81818181818184</v>
      </c>
    </row>
    <row r="354" spans="1:11" s="1" customFormat="1">
      <c r="A354" s="18"/>
      <c r="B354" s="5" t="s">
        <v>40</v>
      </c>
      <c r="C354" s="5" t="s">
        <v>17</v>
      </c>
      <c r="D354" s="5">
        <v>1</v>
      </c>
      <c r="E354" s="7">
        <f>247*8*(A353/1974)</f>
        <v>33.033434650455924</v>
      </c>
      <c r="F354" s="35">
        <f>E354/A353</f>
        <v>1.0010131712259371</v>
      </c>
      <c r="G354" s="49">
        <f>D354/E354*F354</f>
        <v>3.0303030303030304E-2</v>
      </c>
      <c r="H354" s="6">
        <f>18000*0.14</f>
        <v>2520.0000000000005</v>
      </c>
      <c r="I354" s="19">
        <f t="shared" si="59"/>
        <v>76.363636363636374</v>
      </c>
    </row>
    <row r="355" spans="1:11" s="1" customFormat="1">
      <c r="A355" s="18"/>
      <c r="B355" s="5" t="s">
        <v>38</v>
      </c>
      <c r="C355" s="5" t="s">
        <v>17</v>
      </c>
      <c r="D355" s="5">
        <v>1</v>
      </c>
      <c r="E355" s="7">
        <f>247*8*(A353/1974)</f>
        <v>33.033434650455924</v>
      </c>
      <c r="F355" s="35">
        <f>E355/A353</f>
        <v>1.0010131712259371</v>
      </c>
      <c r="G355" s="49">
        <f t="shared" ref="G355:G363" si="60">D355/E355*F355</f>
        <v>3.0303030303030304E-2</v>
      </c>
      <c r="H355" s="6">
        <f>(5292+24000)*0.14</f>
        <v>4100.88</v>
      </c>
      <c r="I355" s="19">
        <f t="shared" si="59"/>
        <v>124.26909090909092</v>
      </c>
    </row>
    <row r="356" spans="1:11" s="1" customFormat="1">
      <c r="A356" s="18"/>
      <c r="B356" s="5" t="s">
        <v>39</v>
      </c>
      <c r="C356" s="5" t="s">
        <v>17</v>
      </c>
      <c r="D356" s="5">
        <v>1</v>
      </c>
      <c r="E356" s="7">
        <f>247*8*(A353/1974)</f>
        <v>33.033434650455924</v>
      </c>
      <c r="F356" s="35">
        <f>E356/A353</f>
        <v>1.0010131712259371</v>
      </c>
      <c r="G356" s="49">
        <f t="shared" si="60"/>
        <v>3.0303030303030304E-2</v>
      </c>
      <c r="H356" s="7">
        <f>11299*0.14</f>
        <v>1581.8600000000001</v>
      </c>
      <c r="I356" s="19">
        <f t="shared" si="59"/>
        <v>47.935151515151517</v>
      </c>
    </row>
    <row r="357" spans="1:11" s="1" customFormat="1">
      <c r="A357" s="18"/>
      <c r="B357" s="5" t="s">
        <v>62</v>
      </c>
      <c r="C357" s="5" t="s">
        <v>17</v>
      </c>
      <c r="D357" s="5">
        <v>1</v>
      </c>
      <c r="E357" s="7">
        <f>247*8*(A353/1974)</f>
        <v>33.033434650455924</v>
      </c>
      <c r="F357" s="35">
        <f>E357/A353</f>
        <v>1.0010131712259371</v>
      </c>
      <c r="G357" s="49">
        <f t="shared" si="60"/>
        <v>3.0303030303030304E-2</v>
      </c>
      <c r="H357" s="7">
        <f>6500*0.14</f>
        <v>910.00000000000011</v>
      </c>
      <c r="I357" s="19">
        <f t="shared" si="59"/>
        <v>27.575757575757581</v>
      </c>
    </row>
    <row r="358" spans="1:11" s="1" customFormat="1">
      <c r="A358" s="18"/>
      <c r="B358" s="5" t="s">
        <v>41</v>
      </c>
      <c r="C358" s="5" t="s">
        <v>17</v>
      </c>
      <c r="D358" s="5">
        <v>1</v>
      </c>
      <c r="E358" s="7">
        <f>247*8*(A353/1974)</f>
        <v>33.033434650455924</v>
      </c>
      <c r="F358" s="35">
        <f>E358/A353</f>
        <v>1.0010131712259371</v>
      </c>
      <c r="G358" s="49">
        <f t="shared" si="60"/>
        <v>3.0303030303030304E-2</v>
      </c>
      <c r="H358" s="7">
        <f>5880*0.14</f>
        <v>823.2</v>
      </c>
      <c r="I358" s="19">
        <f t="shared" si="59"/>
        <v>24.945454545454549</v>
      </c>
    </row>
    <row r="359" spans="1:11" s="1" customFormat="1">
      <c r="A359" s="18"/>
      <c r="B359" s="5" t="s">
        <v>70</v>
      </c>
      <c r="C359" s="5" t="s">
        <v>17</v>
      </c>
      <c r="D359" s="5">
        <v>1</v>
      </c>
      <c r="E359" s="7">
        <f>247*8*(A353/1974)</f>
        <v>33.033434650455924</v>
      </c>
      <c r="F359" s="35">
        <f>E359/A353</f>
        <v>1.0010131712259371</v>
      </c>
      <c r="G359" s="49">
        <f t="shared" si="60"/>
        <v>3.0303030303030304E-2</v>
      </c>
      <c r="H359" s="7">
        <f>36000*0.14</f>
        <v>5040.0000000000009</v>
      </c>
      <c r="I359" s="19">
        <f t="shared" si="59"/>
        <v>152.72727272727275</v>
      </c>
    </row>
    <row r="360" spans="1:11" s="1" customFormat="1">
      <c r="A360" s="18"/>
      <c r="B360" s="44" t="s">
        <v>61</v>
      </c>
      <c r="C360" s="5" t="s">
        <v>17</v>
      </c>
      <c r="D360" s="5">
        <v>1</v>
      </c>
      <c r="E360" s="7">
        <f>247*8*(A353/1974)</f>
        <v>33.033434650455924</v>
      </c>
      <c r="F360" s="35">
        <f>E360/A353</f>
        <v>1.0010131712259371</v>
      </c>
      <c r="G360" s="49">
        <f t="shared" si="60"/>
        <v>3.0303030303030304E-2</v>
      </c>
      <c r="H360" s="7">
        <f>25200*0.14</f>
        <v>3528.0000000000005</v>
      </c>
      <c r="I360" s="19">
        <f t="shared" si="59"/>
        <v>106.90909090909092</v>
      </c>
    </row>
    <row r="361" spans="1:11" s="1" customFormat="1">
      <c r="A361" s="36"/>
      <c r="B361" s="66" t="s">
        <v>91</v>
      </c>
      <c r="C361" s="5" t="s">
        <v>17</v>
      </c>
      <c r="D361" s="5">
        <v>1</v>
      </c>
      <c r="E361" s="7">
        <f>247*8*(A353/1974)</f>
        <v>33.033434650455924</v>
      </c>
      <c r="F361" s="35">
        <f>E361/A353</f>
        <v>1.0010131712259371</v>
      </c>
      <c r="G361" s="49">
        <f t="shared" si="60"/>
        <v>3.0303030303030304E-2</v>
      </c>
      <c r="H361" s="7">
        <f>12000*0.14</f>
        <v>1680.0000000000002</v>
      </c>
      <c r="I361" s="19">
        <f t="shared" si="59"/>
        <v>50.909090909090921</v>
      </c>
    </row>
    <row r="362" spans="1:11" s="1" customFormat="1">
      <c r="A362" s="36"/>
      <c r="B362" s="66" t="s">
        <v>64</v>
      </c>
      <c r="C362" s="5" t="s">
        <v>17</v>
      </c>
      <c r="D362" s="5">
        <v>1</v>
      </c>
      <c r="E362" s="7">
        <f>247*8*(A353/1974)</f>
        <v>33.033434650455924</v>
      </c>
      <c r="F362" s="35">
        <f>E362/A353</f>
        <v>1.0010131712259371</v>
      </c>
      <c r="G362" s="49">
        <f t="shared" si="60"/>
        <v>3.0303030303030304E-2</v>
      </c>
      <c r="H362" s="7">
        <f>2000*0.14</f>
        <v>280</v>
      </c>
      <c r="I362" s="19">
        <f t="shared" si="59"/>
        <v>8.4848484848484844</v>
      </c>
    </row>
    <row r="363" spans="1:11" s="1" customFormat="1" ht="13.5" customHeight="1">
      <c r="A363" s="36"/>
      <c r="B363" s="66" t="s">
        <v>65</v>
      </c>
      <c r="C363" s="5" t="s">
        <v>17</v>
      </c>
      <c r="D363" s="5">
        <v>1</v>
      </c>
      <c r="E363" s="7">
        <f>247*8*(A353/1974)</f>
        <v>33.033434650455924</v>
      </c>
      <c r="F363" s="35">
        <f>E363/A353</f>
        <v>1.0010131712259371</v>
      </c>
      <c r="G363" s="49">
        <f t="shared" si="60"/>
        <v>3.0303030303030304E-2</v>
      </c>
      <c r="H363" s="7">
        <f>115*0.14</f>
        <v>16.100000000000001</v>
      </c>
      <c r="I363" s="19">
        <f t="shared" si="59"/>
        <v>0.48787878787878791</v>
      </c>
    </row>
    <row r="364" spans="1:11" s="1" customFormat="1" ht="15.75" thickBot="1">
      <c r="A364" s="20"/>
      <c r="B364" s="21"/>
      <c r="C364" s="21"/>
      <c r="D364" s="21"/>
      <c r="E364" s="21"/>
      <c r="F364" s="21"/>
      <c r="G364" s="25"/>
      <c r="H364" s="51"/>
      <c r="I364" s="24">
        <f>SUM(I352:I363)</f>
        <v>768.68484848484854</v>
      </c>
      <c r="J364" s="68">
        <f>(155075+24000+2115)*0.14</f>
        <v>25366.600000000002</v>
      </c>
      <c r="K364" s="68">
        <f>I364*A353</f>
        <v>25366.600000000002</v>
      </c>
    </row>
    <row r="365" spans="1:11">
      <c r="A365" s="13" t="s">
        <v>83</v>
      </c>
      <c r="B365" s="14" t="s">
        <v>36</v>
      </c>
      <c r="C365" s="14" t="s">
        <v>17</v>
      </c>
      <c r="D365" s="14">
        <v>1</v>
      </c>
      <c r="E365" s="16">
        <f>247*8*(A366/1974)</f>
        <v>0</v>
      </c>
      <c r="F365" s="34" t="e">
        <f>E365/A366</f>
        <v>#DIV/0!</v>
      </c>
      <c r="G365" s="50" t="e">
        <f>D365/E365*F365</f>
        <v>#DIV/0!</v>
      </c>
      <c r="H365" s="15">
        <f>10032*0.48</f>
        <v>4815.3599999999997</v>
      </c>
      <c r="I365" s="17" t="e">
        <f>H365*G365</f>
        <v>#DIV/0!</v>
      </c>
    </row>
    <row r="366" spans="1:11" s="1" customFormat="1">
      <c r="A366" s="64"/>
      <c r="B366" s="5" t="s">
        <v>37</v>
      </c>
      <c r="C366" s="5" t="s">
        <v>17</v>
      </c>
      <c r="D366" s="5">
        <v>1</v>
      </c>
      <c r="E366" s="7">
        <f>247*8*(A366/1974)</f>
        <v>0</v>
      </c>
      <c r="F366" s="35" t="e">
        <f>E366/A366</f>
        <v>#DIV/0!</v>
      </c>
      <c r="G366" s="49" t="e">
        <f>D366/E366*F366</f>
        <v>#DIV/0!</v>
      </c>
      <c r="H366" s="6">
        <f>24000*0.48</f>
        <v>11520</v>
      </c>
      <c r="I366" s="19" t="e">
        <f t="shared" ref="I366:I376" si="61">H366*G366</f>
        <v>#DIV/0!</v>
      </c>
    </row>
    <row r="367" spans="1:11" s="1" customFormat="1">
      <c r="A367" s="18"/>
      <c r="B367" s="5" t="s">
        <v>40</v>
      </c>
      <c r="C367" s="5" t="s">
        <v>17</v>
      </c>
      <c r="D367" s="5">
        <v>1</v>
      </c>
      <c r="E367" s="7">
        <f>247*8*(A366/1974)</f>
        <v>0</v>
      </c>
      <c r="F367" s="35" t="e">
        <f>E367/A366</f>
        <v>#DIV/0!</v>
      </c>
      <c r="G367" s="49" t="e">
        <f>D367/E367*F367</f>
        <v>#DIV/0!</v>
      </c>
      <c r="H367" s="6">
        <f>18000*0.48</f>
        <v>8640</v>
      </c>
      <c r="I367" s="19" t="e">
        <f t="shared" si="61"/>
        <v>#DIV/0!</v>
      </c>
    </row>
    <row r="368" spans="1:11" s="1" customFormat="1">
      <c r="A368" s="18"/>
      <c r="B368" s="5" t="s">
        <v>38</v>
      </c>
      <c r="C368" s="5" t="s">
        <v>17</v>
      </c>
      <c r="D368" s="5">
        <v>1</v>
      </c>
      <c r="E368" s="7">
        <f>247*8*(A366/1974)</f>
        <v>0</v>
      </c>
      <c r="F368" s="35" t="e">
        <f>E368/A366</f>
        <v>#DIV/0!</v>
      </c>
      <c r="G368" s="49" t="e">
        <f t="shared" ref="G368:G376" si="62">D368/E368*F368</f>
        <v>#DIV/0!</v>
      </c>
      <c r="H368" s="6">
        <f>(5292+24000)*0.48</f>
        <v>14060.16</v>
      </c>
      <c r="I368" s="19" t="e">
        <f t="shared" si="61"/>
        <v>#DIV/0!</v>
      </c>
    </row>
    <row r="369" spans="1:12" s="1" customFormat="1">
      <c r="A369" s="18"/>
      <c r="B369" s="5" t="s">
        <v>39</v>
      </c>
      <c r="C369" s="5" t="s">
        <v>17</v>
      </c>
      <c r="D369" s="5">
        <v>1</v>
      </c>
      <c r="E369" s="7">
        <f>247*8*(A366/1974)</f>
        <v>0</v>
      </c>
      <c r="F369" s="35" t="e">
        <f>E369/A366</f>
        <v>#DIV/0!</v>
      </c>
      <c r="G369" s="49" t="e">
        <f t="shared" si="62"/>
        <v>#DIV/0!</v>
      </c>
      <c r="H369" s="7">
        <f>12671*0.48</f>
        <v>6082.08</v>
      </c>
      <c r="I369" s="19" t="e">
        <f t="shared" si="61"/>
        <v>#DIV/0!</v>
      </c>
    </row>
    <row r="370" spans="1:12" s="1" customFormat="1">
      <c r="A370" s="18"/>
      <c r="B370" s="5" t="s">
        <v>62</v>
      </c>
      <c r="C370" s="5" t="s">
        <v>17</v>
      </c>
      <c r="D370" s="5">
        <v>1</v>
      </c>
      <c r="E370" s="7">
        <f>247*8*(A366/1974)</f>
        <v>0</v>
      </c>
      <c r="F370" s="35" t="e">
        <f>E370/A366</f>
        <v>#DIV/0!</v>
      </c>
      <c r="G370" s="49" t="e">
        <f t="shared" si="62"/>
        <v>#DIV/0!</v>
      </c>
      <c r="H370" s="7">
        <f>8400*0.48</f>
        <v>4032</v>
      </c>
      <c r="I370" s="19" t="e">
        <f t="shared" si="61"/>
        <v>#DIV/0!</v>
      </c>
    </row>
    <row r="371" spans="1:12" s="1" customFormat="1">
      <c r="A371" s="18"/>
      <c r="B371" s="5" t="s">
        <v>41</v>
      </c>
      <c r="C371" s="5" t="s">
        <v>17</v>
      </c>
      <c r="D371" s="5">
        <v>1</v>
      </c>
      <c r="E371" s="7">
        <f>247*8*(A366/1974)</f>
        <v>0</v>
      </c>
      <c r="F371" s="35" t="e">
        <f>E371/A366</f>
        <v>#DIV/0!</v>
      </c>
      <c r="G371" s="49" t="e">
        <f t="shared" si="62"/>
        <v>#DIV/0!</v>
      </c>
      <c r="H371" s="7">
        <f>5920*0.48</f>
        <v>2841.6</v>
      </c>
      <c r="I371" s="19" t="e">
        <f t="shared" si="61"/>
        <v>#DIV/0!</v>
      </c>
    </row>
    <row r="372" spans="1:12" s="1" customFormat="1">
      <c r="A372" s="18"/>
      <c r="B372" s="5" t="s">
        <v>70</v>
      </c>
      <c r="C372" s="5" t="s">
        <v>17</v>
      </c>
      <c r="D372" s="5">
        <v>1</v>
      </c>
      <c r="E372" s="7">
        <f>247*8*(A366/1974)</f>
        <v>0</v>
      </c>
      <c r="F372" s="35" t="e">
        <f>E372/A366</f>
        <v>#DIV/0!</v>
      </c>
      <c r="G372" s="49" t="e">
        <f t="shared" si="62"/>
        <v>#DIV/0!</v>
      </c>
      <c r="H372" s="7">
        <f>36000*0.48</f>
        <v>17280</v>
      </c>
      <c r="I372" s="19" t="e">
        <f t="shared" si="61"/>
        <v>#DIV/0!</v>
      </c>
    </row>
    <row r="373" spans="1:12" s="1" customFormat="1">
      <c r="A373" s="18"/>
      <c r="B373" s="44" t="s">
        <v>61</v>
      </c>
      <c r="C373" s="5" t="s">
        <v>17</v>
      </c>
      <c r="D373" s="5">
        <v>1</v>
      </c>
      <c r="E373" s="7">
        <f>247*8*(A366/1974)</f>
        <v>0</v>
      </c>
      <c r="F373" s="35" t="e">
        <f>E373/A366</f>
        <v>#DIV/0!</v>
      </c>
      <c r="G373" s="49" t="e">
        <f t="shared" si="62"/>
        <v>#DIV/0!</v>
      </c>
      <c r="H373" s="7">
        <f>26400*0.48</f>
        <v>12672</v>
      </c>
      <c r="I373" s="19" t="e">
        <f t="shared" si="61"/>
        <v>#DIV/0!</v>
      </c>
    </row>
    <row r="374" spans="1:12" s="1" customFormat="1">
      <c r="A374" s="36"/>
      <c r="B374" s="66" t="s">
        <v>91</v>
      </c>
      <c r="C374" s="5" t="s">
        <v>17</v>
      </c>
      <c r="D374" s="5">
        <v>1</v>
      </c>
      <c r="E374" s="7">
        <f>247*8*(A366/1974)</f>
        <v>0</v>
      </c>
      <c r="F374" s="35" t="e">
        <f>E374/A366</f>
        <v>#DIV/0!</v>
      </c>
      <c r="G374" s="49" t="e">
        <f t="shared" si="62"/>
        <v>#DIV/0!</v>
      </c>
      <c r="H374" s="7">
        <f>12000*0.48</f>
        <v>5760</v>
      </c>
      <c r="I374" s="19" t="e">
        <f t="shared" si="61"/>
        <v>#DIV/0!</v>
      </c>
    </row>
    <row r="375" spans="1:12" s="1" customFormat="1">
      <c r="A375" s="36"/>
      <c r="B375" s="66" t="s">
        <v>64</v>
      </c>
      <c r="C375" s="5" t="s">
        <v>17</v>
      </c>
      <c r="D375" s="5">
        <v>1</v>
      </c>
      <c r="E375" s="7">
        <f>247*8*(A366/1974)</f>
        <v>0</v>
      </c>
      <c r="F375" s="35" t="e">
        <f>E375/A366</f>
        <v>#DIV/0!</v>
      </c>
      <c r="G375" s="49" t="e">
        <f t="shared" si="62"/>
        <v>#DIV/0!</v>
      </c>
      <c r="H375" s="7">
        <f>2000*0.48</f>
        <v>960</v>
      </c>
      <c r="I375" s="19" t="e">
        <f t="shared" si="61"/>
        <v>#DIV/0!</v>
      </c>
    </row>
    <row r="376" spans="1:12" s="1" customFormat="1" ht="13.5" customHeight="1">
      <c r="A376" s="36"/>
      <c r="B376" s="66" t="s">
        <v>65</v>
      </c>
      <c r="C376" s="5" t="s">
        <v>17</v>
      </c>
      <c r="D376" s="5">
        <v>1</v>
      </c>
      <c r="E376" s="7">
        <f>247*8*(A366/1974)</f>
        <v>0</v>
      </c>
      <c r="F376" s="35" t="e">
        <f>E376/A366</f>
        <v>#DIV/0!</v>
      </c>
      <c r="G376" s="49" t="e">
        <f t="shared" si="62"/>
        <v>#DIV/0!</v>
      </c>
      <c r="H376" s="7">
        <f>97*0.48</f>
        <v>46.559999999999995</v>
      </c>
      <c r="I376" s="19" t="e">
        <f t="shared" si="61"/>
        <v>#DIV/0!</v>
      </c>
    </row>
    <row r="377" spans="1:12" s="1" customFormat="1" ht="15.75" thickBot="1">
      <c r="A377" s="20"/>
      <c r="B377" s="21"/>
      <c r="C377" s="21"/>
      <c r="D377" s="21"/>
      <c r="E377" s="21"/>
      <c r="F377" s="21"/>
      <c r="G377" s="25"/>
      <c r="H377" s="51"/>
      <c r="I377" s="24" t="e">
        <f>SUM(I365:I376)</f>
        <v>#DIV/0!</v>
      </c>
      <c r="J377" s="68">
        <f>(158715+24000+2097)*0</f>
        <v>0</v>
      </c>
      <c r="K377" s="68">
        <v>0</v>
      </c>
    </row>
    <row r="379" spans="1:12">
      <c r="I379" s="1">
        <v>1</v>
      </c>
      <c r="J379" s="3">
        <f>366630-2348-12000+24000+6864+2532</f>
        <v>385678</v>
      </c>
      <c r="K379" s="3">
        <f>K272+K147+K22</f>
        <v>385678</v>
      </c>
      <c r="L379" s="3">
        <f>J379-K379</f>
        <v>0</v>
      </c>
    </row>
    <row r="380" spans="1:12">
      <c r="I380" s="1">
        <v>2</v>
      </c>
      <c r="J380" s="3">
        <f>293818+48000+2528</f>
        <v>344346</v>
      </c>
      <c r="K380" s="3">
        <f>K285+K160+K35</f>
        <v>344346</v>
      </c>
      <c r="L380" s="3">
        <f t="shared" ref="L380:L387" si="63">J380-K380</f>
        <v>0</v>
      </c>
    </row>
    <row r="381" spans="1:12">
      <c r="I381" s="1">
        <v>3</v>
      </c>
      <c r="J381" s="3">
        <f>186455+24000+2454</f>
        <v>212909</v>
      </c>
      <c r="K381" s="3">
        <f>K298+K173+K48</f>
        <v>212908.99999999997</v>
      </c>
      <c r="L381" s="3">
        <f t="shared" si="63"/>
        <v>0</v>
      </c>
    </row>
    <row r="382" spans="1:12">
      <c r="I382" s="1">
        <v>7</v>
      </c>
      <c r="J382" s="3">
        <f>176882-2348-36128+24000+6864+2855</f>
        <v>172125</v>
      </c>
      <c r="K382" s="3">
        <f>K310+K185+K60</f>
        <v>172125</v>
      </c>
      <c r="L382" s="3">
        <f t="shared" si="63"/>
        <v>0</v>
      </c>
    </row>
    <row r="383" spans="1:12">
      <c r="I383" s="1">
        <v>9</v>
      </c>
      <c r="J383" s="3">
        <f>245105+24000+17709</f>
        <v>286814</v>
      </c>
      <c r="K383" s="3">
        <f>K323+K198+K73</f>
        <v>286814</v>
      </c>
      <c r="L383" s="3">
        <f t="shared" si="63"/>
        <v>0</v>
      </c>
    </row>
    <row r="384" spans="1:12">
      <c r="I384" s="1">
        <v>14</v>
      </c>
      <c r="J384" s="3">
        <f>184542-2348-18937+24000+6864+6352</f>
        <v>200473</v>
      </c>
      <c r="K384" s="3">
        <f>K337+K212+K87</f>
        <v>200472.99999999994</v>
      </c>
      <c r="L384" s="3">
        <f t="shared" si="63"/>
        <v>0</v>
      </c>
    </row>
    <row r="385" spans="9:12">
      <c r="I385" s="1">
        <v>8</v>
      </c>
      <c r="J385" s="3">
        <f>266471+48000+2488</f>
        <v>316959</v>
      </c>
      <c r="K385" s="3">
        <f>K350+K225+K100</f>
        <v>316959</v>
      </c>
      <c r="L385" s="3">
        <f t="shared" si="63"/>
        <v>0</v>
      </c>
    </row>
    <row r="386" spans="9:12">
      <c r="I386" s="1">
        <v>4</v>
      </c>
      <c r="J386" s="3">
        <f>155075+24000+2115</f>
        <v>181190</v>
      </c>
      <c r="K386" s="3">
        <f>K364+K239+K114</f>
        <v>181190.00000000003</v>
      </c>
      <c r="L386" s="3">
        <f t="shared" si="63"/>
        <v>0</v>
      </c>
    </row>
    <row r="387" spans="9:12">
      <c r="I387" s="1">
        <v>11</v>
      </c>
      <c r="J387" s="3">
        <f>158715+24000+2097</f>
        <v>184812</v>
      </c>
      <c r="K387" s="3">
        <f>K377+K252+K127</f>
        <v>184812</v>
      </c>
      <c r="L387" s="3">
        <f t="shared" si="63"/>
        <v>0</v>
      </c>
    </row>
  </sheetData>
  <mergeCells count="1">
    <mergeCell ref="A1:H1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64"/>
  <sheetViews>
    <sheetView topLeftCell="A163" workbookViewId="0">
      <selection activeCell="F232" sqref="F232"/>
    </sheetView>
  </sheetViews>
  <sheetFormatPr defaultRowHeight="15"/>
  <cols>
    <col min="1" max="1" width="11.85546875" customWidth="1"/>
    <col min="2" max="2" width="25.140625" style="1" customWidth="1"/>
    <col min="3" max="3" width="18.42578125" style="1" customWidth="1"/>
    <col min="4" max="4" width="8.28515625" style="1" customWidth="1"/>
    <col min="5" max="5" width="12.28515625" style="1" customWidth="1"/>
    <col min="6" max="6" width="15.28515625" style="1" customWidth="1"/>
    <col min="7" max="7" width="10.7109375" customWidth="1"/>
    <col min="8" max="8" width="9.7109375" style="1" customWidth="1"/>
    <col min="9" max="9" width="9.140625" style="1"/>
    <col min="10" max="10" width="10" style="1" customWidth="1"/>
    <col min="11" max="12" width="9.42578125" style="1" bestFit="1" customWidth="1"/>
    <col min="13" max="13" width="10.85546875" style="1" customWidth="1"/>
    <col min="14" max="18" width="9.140625" style="1"/>
  </cols>
  <sheetData>
    <row r="1" spans="1:20" ht="18.75">
      <c r="A1" s="99" t="s">
        <v>42</v>
      </c>
      <c r="B1" s="99"/>
      <c r="C1" s="99"/>
      <c r="D1" s="99"/>
      <c r="E1" s="99"/>
      <c r="F1" s="99"/>
      <c r="G1" s="99"/>
      <c r="H1" s="99"/>
    </row>
    <row r="2" spans="1:20" ht="18.75">
      <c r="A2" s="80"/>
      <c r="B2" s="80"/>
      <c r="C2" s="80"/>
      <c r="D2" s="80"/>
      <c r="E2" s="80"/>
      <c r="F2" s="80"/>
      <c r="G2" s="80"/>
      <c r="H2" s="80"/>
    </row>
    <row r="3" spans="1:20" ht="19.5" thickBot="1">
      <c r="A3" s="73" t="s">
        <v>84</v>
      </c>
      <c r="H3"/>
      <c r="S3" s="1"/>
      <c r="T3" s="1"/>
    </row>
    <row r="4" spans="1:20" ht="96" customHeight="1">
      <c r="A4" s="27" t="s">
        <v>2</v>
      </c>
      <c r="B4" s="28" t="s">
        <v>15</v>
      </c>
      <c r="C4" s="28" t="s">
        <v>14</v>
      </c>
      <c r="D4" s="28" t="s">
        <v>16</v>
      </c>
      <c r="E4" s="28" t="s">
        <v>27</v>
      </c>
      <c r="F4" s="28" t="s">
        <v>28</v>
      </c>
      <c r="G4" s="28" t="s">
        <v>29</v>
      </c>
      <c r="H4" s="28" t="s">
        <v>30</v>
      </c>
      <c r="I4" s="28" t="s">
        <v>11</v>
      </c>
      <c r="J4" s="2" t="s">
        <v>34</v>
      </c>
      <c r="K4" s="2" t="s">
        <v>33</v>
      </c>
    </row>
    <row r="5" spans="1:20" ht="15.75" thickBot="1">
      <c r="A5" s="47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 t="s">
        <v>31</v>
      </c>
      <c r="H5" s="9">
        <v>8</v>
      </c>
      <c r="I5" s="48" t="s">
        <v>32</v>
      </c>
    </row>
    <row r="6" spans="1:20" ht="18" customHeight="1">
      <c r="A6" s="13" t="s">
        <v>71</v>
      </c>
      <c r="B6" s="14" t="s">
        <v>43</v>
      </c>
      <c r="C6" s="53" t="s">
        <v>17</v>
      </c>
      <c r="D6" s="14">
        <v>1</v>
      </c>
      <c r="E6" s="16">
        <f>247*8*(A7/1974)</f>
        <v>182.18439716312056</v>
      </c>
      <c r="F6" s="34">
        <f>E6/A7</f>
        <v>1.0010131712259371</v>
      </c>
      <c r="G6" s="50">
        <f>D6/E6*F6</f>
        <v>5.4945054945054941E-3</v>
      </c>
      <c r="H6" s="15">
        <f>10000*0.4</f>
        <v>4000</v>
      </c>
      <c r="I6" s="17">
        <f>H6*G6</f>
        <v>21.978021978021975</v>
      </c>
    </row>
    <row r="7" spans="1:20">
      <c r="A7" s="64">
        <v>182</v>
      </c>
      <c r="B7" s="5" t="s">
        <v>96</v>
      </c>
      <c r="C7" s="44" t="s">
        <v>17</v>
      </c>
      <c r="D7" s="5">
        <v>1</v>
      </c>
      <c r="E7" s="7">
        <f>247*8*(A7/1974)</f>
        <v>182.18439716312056</v>
      </c>
      <c r="F7" s="35">
        <f>E7/A7</f>
        <v>1.0010131712259371</v>
      </c>
      <c r="G7" s="49">
        <f>D7/E7*F7</f>
        <v>5.4945054945054941E-3</v>
      </c>
      <c r="H7" s="6">
        <f>(57800-10000)*0.4</f>
        <v>19120</v>
      </c>
      <c r="I7" s="19">
        <f t="shared" ref="I7:I12" si="0">H7*G7</f>
        <v>105.05494505494505</v>
      </c>
    </row>
    <row r="8" spans="1:20">
      <c r="A8" s="64"/>
      <c r="B8" s="5" t="s">
        <v>97</v>
      </c>
      <c r="C8" s="44" t="s">
        <v>17</v>
      </c>
      <c r="D8" s="5">
        <v>1</v>
      </c>
      <c r="E8" s="7">
        <f>247*8*(A7/1974)</f>
        <v>182.18439716312056</v>
      </c>
      <c r="F8" s="35">
        <f>E8/A7</f>
        <v>1.0010131712259371</v>
      </c>
      <c r="G8" s="49">
        <f>D8/E8*F8</f>
        <v>5.4945054945054941E-3</v>
      </c>
      <c r="H8" s="6">
        <f>7080*0.4</f>
        <v>2832</v>
      </c>
      <c r="I8" s="19">
        <f t="shared" si="0"/>
        <v>15.560439560439558</v>
      </c>
    </row>
    <row r="9" spans="1:20">
      <c r="A9" s="64"/>
      <c r="B9" s="5" t="s">
        <v>98</v>
      </c>
      <c r="C9" s="44" t="s">
        <v>17</v>
      </c>
      <c r="D9" s="5">
        <v>1</v>
      </c>
      <c r="E9" s="7">
        <f>247*8*(A7/1974)</f>
        <v>182.18439716312056</v>
      </c>
      <c r="F9" s="35">
        <f>E9/A7</f>
        <v>1.0010131712259371</v>
      </c>
      <c r="G9" s="49">
        <f t="shared" ref="G9:G12" si="1">D9/E9*F9</f>
        <v>5.4945054945054941E-3</v>
      </c>
      <c r="H9" s="6">
        <f>3500*0.4</f>
        <v>1400</v>
      </c>
      <c r="I9" s="19">
        <f t="shared" si="0"/>
        <v>7.6923076923076916</v>
      </c>
    </row>
    <row r="10" spans="1:20">
      <c r="A10" s="64"/>
      <c r="B10" s="5" t="s">
        <v>100</v>
      </c>
      <c r="C10" s="44" t="s">
        <v>17</v>
      </c>
      <c r="D10" s="5">
        <v>1</v>
      </c>
      <c r="E10" s="7">
        <f>247*8*(A7/1974)</f>
        <v>182.18439716312056</v>
      </c>
      <c r="F10" s="35">
        <f>E10/A7</f>
        <v>1.0010131712259371</v>
      </c>
      <c r="G10" s="49">
        <f t="shared" si="1"/>
        <v>5.4945054945054941E-3</v>
      </c>
      <c r="H10" s="6">
        <f>12000*0.4</f>
        <v>4800</v>
      </c>
      <c r="I10" s="19">
        <f t="shared" si="0"/>
        <v>26.373626373626372</v>
      </c>
    </row>
    <row r="11" spans="1:20">
      <c r="A11" s="64"/>
      <c r="B11" s="5" t="s">
        <v>99</v>
      </c>
      <c r="C11" s="44" t="s">
        <v>17</v>
      </c>
      <c r="D11" s="5">
        <v>1</v>
      </c>
      <c r="E11" s="7">
        <f>247*8*(A7/1974)</f>
        <v>182.18439716312056</v>
      </c>
      <c r="F11" s="35">
        <f>E11/A7</f>
        <v>1.0010131712259371</v>
      </c>
      <c r="G11" s="49">
        <f t="shared" si="1"/>
        <v>5.4945054945054941E-3</v>
      </c>
      <c r="H11" s="6">
        <f>2348*0.4</f>
        <v>939.2</v>
      </c>
      <c r="I11" s="19">
        <f t="shared" si="0"/>
        <v>5.1604395604395599</v>
      </c>
    </row>
    <row r="12" spans="1:20">
      <c r="A12" s="64"/>
      <c r="B12" s="5" t="s">
        <v>101</v>
      </c>
      <c r="C12" s="44" t="s">
        <v>17</v>
      </c>
      <c r="D12" s="5">
        <v>1</v>
      </c>
      <c r="E12" s="7">
        <f>247*8*(A7/1974)</f>
        <v>182.18439716312056</v>
      </c>
      <c r="F12" s="35">
        <f>E12/A7</f>
        <v>1.0010131712259371</v>
      </c>
      <c r="G12" s="49">
        <f t="shared" si="1"/>
        <v>5.4945054945054941E-3</v>
      </c>
      <c r="H12" s="6">
        <f>170820*0.4</f>
        <v>68328</v>
      </c>
      <c r="I12" s="19">
        <f t="shared" si="0"/>
        <v>375.42857142857139</v>
      </c>
    </row>
    <row r="13" spans="1:20" s="1" customFormat="1" ht="15.75" thickBot="1">
      <c r="A13" s="36"/>
      <c r="B13" s="37"/>
      <c r="C13" s="37"/>
      <c r="D13" s="37"/>
      <c r="E13" s="37"/>
      <c r="F13" s="37"/>
      <c r="G13" s="75"/>
      <c r="H13" s="76"/>
      <c r="I13" s="77">
        <f>SUM(I6:I12)</f>
        <v>557.24835164835156</v>
      </c>
    </row>
    <row r="14" spans="1:20" s="1" customFormat="1" ht="15.75" thickBot="1">
      <c r="A14" s="69"/>
      <c r="B14" s="70"/>
      <c r="C14" s="70"/>
      <c r="D14" s="70"/>
      <c r="E14" s="70"/>
      <c r="F14" s="70"/>
      <c r="G14" s="67" t="s">
        <v>66</v>
      </c>
      <c r="H14" s="71"/>
      <c r="I14" s="72">
        <f>I6+I7</f>
        <v>127.03296703296702</v>
      </c>
      <c r="J14" s="1">
        <f>57800*0.4</f>
        <v>23120</v>
      </c>
      <c r="K14" s="3">
        <f>I14*A7</f>
        <v>23119.999999999996</v>
      </c>
    </row>
    <row r="15" spans="1:20" s="1" customFormat="1" ht="15.75" thickBot="1">
      <c r="A15" s="88"/>
      <c r="B15" s="89"/>
      <c r="C15" s="89"/>
      <c r="D15" s="89"/>
      <c r="E15" s="89"/>
      <c r="F15" s="89"/>
      <c r="G15" s="90" t="s">
        <v>63</v>
      </c>
      <c r="H15" s="91"/>
      <c r="I15" s="92">
        <f>I13-I14</f>
        <v>430.21538461538455</v>
      </c>
      <c r="J15" s="3">
        <f>(2348+12000+3500+7080+170820)*0.4</f>
        <v>78299.199999999997</v>
      </c>
      <c r="K15" s="3">
        <f>I15*A7</f>
        <v>78299.199999999983</v>
      </c>
    </row>
    <row r="16" spans="1:20" ht="18" customHeight="1">
      <c r="A16" s="13" t="s">
        <v>76</v>
      </c>
      <c r="B16" s="14" t="s">
        <v>43</v>
      </c>
      <c r="C16" s="53" t="s">
        <v>17</v>
      </c>
      <c r="D16" s="14">
        <v>1</v>
      </c>
      <c r="E16" s="16">
        <f>247*8*(A17/1974)</f>
        <v>294.2978723404255</v>
      </c>
      <c r="F16" s="34">
        <f>E16/A17</f>
        <v>1.0010131712259371</v>
      </c>
      <c r="G16" s="50">
        <f>D16/E16*F16</f>
        <v>3.4013605442176874E-3</v>
      </c>
      <c r="H16" s="15">
        <f>10000*0.54</f>
        <v>5400</v>
      </c>
      <c r="I16" s="17">
        <f>H16*G16</f>
        <v>18.367346938775512</v>
      </c>
    </row>
    <row r="17" spans="1:11">
      <c r="A17" s="64">
        <v>294</v>
      </c>
      <c r="B17" s="5" t="s">
        <v>96</v>
      </c>
      <c r="C17" s="44" t="s">
        <v>17</v>
      </c>
      <c r="D17" s="5">
        <v>1</v>
      </c>
      <c r="E17" s="7">
        <f>247*8*(A17/1974)</f>
        <v>294.2978723404255</v>
      </c>
      <c r="F17" s="35">
        <f>E17/A17</f>
        <v>1.0010131712259371</v>
      </c>
      <c r="G17" s="49">
        <f>D17/E17*F17</f>
        <v>3.4013605442176874E-3</v>
      </c>
      <c r="H17" s="6">
        <f>(39200-10000)*0.54</f>
        <v>15768.000000000002</v>
      </c>
      <c r="I17" s="19">
        <f t="shared" ref="I17:I18" si="2">H17*G17</f>
        <v>53.632653061224502</v>
      </c>
    </row>
    <row r="18" spans="1:11">
      <c r="A18" s="64"/>
      <c r="B18" s="5"/>
      <c r="C18" s="44"/>
      <c r="D18" s="5"/>
      <c r="E18" s="7"/>
      <c r="F18" s="35"/>
      <c r="G18" s="49"/>
      <c r="H18" s="6"/>
      <c r="I18" s="19">
        <f t="shared" si="2"/>
        <v>0</v>
      </c>
    </row>
    <row r="19" spans="1:11" s="1" customFormat="1" ht="15.75" thickBot="1">
      <c r="A19" s="36"/>
      <c r="B19" s="37"/>
      <c r="C19" s="37"/>
      <c r="D19" s="37"/>
      <c r="E19" s="37"/>
      <c r="F19" s="37"/>
      <c r="G19" s="75"/>
      <c r="H19" s="76"/>
      <c r="I19" s="77">
        <f>SUM(I16:I18)</f>
        <v>72.000000000000014</v>
      </c>
    </row>
    <row r="20" spans="1:11" s="1" customFormat="1" ht="15.75" thickBot="1">
      <c r="A20" s="69"/>
      <c r="B20" s="70"/>
      <c r="C20" s="70"/>
      <c r="D20" s="70"/>
      <c r="E20" s="70"/>
      <c r="F20" s="70"/>
      <c r="G20" s="67" t="s">
        <v>66</v>
      </c>
      <c r="H20" s="71"/>
      <c r="I20" s="72">
        <f>I16+I17</f>
        <v>72.000000000000014</v>
      </c>
      <c r="J20" s="1">
        <f>39200*0.54</f>
        <v>21168</v>
      </c>
      <c r="K20" s="3">
        <f>I20*A17</f>
        <v>21168.000000000004</v>
      </c>
    </row>
    <row r="21" spans="1:11" s="1" customFormat="1" ht="15.75" thickBot="1">
      <c r="A21" s="88"/>
      <c r="B21" s="89"/>
      <c r="C21" s="89"/>
      <c r="D21" s="89"/>
      <c r="E21" s="89"/>
      <c r="F21" s="89"/>
      <c r="G21" s="90" t="s">
        <v>63</v>
      </c>
      <c r="H21" s="91"/>
      <c r="I21" s="92">
        <f>I19-I20</f>
        <v>0</v>
      </c>
      <c r="J21" s="3">
        <v>0</v>
      </c>
      <c r="K21" s="3">
        <f>I21*A17</f>
        <v>0</v>
      </c>
    </row>
    <row r="22" spans="1:11" ht="18" customHeight="1">
      <c r="A22" s="13" t="s">
        <v>77</v>
      </c>
      <c r="B22" s="14" t="s">
        <v>43</v>
      </c>
      <c r="C22" s="53" t="s">
        <v>17</v>
      </c>
      <c r="D22" s="14">
        <v>1</v>
      </c>
      <c r="E22" s="16">
        <f>247*8*(A23/1974)</f>
        <v>163.16514690982777</v>
      </c>
      <c r="F22" s="34">
        <f>E22/A23</f>
        <v>1.0010131712259371</v>
      </c>
      <c r="G22" s="50">
        <f>D22/E22*F22</f>
        <v>6.1349693251533735E-3</v>
      </c>
      <c r="H22" s="15">
        <f>50000*0.42</f>
        <v>21000</v>
      </c>
      <c r="I22" s="17">
        <f>H22*G22</f>
        <v>128.83435582822085</v>
      </c>
    </row>
    <row r="23" spans="1:11">
      <c r="A23" s="64">
        <v>163</v>
      </c>
      <c r="B23" s="5" t="s">
        <v>96</v>
      </c>
      <c r="C23" s="44" t="s">
        <v>17</v>
      </c>
      <c r="D23" s="5">
        <v>1</v>
      </c>
      <c r="E23" s="7">
        <f>247*8*(A23/1974)</f>
        <v>163.16514690982777</v>
      </c>
      <c r="F23" s="35">
        <f>E23/A23</f>
        <v>1.0010131712259371</v>
      </c>
      <c r="G23" s="49">
        <f>D23/E23*F23</f>
        <v>6.1349693251533735E-3</v>
      </c>
      <c r="H23" s="6">
        <f>(124985.47-50000)*0.42</f>
        <v>31493.897399999998</v>
      </c>
      <c r="I23" s="19">
        <f t="shared" ref="I23:I24" si="3">H23*G23</f>
        <v>193.21409447852758</v>
      </c>
    </row>
    <row r="24" spans="1:11">
      <c r="A24" s="64"/>
      <c r="B24" s="5"/>
      <c r="C24" s="44"/>
      <c r="D24" s="5"/>
      <c r="E24" s="7"/>
      <c r="F24" s="35"/>
      <c r="G24" s="49"/>
      <c r="H24" s="6"/>
      <c r="I24" s="19">
        <f t="shared" si="3"/>
        <v>0</v>
      </c>
    </row>
    <row r="25" spans="1:11" s="1" customFormat="1" ht="15.75" thickBot="1">
      <c r="A25" s="36"/>
      <c r="B25" s="37"/>
      <c r="C25" s="37"/>
      <c r="D25" s="37"/>
      <c r="E25" s="37"/>
      <c r="F25" s="37"/>
      <c r="G25" s="75"/>
      <c r="H25" s="76"/>
      <c r="I25" s="77">
        <f>SUM(I22:I24)</f>
        <v>322.04845030674846</v>
      </c>
    </row>
    <row r="26" spans="1:11" s="1" customFormat="1" ht="15.75" thickBot="1">
      <c r="A26" s="69"/>
      <c r="B26" s="70"/>
      <c r="C26" s="70"/>
      <c r="D26" s="70"/>
      <c r="E26" s="70"/>
      <c r="F26" s="70"/>
      <c r="G26" s="67" t="s">
        <v>66</v>
      </c>
      <c r="H26" s="71"/>
      <c r="I26" s="72">
        <f>I22+I23</f>
        <v>322.04845030674846</v>
      </c>
      <c r="J26" s="1">
        <f>124985.47*0.42</f>
        <v>52493.897400000002</v>
      </c>
      <c r="K26" s="3">
        <f>I26*A23</f>
        <v>52493.897400000002</v>
      </c>
    </row>
    <row r="27" spans="1:11" s="1" customFormat="1" ht="15.75" thickBot="1">
      <c r="A27" s="88"/>
      <c r="B27" s="89"/>
      <c r="C27" s="89"/>
      <c r="D27" s="89"/>
      <c r="E27" s="89"/>
      <c r="F27" s="89"/>
      <c r="G27" s="90" t="s">
        <v>63</v>
      </c>
      <c r="H27" s="91"/>
      <c r="I27" s="92">
        <f>I25-I26</f>
        <v>0</v>
      </c>
      <c r="J27" s="3">
        <v>0</v>
      </c>
      <c r="K27" s="3">
        <f>I27*A23</f>
        <v>0</v>
      </c>
    </row>
    <row r="28" spans="1:11" ht="18" customHeight="1">
      <c r="A28" s="13" t="s">
        <v>78</v>
      </c>
      <c r="B28" s="14" t="s">
        <v>43</v>
      </c>
      <c r="C28" s="53" t="s">
        <v>17</v>
      </c>
      <c r="D28" s="14">
        <v>1</v>
      </c>
      <c r="E28" s="16">
        <f>247*8*(A29/1974)</f>
        <v>335.33941236068893</v>
      </c>
      <c r="F28" s="34">
        <f>E28/A29</f>
        <v>1.0010131712259371</v>
      </c>
      <c r="G28" s="50">
        <f>D28/E28*F28</f>
        <v>2.9850746268656717E-3</v>
      </c>
      <c r="H28" s="15">
        <f>30000*0.44</f>
        <v>13200</v>
      </c>
      <c r="I28" s="17">
        <f>H28*G28</f>
        <v>39.402985074626869</v>
      </c>
    </row>
    <row r="29" spans="1:11">
      <c r="A29" s="64">
        <v>335</v>
      </c>
      <c r="B29" s="5" t="s">
        <v>96</v>
      </c>
      <c r="C29" s="44" t="s">
        <v>17</v>
      </c>
      <c r="D29" s="5">
        <v>1</v>
      </c>
      <c r="E29" s="7">
        <f>247*8*(A29/1974)</f>
        <v>335.33941236068893</v>
      </c>
      <c r="F29" s="35">
        <f>E29/A29</f>
        <v>1.0010131712259371</v>
      </c>
      <c r="G29" s="49">
        <f>D29/E29*F29</f>
        <v>2.9850746268656717E-3</v>
      </c>
      <c r="H29" s="6">
        <f>(60000-30000)*0.44</f>
        <v>13200</v>
      </c>
      <c r="I29" s="19">
        <f t="shared" ref="I29:I34" si="4">H29*G29</f>
        <v>39.402985074626869</v>
      </c>
    </row>
    <row r="30" spans="1:11">
      <c r="A30" s="64"/>
      <c r="B30" s="5" t="s">
        <v>97</v>
      </c>
      <c r="C30" s="44" t="s">
        <v>17</v>
      </c>
      <c r="D30" s="5">
        <v>1</v>
      </c>
      <c r="E30" s="7">
        <f>247*8*(A29/1974)</f>
        <v>335.33941236068893</v>
      </c>
      <c r="F30" s="35">
        <f>E30/A29</f>
        <v>1.0010131712259371</v>
      </c>
      <c r="G30" s="49">
        <f>D30/E30*F30</f>
        <v>2.9850746268656717E-3</v>
      </c>
      <c r="H30" s="6">
        <f>7080*0.44</f>
        <v>3115.2</v>
      </c>
      <c r="I30" s="19">
        <f t="shared" si="4"/>
        <v>9.2991044776119391</v>
      </c>
    </row>
    <row r="31" spans="1:11">
      <c r="A31" s="64"/>
      <c r="B31" s="5" t="s">
        <v>98</v>
      </c>
      <c r="C31" s="44" t="s">
        <v>17</v>
      </c>
      <c r="D31" s="5">
        <v>1</v>
      </c>
      <c r="E31" s="7">
        <f>247*8*(A29/1974)</f>
        <v>335.33941236068893</v>
      </c>
      <c r="F31" s="35">
        <f>E31/A29</f>
        <v>1.0010131712259371</v>
      </c>
      <c r="G31" s="49">
        <f t="shared" ref="G31:G34" si="5">D31/E31*F31</f>
        <v>2.9850746268656717E-3</v>
      </c>
      <c r="H31" s="6">
        <f>3369*0.44</f>
        <v>1482.36</v>
      </c>
      <c r="I31" s="19">
        <f t="shared" si="4"/>
        <v>4.4249552238805965</v>
      </c>
    </row>
    <row r="32" spans="1:11">
      <c r="A32" s="64"/>
      <c r="B32" s="5" t="s">
        <v>100</v>
      </c>
      <c r="C32" s="44" t="s">
        <v>17</v>
      </c>
      <c r="D32" s="5">
        <v>1</v>
      </c>
      <c r="E32" s="7">
        <f>247*8*(A29/1974)</f>
        <v>335.33941236068893</v>
      </c>
      <c r="F32" s="35">
        <f>E32/A29</f>
        <v>1.0010131712259371</v>
      </c>
      <c r="G32" s="49">
        <f t="shared" si="5"/>
        <v>2.9850746268656717E-3</v>
      </c>
      <c r="H32" s="6">
        <f>36128*0.44</f>
        <v>15896.32</v>
      </c>
      <c r="I32" s="19">
        <f t="shared" si="4"/>
        <v>47.45170149253731</v>
      </c>
    </row>
    <row r="33" spans="1:11">
      <c r="A33" s="64"/>
      <c r="B33" s="5" t="s">
        <v>99</v>
      </c>
      <c r="C33" s="44" t="s">
        <v>17</v>
      </c>
      <c r="D33" s="5">
        <v>1</v>
      </c>
      <c r="E33" s="7">
        <f>247*8*(A29/1974)</f>
        <v>335.33941236068893</v>
      </c>
      <c r="F33" s="35">
        <f>E33/A29</f>
        <v>1.0010131712259371</v>
      </c>
      <c r="G33" s="49">
        <f t="shared" si="5"/>
        <v>2.9850746268656717E-3</v>
      </c>
      <c r="H33" s="6">
        <f>2348*0.44</f>
        <v>1033.1200000000001</v>
      </c>
      <c r="I33" s="19">
        <f t="shared" si="4"/>
        <v>3.0839402985074629</v>
      </c>
    </row>
    <row r="34" spans="1:11">
      <c r="A34" s="64"/>
      <c r="B34" s="5" t="s">
        <v>101</v>
      </c>
      <c r="C34" s="44" t="s">
        <v>17</v>
      </c>
      <c r="D34" s="5">
        <v>1</v>
      </c>
      <c r="E34" s="7">
        <f>247*8*(A29/1974)</f>
        <v>335.33941236068893</v>
      </c>
      <c r="F34" s="35">
        <f>E34/A29</f>
        <v>1.0010131712259371</v>
      </c>
      <c r="G34" s="49">
        <f t="shared" si="5"/>
        <v>2.9850746268656717E-3</v>
      </c>
      <c r="H34" s="6">
        <f>131625*0.44</f>
        <v>57915</v>
      </c>
      <c r="I34" s="19">
        <f t="shared" si="4"/>
        <v>172.88059701492537</v>
      </c>
    </row>
    <row r="35" spans="1:11" s="1" customFormat="1" ht="15.75" thickBot="1">
      <c r="A35" s="36"/>
      <c r="B35" s="37"/>
      <c r="C35" s="37"/>
      <c r="D35" s="37"/>
      <c r="E35" s="37"/>
      <c r="F35" s="37"/>
      <c r="G35" s="75"/>
      <c r="H35" s="76"/>
      <c r="I35" s="77">
        <f>SUM(I28:I34)</f>
        <v>315.94626865671637</v>
      </c>
    </row>
    <row r="36" spans="1:11" s="1" customFormat="1" ht="15.75" thickBot="1">
      <c r="A36" s="69"/>
      <c r="B36" s="70"/>
      <c r="C36" s="70"/>
      <c r="D36" s="70"/>
      <c r="E36" s="70"/>
      <c r="F36" s="70"/>
      <c r="G36" s="67" t="s">
        <v>66</v>
      </c>
      <c r="H36" s="71"/>
      <c r="I36" s="72">
        <f>I28+I29</f>
        <v>78.805970149253739</v>
      </c>
      <c r="J36" s="1">
        <f>60000*0.44</f>
        <v>26400</v>
      </c>
      <c r="K36" s="3">
        <f>I36*A29</f>
        <v>26400.000000000004</v>
      </c>
    </row>
    <row r="37" spans="1:11" s="1" customFormat="1" ht="15.75" thickBot="1">
      <c r="A37" s="88"/>
      <c r="B37" s="89"/>
      <c r="C37" s="89"/>
      <c r="D37" s="89"/>
      <c r="E37" s="89"/>
      <c r="F37" s="89"/>
      <c r="G37" s="90" t="s">
        <v>63</v>
      </c>
      <c r="H37" s="91"/>
      <c r="I37" s="92">
        <f>I35-I36</f>
        <v>237.14029850746263</v>
      </c>
      <c r="J37" s="3">
        <f>(2348+36128+7080+3369+131625)*0.44</f>
        <v>79442</v>
      </c>
      <c r="K37" s="3">
        <f>I37*A29</f>
        <v>79441.999999999985</v>
      </c>
    </row>
    <row r="38" spans="1:11" ht="18" customHeight="1">
      <c r="A38" s="13" t="s">
        <v>79</v>
      </c>
      <c r="B38" s="14" t="s">
        <v>43</v>
      </c>
      <c r="C38" s="53" t="s">
        <v>17</v>
      </c>
      <c r="D38" s="14">
        <v>1</v>
      </c>
      <c r="E38" s="16">
        <f>247*8*(A39/1974)</f>
        <v>390.3951367781155</v>
      </c>
      <c r="F38" s="34">
        <f>E38/A39</f>
        <v>1.0010131712259371</v>
      </c>
      <c r="G38" s="50">
        <f>D38/E38*F38</f>
        <v>2.5641025641025641E-3</v>
      </c>
      <c r="H38" s="15">
        <f>50000*0.46</f>
        <v>23000</v>
      </c>
      <c r="I38" s="17">
        <f>H38*G38</f>
        <v>58.974358974358971</v>
      </c>
    </row>
    <row r="39" spans="1:11">
      <c r="A39" s="64">
        <v>390</v>
      </c>
      <c r="B39" s="5" t="s">
        <v>96</v>
      </c>
      <c r="C39" s="44" t="s">
        <v>17</v>
      </c>
      <c r="D39" s="5">
        <v>1</v>
      </c>
      <c r="E39" s="7">
        <f>247*8*(A39/1974)</f>
        <v>390.3951367781155</v>
      </c>
      <c r="F39" s="35">
        <f>E39/A39</f>
        <v>1.0010131712259371</v>
      </c>
      <c r="G39" s="49">
        <f>D39/E39*F39</f>
        <v>2.5641025641025641E-3</v>
      </c>
      <c r="H39" s="6">
        <f>(100005-50000)*0.46</f>
        <v>23002.3</v>
      </c>
      <c r="I39" s="19">
        <f t="shared" ref="I39:I40" si="6">H39*G39</f>
        <v>58.980256410256409</v>
      </c>
    </row>
    <row r="40" spans="1:11">
      <c r="A40" s="64"/>
      <c r="B40" s="5"/>
      <c r="C40" s="44"/>
      <c r="D40" s="5"/>
      <c r="E40" s="7"/>
      <c r="F40" s="35"/>
      <c r="G40" s="49"/>
      <c r="H40" s="6"/>
      <c r="I40" s="19">
        <f t="shared" si="6"/>
        <v>0</v>
      </c>
    </row>
    <row r="41" spans="1:11" s="1" customFormat="1" ht="15.75" thickBot="1">
      <c r="A41" s="36"/>
      <c r="B41" s="37"/>
      <c r="C41" s="37"/>
      <c r="D41" s="37"/>
      <c r="E41" s="37"/>
      <c r="F41" s="37"/>
      <c r="G41" s="75"/>
      <c r="H41" s="76"/>
      <c r="I41" s="77">
        <f>SUM(I38:I40)</f>
        <v>117.95461538461538</v>
      </c>
    </row>
    <row r="42" spans="1:11" s="1" customFormat="1" ht="15.75" thickBot="1">
      <c r="A42" s="69"/>
      <c r="B42" s="70"/>
      <c r="C42" s="70"/>
      <c r="D42" s="70"/>
      <c r="E42" s="70"/>
      <c r="F42" s="70"/>
      <c r="G42" s="67" t="s">
        <v>66</v>
      </c>
      <c r="H42" s="71"/>
      <c r="I42" s="72">
        <f>I38+I39</f>
        <v>117.95461538461538</v>
      </c>
      <c r="J42" s="1">
        <f>100005*0.46</f>
        <v>46002.3</v>
      </c>
      <c r="K42" s="3">
        <f>I42*A39</f>
        <v>46002.299999999996</v>
      </c>
    </row>
    <row r="43" spans="1:11" s="1" customFormat="1" ht="15.75" thickBot="1">
      <c r="A43" s="88"/>
      <c r="B43" s="89"/>
      <c r="C43" s="89"/>
      <c r="D43" s="89"/>
      <c r="E43" s="89"/>
      <c r="F43" s="89"/>
      <c r="G43" s="90" t="s">
        <v>63</v>
      </c>
      <c r="H43" s="91"/>
      <c r="I43" s="92">
        <f>I41-I42</f>
        <v>0</v>
      </c>
      <c r="J43" s="3">
        <v>0</v>
      </c>
      <c r="K43" s="3">
        <f>I43*A39</f>
        <v>0</v>
      </c>
    </row>
    <row r="44" spans="1:11" ht="18" customHeight="1">
      <c r="A44" s="13" t="s">
        <v>80</v>
      </c>
      <c r="B44" s="14" t="s">
        <v>43</v>
      </c>
      <c r="C44" s="53" t="s">
        <v>17</v>
      </c>
      <c r="D44" s="14">
        <v>1</v>
      </c>
      <c r="E44" s="16">
        <f>247*8*(A45/1974)</f>
        <v>265.26849037487335</v>
      </c>
      <c r="F44" s="34">
        <f>E44/A45</f>
        <v>1.0010131712259371</v>
      </c>
      <c r="G44" s="50">
        <f>D44/E44*F44</f>
        <v>3.7735849056603774E-3</v>
      </c>
      <c r="H44" s="15">
        <f>60000*0.48</f>
        <v>28800</v>
      </c>
      <c r="I44" s="17">
        <f>H44*G44</f>
        <v>108.67924528301887</v>
      </c>
    </row>
    <row r="45" spans="1:11">
      <c r="A45" s="64">
        <v>265</v>
      </c>
      <c r="B45" s="5" t="s">
        <v>96</v>
      </c>
      <c r="C45" s="44" t="s">
        <v>17</v>
      </c>
      <c r="D45" s="5">
        <v>1</v>
      </c>
      <c r="E45" s="7">
        <f>247*8*(A45/1974)</f>
        <v>265.26849037487335</v>
      </c>
      <c r="F45" s="35">
        <f>E45/A45</f>
        <v>1.0010131712259371</v>
      </c>
      <c r="G45" s="49">
        <f>D45/E45*F45</f>
        <v>3.7735849056603774E-3</v>
      </c>
      <c r="H45" s="6">
        <f>(166456-60000)*0.48</f>
        <v>51098.879999999997</v>
      </c>
      <c r="I45" s="19">
        <f t="shared" ref="I45:I50" si="7">H45*G45</f>
        <v>192.82596226415095</v>
      </c>
    </row>
    <row r="46" spans="1:11">
      <c r="A46" s="64"/>
      <c r="B46" s="5" t="s">
        <v>97</v>
      </c>
      <c r="C46" s="44" t="s">
        <v>17</v>
      </c>
      <c r="D46" s="5">
        <v>1</v>
      </c>
      <c r="E46" s="7">
        <f>247*8*(A45/1974)</f>
        <v>265.26849037487335</v>
      </c>
      <c r="F46" s="35">
        <f>E46/A45</f>
        <v>1.0010131712259371</v>
      </c>
      <c r="G46" s="49">
        <f>D46/E46*F46</f>
        <v>3.7735849056603774E-3</v>
      </c>
      <c r="H46" s="6">
        <f>7080*0.48</f>
        <v>3398.4</v>
      </c>
      <c r="I46" s="19">
        <f t="shared" si="7"/>
        <v>12.824150943396226</v>
      </c>
    </row>
    <row r="47" spans="1:11">
      <c r="A47" s="64"/>
      <c r="B47" s="5" t="s">
        <v>98</v>
      </c>
      <c r="C47" s="44" t="s">
        <v>17</v>
      </c>
      <c r="D47" s="5">
        <v>1</v>
      </c>
      <c r="E47" s="7">
        <f>247*8*(A45/1974)</f>
        <v>265.26849037487335</v>
      </c>
      <c r="F47" s="35">
        <f>E47/A45</f>
        <v>1.0010131712259371</v>
      </c>
      <c r="G47" s="49">
        <f t="shared" ref="G47:G50" si="8">D47/E47*F47</f>
        <v>3.7735849056603774E-3</v>
      </c>
      <c r="H47" s="6">
        <f>2695*0.48</f>
        <v>1293.5999999999999</v>
      </c>
      <c r="I47" s="19">
        <f t="shared" si="7"/>
        <v>4.8815094339622638</v>
      </c>
    </row>
    <row r="48" spans="1:11">
      <c r="A48" s="64"/>
      <c r="B48" s="5" t="s">
        <v>100</v>
      </c>
      <c r="C48" s="44" t="s">
        <v>17</v>
      </c>
      <c r="D48" s="5">
        <v>1</v>
      </c>
      <c r="E48" s="7">
        <f>247*8*(A45/1974)</f>
        <v>265.26849037487335</v>
      </c>
      <c r="F48" s="35">
        <f>E48/A45</f>
        <v>1.0010131712259371</v>
      </c>
      <c r="G48" s="49">
        <f t="shared" si="8"/>
        <v>3.7735849056603774E-3</v>
      </c>
      <c r="H48" s="6">
        <f>18937*0.48</f>
        <v>9089.76</v>
      </c>
      <c r="I48" s="19">
        <f t="shared" si="7"/>
        <v>34.300981132075471</v>
      </c>
    </row>
    <row r="49" spans="1:11">
      <c r="A49" s="64"/>
      <c r="B49" s="5" t="s">
        <v>99</v>
      </c>
      <c r="C49" s="44" t="s">
        <v>17</v>
      </c>
      <c r="D49" s="5">
        <v>1</v>
      </c>
      <c r="E49" s="7">
        <f>247*8*(A45/1974)</f>
        <v>265.26849037487335</v>
      </c>
      <c r="F49" s="35">
        <f>E49/A45</f>
        <v>1.0010131712259371</v>
      </c>
      <c r="G49" s="49">
        <f t="shared" si="8"/>
        <v>3.7735849056603774E-3</v>
      </c>
      <c r="H49" s="6">
        <f>2348*0.48</f>
        <v>1127.04</v>
      </c>
      <c r="I49" s="19">
        <f t="shared" si="7"/>
        <v>4.2529811320754716</v>
      </c>
    </row>
    <row r="50" spans="1:11">
      <c r="A50" s="64"/>
      <c r="B50" s="5" t="s">
        <v>101</v>
      </c>
      <c r="C50" s="44" t="s">
        <v>17</v>
      </c>
      <c r="D50" s="5">
        <v>1</v>
      </c>
      <c r="E50" s="7">
        <f>247*8*(A45/1974)</f>
        <v>265.26849037487335</v>
      </c>
      <c r="F50" s="35">
        <f>E50/A45</f>
        <v>1.0010131712259371</v>
      </c>
      <c r="G50" s="49">
        <f t="shared" si="8"/>
        <v>3.7735849056603774E-3</v>
      </c>
      <c r="H50" s="6">
        <f>120250*0.48</f>
        <v>57720</v>
      </c>
      <c r="I50" s="19">
        <f t="shared" si="7"/>
        <v>217.81132075471697</v>
      </c>
    </row>
    <row r="51" spans="1:11" s="1" customFormat="1" ht="15.75" thickBot="1">
      <c r="A51" s="36"/>
      <c r="B51" s="37"/>
      <c r="C51" s="37"/>
      <c r="D51" s="37"/>
      <c r="E51" s="37"/>
      <c r="F51" s="37"/>
      <c r="G51" s="75"/>
      <c r="H51" s="76"/>
      <c r="I51" s="77">
        <f>SUM(I44:I50)</f>
        <v>575.57615094339621</v>
      </c>
    </row>
    <row r="52" spans="1:11" s="1" customFormat="1" ht="15.75" thickBot="1">
      <c r="A52" s="69"/>
      <c r="B52" s="70"/>
      <c r="C52" s="70"/>
      <c r="D52" s="70"/>
      <c r="E52" s="70"/>
      <c r="F52" s="70"/>
      <c r="G52" s="67" t="s">
        <v>66</v>
      </c>
      <c r="H52" s="71"/>
      <c r="I52" s="72">
        <f>I44+I45</f>
        <v>301.50520754716979</v>
      </c>
      <c r="J52" s="1">
        <f>166456*0.48</f>
        <v>79898.87999999999</v>
      </c>
      <c r="K52" s="3">
        <f>I52*A45</f>
        <v>79898.87999999999</v>
      </c>
    </row>
    <row r="53" spans="1:11" s="1" customFormat="1" ht="15.75" thickBot="1">
      <c r="A53" s="88"/>
      <c r="B53" s="89"/>
      <c r="C53" s="89"/>
      <c r="D53" s="89"/>
      <c r="E53" s="89"/>
      <c r="F53" s="89"/>
      <c r="G53" s="90" t="s">
        <v>63</v>
      </c>
      <c r="H53" s="91"/>
      <c r="I53" s="92">
        <f>I51-I52</f>
        <v>274.07094339622643</v>
      </c>
      <c r="J53" s="3">
        <f>(2348+18937+7080+2695+120250)*0.48</f>
        <v>72628.800000000003</v>
      </c>
      <c r="K53" s="3">
        <f>I53*A45</f>
        <v>72628.800000000003</v>
      </c>
    </row>
    <row r="54" spans="1:11" ht="18" customHeight="1">
      <c r="A54" s="13" t="s">
        <v>81</v>
      </c>
      <c r="B54" s="14" t="s">
        <v>43</v>
      </c>
      <c r="C54" s="53" t="s">
        <v>17</v>
      </c>
      <c r="D54" s="14">
        <v>1</v>
      </c>
      <c r="E54" s="16">
        <f>247*8*(A55/1974)</f>
        <v>354.35866261398178</v>
      </c>
      <c r="F54" s="34">
        <f>E54/A55</f>
        <v>1.0010131712259371</v>
      </c>
      <c r="G54" s="50">
        <f>D54/E54*F54</f>
        <v>2.8248587570621469E-3</v>
      </c>
      <c r="H54" s="15">
        <f>30000*0.39</f>
        <v>11700</v>
      </c>
      <c r="I54" s="17">
        <f>H54*G54</f>
        <v>33.050847457627121</v>
      </c>
    </row>
    <row r="55" spans="1:11">
      <c r="A55" s="64">
        <v>354</v>
      </c>
      <c r="B55" s="5" t="s">
        <v>96</v>
      </c>
      <c r="C55" s="44" t="s">
        <v>17</v>
      </c>
      <c r="D55" s="5">
        <v>1</v>
      </c>
      <c r="E55" s="7">
        <f>247*8*(A55/1974)</f>
        <v>354.35866261398178</v>
      </c>
      <c r="F55" s="35">
        <f>E55/A55</f>
        <v>1.0010131712259371</v>
      </c>
      <c r="G55" s="49">
        <f>D55/E55*F55</f>
        <v>2.8248587570621469E-3</v>
      </c>
      <c r="H55" s="6">
        <f>(85000-30000)*0.39</f>
        <v>21450</v>
      </c>
      <c r="I55" s="19">
        <f t="shared" ref="I55:I56" si="9">H55*G55</f>
        <v>60.593220338983052</v>
      </c>
    </row>
    <row r="56" spans="1:11">
      <c r="A56" s="64"/>
      <c r="B56" s="5"/>
      <c r="C56" s="44"/>
      <c r="D56" s="5"/>
      <c r="E56" s="7"/>
      <c r="F56" s="35"/>
      <c r="G56" s="49"/>
      <c r="H56" s="6"/>
      <c r="I56" s="19">
        <f t="shared" si="9"/>
        <v>0</v>
      </c>
    </row>
    <row r="57" spans="1:11" s="1" customFormat="1" ht="15.75" thickBot="1">
      <c r="A57" s="36"/>
      <c r="B57" s="37"/>
      <c r="C57" s="37"/>
      <c r="D57" s="37"/>
      <c r="E57" s="37"/>
      <c r="F57" s="37"/>
      <c r="G57" s="75"/>
      <c r="H57" s="76"/>
      <c r="I57" s="77">
        <f>SUM(I54:I56)</f>
        <v>93.644067796610173</v>
      </c>
    </row>
    <row r="58" spans="1:11" s="1" customFormat="1" ht="15.75" thickBot="1">
      <c r="A58" s="69"/>
      <c r="B58" s="70"/>
      <c r="C58" s="70"/>
      <c r="D58" s="70"/>
      <c r="E58" s="70"/>
      <c r="F58" s="70"/>
      <c r="G58" s="67" t="s">
        <v>66</v>
      </c>
      <c r="H58" s="71"/>
      <c r="I58" s="72">
        <f>I54+I55</f>
        <v>93.644067796610173</v>
      </c>
      <c r="J58" s="1">
        <f>85000*0.39</f>
        <v>33150</v>
      </c>
      <c r="K58" s="3">
        <f>I58*A55</f>
        <v>33150</v>
      </c>
    </row>
    <row r="59" spans="1:11" s="1" customFormat="1" ht="15.75" thickBot="1">
      <c r="A59" s="88"/>
      <c r="B59" s="89"/>
      <c r="C59" s="89"/>
      <c r="D59" s="89"/>
      <c r="E59" s="89"/>
      <c r="F59" s="89"/>
      <c r="G59" s="90" t="s">
        <v>63</v>
      </c>
      <c r="H59" s="91"/>
      <c r="I59" s="92">
        <f>I57-I58</f>
        <v>0</v>
      </c>
      <c r="J59" s="3">
        <v>0</v>
      </c>
      <c r="K59" s="3">
        <f>I59*A55</f>
        <v>0</v>
      </c>
    </row>
    <row r="60" spans="1:11" ht="18" customHeight="1">
      <c r="A60" s="13" t="s">
        <v>82</v>
      </c>
      <c r="B60" s="14" t="s">
        <v>43</v>
      </c>
      <c r="C60" s="53" t="s">
        <v>17</v>
      </c>
      <c r="D60" s="14">
        <v>1</v>
      </c>
      <c r="E60" s="16">
        <f>247*8*(A61/1974)</f>
        <v>93.094224924012153</v>
      </c>
      <c r="F60" s="34">
        <f>E60/A61</f>
        <v>1.0010131712259371</v>
      </c>
      <c r="G60" s="50">
        <f>D60/E60*F60</f>
        <v>1.0752688172043012E-2</v>
      </c>
      <c r="H60" s="15">
        <f>10000*0.41</f>
        <v>4100</v>
      </c>
      <c r="I60" s="17">
        <f>H60*G60</f>
        <v>44.086021505376351</v>
      </c>
    </row>
    <row r="61" spans="1:11">
      <c r="A61" s="64">
        <v>93</v>
      </c>
      <c r="B61" s="5" t="s">
        <v>96</v>
      </c>
      <c r="C61" s="44" t="s">
        <v>17</v>
      </c>
      <c r="D61" s="5">
        <v>1</v>
      </c>
      <c r="E61" s="7">
        <f>247*8*(A61/1974)</f>
        <v>93.094224924012153</v>
      </c>
      <c r="F61" s="35">
        <f>E61/A61</f>
        <v>1.0010131712259371</v>
      </c>
      <c r="G61" s="49">
        <f>D61/E61*F61</f>
        <v>1.0752688172043012E-2</v>
      </c>
      <c r="H61" s="6">
        <f>(24000-10000)*0.41</f>
        <v>5740</v>
      </c>
      <c r="I61" s="19">
        <f t="shared" ref="I61:I62" si="10">H61*G61</f>
        <v>61.720430107526887</v>
      </c>
    </row>
    <row r="62" spans="1:11">
      <c r="A62" s="64"/>
      <c r="B62" s="5"/>
      <c r="C62" s="44"/>
      <c r="D62" s="5"/>
      <c r="E62" s="7"/>
      <c r="F62" s="35"/>
      <c r="G62" s="49"/>
      <c r="H62" s="6"/>
      <c r="I62" s="19">
        <f t="shared" si="10"/>
        <v>0</v>
      </c>
    </row>
    <row r="63" spans="1:11" s="1" customFormat="1" ht="15.75" thickBot="1">
      <c r="A63" s="36"/>
      <c r="B63" s="37"/>
      <c r="C63" s="37"/>
      <c r="D63" s="37"/>
      <c r="E63" s="37"/>
      <c r="F63" s="37"/>
      <c r="G63" s="75"/>
      <c r="H63" s="76"/>
      <c r="I63" s="77">
        <f>SUM(I60:I62)</f>
        <v>105.80645161290323</v>
      </c>
    </row>
    <row r="64" spans="1:11" s="1" customFormat="1" ht="15.75" thickBot="1">
      <c r="A64" s="69"/>
      <c r="B64" s="70"/>
      <c r="C64" s="70"/>
      <c r="D64" s="70"/>
      <c r="E64" s="70"/>
      <c r="F64" s="70"/>
      <c r="G64" s="67" t="s">
        <v>66</v>
      </c>
      <c r="H64" s="71"/>
      <c r="I64" s="72">
        <f>I60+I61</f>
        <v>105.80645161290323</v>
      </c>
      <c r="J64" s="1">
        <f>24000*0.41</f>
        <v>9840</v>
      </c>
      <c r="K64" s="3">
        <f>I64*A61</f>
        <v>9840</v>
      </c>
    </row>
    <row r="65" spans="1:20" s="1" customFormat="1" ht="15.75" thickBot="1">
      <c r="A65" s="88"/>
      <c r="B65" s="89"/>
      <c r="C65" s="89"/>
      <c r="D65" s="89"/>
      <c r="E65" s="89"/>
      <c r="F65" s="89"/>
      <c r="G65" s="90" t="s">
        <v>63</v>
      </c>
      <c r="H65" s="91"/>
      <c r="I65" s="92">
        <f>I63-I64</f>
        <v>0</v>
      </c>
      <c r="J65" s="3">
        <v>0</v>
      </c>
      <c r="K65" s="3">
        <f>I65*A61</f>
        <v>0</v>
      </c>
    </row>
    <row r="66" spans="1:20" ht="18" customHeight="1">
      <c r="A66" s="13" t="s">
        <v>83</v>
      </c>
      <c r="B66" s="14" t="s">
        <v>43</v>
      </c>
      <c r="C66" s="53" t="s">
        <v>17</v>
      </c>
      <c r="D66" s="14">
        <v>1</v>
      </c>
      <c r="E66" s="16">
        <f>247*8*(A67/1974)</f>
        <v>106.10739614994934</v>
      </c>
      <c r="F66" s="34">
        <f>E66/A67</f>
        <v>1.0010131712259371</v>
      </c>
      <c r="G66" s="50">
        <f>D66/E66*F66</f>
        <v>9.433962264150943E-3</v>
      </c>
      <c r="H66" s="15">
        <f>10000*0.52</f>
        <v>5200</v>
      </c>
      <c r="I66" s="17">
        <f>H66*G66</f>
        <v>49.056603773584904</v>
      </c>
    </row>
    <row r="67" spans="1:20">
      <c r="A67" s="64">
        <v>106</v>
      </c>
      <c r="B67" s="5" t="s">
        <v>96</v>
      </c>
      <c r="C67" s="44" t="s">
        <v>17</v>
      </c>
      <c r="D67" s="5">
        <v>1</v>
      </c>
      <c r="E67" s="7">
        <f>247*8*(A67/1974)</f>
        <v>106.10739614994934</v>
      </c>
      <c r="F67" s="35">
        <f>E67/A67</f>
        <v>1.0010131712259371</v>
      </c>
      <c r="G67" s="49">
        <f>D67/E67*F67</f>
        <v>9.433962264150943E-3</v>
      </c>
      <c r="H67" s="6">
        <f>(25000-10000)*0.52</f>
        <v>7800</v>
      </c>
      <c r="I67" s="19">
        <f t="shared" ref="I67:I68" si="11">H67*G67</f>
        <v>73.584905660377359</v>
      </c>
    </row>
    <row r="68" spans="1:20">
      <c r="A68" s="64"/>
      <c r="B68" s="5"/>
      <c r="C68" s="44"/>
      <c r="D68" s="5"/>
      <c r="E68" s="7"/>
      <c r="F68" s="35"/>
      <c r="G68" s="49"/>
      <c r="H68" s="6"/>
      <c r="I68" s="19">
        <f t="shared" si="11"/>
        <v>0</v>
      </c>
    </row>
    <row r="69" spans="1:20" s="1" customFormat="1" ht="15.75" thickBot="1">
      <c r="A69" s="36"/>
      <c r="B69" s="37"/>
      <c r="C69" s="37"/>
      <c r="D69" s="37"/>
      <c r="E69" s="37"/>
      <c r="F69" s="37"/>
      <c r="G69" s="75"/>
      <c r="H69" s="76"/>
      <c r="I69" s="77">
        <f>SUM(I66:I68)</f>
        <v>122.64150943396226</v>
      </c>
    </row>
    <row r="70" spans="1:20" s="1" customFormat="1" ht="15.75" thickBot="1">
      <c r="A70" s="69"/>
      <c r="B70" s="70"/>
      <c r="C70" s="70"/>
      <c r="D70" s="70"/>
      <c r="E70" s="70"/>
      <c r="F70" s="70"/>
      <c r="G70" s="67" t="s">
        <v>66</v>
      </c>
      <c r="H70" s="71"/>
      <c r="I70" s="72">
        <f>I66+I67</f>
        <v>122.64150943396226</v>
      </c>
      <c r="J70" s="1">
        <f>25000*0.52</f>
        <v>13000</v>
      </c>
      <c r="K70" s="3">
        <f>I70*A67</f>
        <v>13000</v>
      </c>
    </row>
    <row r="71" spans="1:20" s="1" customFormat="1" ht="15.75" thickBot="1">
      <c r="A71" s="88"/>
      <c r="B71" s="89"/>
      <c r="C71" s="89"/>
      <c r="D71" s="89"/>
      <c r="E71" s="89"/>
      <c r="F71" s="89"/>
      <c r="G71" s="90" t="s">
        <v>63</v>
      </c>
      <c r="H71" s="91"/>
      <c r="I71" s="92">
        <f>I69-I70</f>
        <v>0</v>
      </c>
      <c r="J71" s="3">
        <v>0</v>
      </c>
      <c r="K71" s="3">
        <f>I71*A67</f>
        <v>0</v>
      </c>
    </row>
    <row r="72" spans="1:20" s="1" customFormat="1">
      <c r="A72" s="54"/>
      <c r="B72" s="55"/>
      <c r="C72" s="55"/>
      <c r="D72" s="55"/>
      <c r="E72" s="55"/>
      <c r="F72" s="55"/>
      <c r="G72" s="57"/>
      <c r="H72" s="58"/>
      <c r="I72" s="58"/>
    </row>
    <row r="73" spans="1:20" ht="19.5" thickBot="1">
      <c r="A73" s="73" t="s">
        <v>85</v>
      </c>
      <c r="H73"/>
      <c r="S73" s="1"/>
      <c r="T73" s="1"/>
    </row>
    <row r="74" spans="1:20" ht="96" customHeight="1">
      <c r="A74" s="27" t="s">
        <v>2</v>
      </c>
      <c r="B74" s="28" t="s">
        <v>15</v>
      </c>
      <c r="C74" s="28" t="s">
        <v>14</v>
      </c>
      <c r="D74" s="28" t="s">
        <v>16</v>
      </c>
      <c r="E74" s="28" t="s">
        <v>27</v>
      </c>
      <c r="F74" s="28" t="s">
        <v>28</v>
      </c>
      <c r="G74" s="28" t="s">
        <v>29</v>
      </c>
      <c r="H74" s="28" t="s">
        <v>30</v>
      </c>
      <c r="I74" s="28" t="s">
        <v>11</v>
      </c>
      <c r="J74" s="2" t="s">
        <v>34</v>
      </c>
      <c r="K74" s="2" t="s">
        <v>33</v>
      </c>
    </row>
    <row r="75" spans="1:20" ht="15.75" thickBot="1">
      <c r="A75" s="47">
        <v>1</v>
      </c>
      <c r="B75" s="10">
        <v>2</v>
      </c>
      <c r="C75" s="10">
        <v>3</v>
      </c>
      <c r="D75" s="10">
        <v>4</v>
      </c>
      <c r="E75" s="10">
        <v>5</v>
      </c>
      <c r="F75" s="10">
        <v>6</v>
      </c>
      <c r="G75" s="10" t="s">
        <v>31</v>
      </c>
      <c r="H75" s="9">
        <v>8</v>
      </c>
      <c r="I75" s="48" t="s">
        <v>32</v>
      </c>
    </row>
    <row r="76" spans="1:20" ht="18" customHeight="1">
      <c r="A76" s="13" t="s">
        <v>71</v>
      </c>
      <c r="B76" s="14" t="s">
        <v>43</v>
      </c>
      <c r="C76" s="53" t="s">
        <v>17</v>
      </c>
      <c r="D76" s="14">
        <v>1</v>
      </c>
      <c r="E76" s="16">
        <f>247*8*(A77/1974)</f>
        <v>211.21377912867277</v>
      </c>
      <c r="F76" s="34">
        <f>E76/A77</f>
        <v>1.0010131712259374</v>
      </c>
      <c r="G76" s="50">
        <f>D76/E76*F76</f>
        <v>4.7393364928909956E-3</v>
      </c>
      <c r="H76" s="15">
        <f>10000*0.46</f>
        <v>4600</v>
      </c>
      <c r="I76" s="17">
        <f>H76*G76</f>
        <v>21.800947867298579</v>
      </c>
    </row>
    <row r="77" spans="1:20">
      <c r="A77" s="64">
        <v>211</v>
      </c>
      <c r="B77" s="5" t="s">
        <v>96</v>
      </c>
      <c r="C77" s="44" t="s">
        <v>17</v>
      </c>
      <c r="D77" s="5">
        <v>1</v>
      </c>
      <c r="E77" s="7">
        <f>247*8*(A77/1974)</f>
        <v>211.21377912867277</v>
      </c>
      <c r="F77" s="35">
        <f>E77/A77</f>
        <v>1.0010131712259374</v>
      </c>
      <c r="G77" s="49">
        <f>D77/E77*F77</f>
        <v>4.7393364928909956E-3</v>
      </c>
      <c r="H77" s="6">
        <f>(57800-10000)*0.46</f>
        <v>21988</v>
      </c>
      <c r="I77" s="19">
        <f t="shared" ref="I77:I82" si="12">H77*G77</f>
        <v>104.20853080568722</v>
      </c>
    </row>
    <row r="78" spans="1:20">
      <c r="A78" s="64"/>
      <c r="B78" s="5" t="s">
        <v>97</v>
      </c>
      <c r="C78" s="44" t="s">
        <v>17</v>
      </c>
      <c r="D78" s="5">
        <v>1</v>
      </c>
      <c r="E78" s="7">
        <f>247*8*(A77/1974)</f>
        <v>211.21377912867277</v>
      </c>
      <c r="F78" s="35">
        <f>E78/A77</f>
        <v>1.0010131712259374</v>
      </c>
      <c r="G78" s="49">
        <f>D78/E78*F78</f>
        <v>4.7393364928909956E-3</v>
      </c>
      <c r="H78" s="6">
        <f>7080*0.46</f>
        <v>3256.8</v>
      </c>
      <c r="I78" s="19">
        <f t="shared" si="12"/>
        <v>15.435071090047396</v>
      </c>
    </row>
    <row r="79" spans="1:20">
      <c r="A79" s="64"/>
      <c r="B79" s="5" t="s">
        <v>98</v>
      </c>
      <c r="C79" s="44" t="s">
        <v>17</v>
      </c>
      <c r="D79" s="5">
        <v>1</v>
      </c>
      <c r="E79" s="7">
        <f>247*8*(A77/1974)</f>
        <v>211.21377912867277</v>
      </c>
      <c r="F79" s="35">
        <f>E79/A77</f>
        <v>1.0010131712259374</v>
      </c>
      <c r="G79" s="49">
        <f t="shared" ref="G79:G82" si="13">D79/E79*F79</f>
        <v>4.7393364928909956E-3</v>
      </c>
      <c r="H79" s="6">
        <f>3500*0.46</f>
        <v>1610</v>
      </c>
      <c r="I79" s="19">
        <f t="shared" si="12"/>
        <v>7.6303317535545032</v>
      </c>
    </row>
    <row r="80" spans="1:20">
      <c r="A80" s="64"/>
      <c r="B80" s="5" t="s">
        <v>100</v>
      </c>
      <c r="C80" s="44" t="s">
        <v>17</v>
      </c>
      <c r="D80" s="5">
        <v>1</v>
      </c>
      <c r="E80" s="7">
        <f>247*8*(A77/1974)</f>
        <v>211.21377912867277</v>
      </c>
      <c r="F80" s="35">
        <f>E80/A77</f>
        <v>1.0010131712259374</v>
      </c>
      <c r="G80" s="49">
        <f t="shared" si="13"/>
        <v>4.7393364928909956E-3</v>
      </c>
      <c r="H80" s="6">
        <f>12000*0.46</f>
        <v>5520</v>
      </c>
      <c r="I80" s="19">
        <f t="shared" si="12"/>
        <v>26.161137440758296</v>
      </c>
    </row>
    <row r="81" spans="1:11">
      <c r="A81" s="64"/>
      <c r="B81" s="5" t="s">
        <v>99</v>
      </c>
      <c r="C81" s="44" t="s">
        <v>17</v>
      </c>
      <c r="D81" s="5">
        <v>1</v>
      </c>
      <c r="E81" s="7">
        <f>247*8*(A77/1974)</f>
        <v>211.21377912867277</v>
      </c>
      <c r="F81" s="35">
        <f>E81/A77</f>
        <v>1.0010131712259374</v>
      </c>
      <c r="G81" s="49">
        <f t="shared" si="13"/>
        <v>4.7393364928909956E-3</v>
      </c>
      <c r="H81" s="6">
        <f>2348*0.46</f>
        <v>1080.0800000000002</v>
      </c>
      <c r="I81" s="19">
        <f t="shared" si="12"/>
        <v>5.1188625592417072</v>
      </c>
    </row>
    <row r="82" spans="1:11">
      <c r="A82" s="64"/>
      <c r="B82" s="5" t="s">
        <v>101</v>
      </c>
      <c r="C82" s="44" t="s">
        <v>17</v>
      </c>
      <c r="D82" s="5">
        <v>1</v>
      </c>
      <c r="E82" s="7">
        <f>247*8*(A77/1974)</f>
        <v>211.21377912867277</v>
      </c>
      <c r="F82" s="35">
        <f>E82/A77</f>
        <v>1.0010131712259374</v>
      </c>
      <c r="G82" s="49">
        <f t="shared" si="13"/>
        <v>4.7393364928909956E-3</v>
      </c>
      <c r="H82" s="6">
        <f>170820*0.46</f>
        <v>78577.2</v>
      </c>
      <c r="I82" s="19">
        <f t="shared" si="12"/>
        <v>372.40379146919435</v>
      </c>
    </row>
    <row r="83" spans="1:11" s="1" customFormat="1" ht="15.75" thickBot="1">
      <c r="A83" s="36"/>
      <c r="B83" s="37"/>
      <c r="C83" s="37"/>
      <c r="D83" s="37"/>
      <c r="E83" s="37"/>
      <c r="F83" s="37"/>
      <c r="G83" s="75"/>
      <c r="H83" s="76"/>
      <c r="I83" s="77">
        <f>SUM(I76:I82)</f>
        <v>552.75867298578203</v>
      </c>
    </row>
    <row r="84" spans="1:11" s="1" customFormat="1" ht="15.75" thickBot="1">
      <c r="A84" s="69"/>
      <c r="B84" s="70"/>
      <c r="C84" s="70"/>
      <c r="D84" s="70"/>
      <c r="E84" s="70"/>
      <c r="F84" s="70"/>
      <c r="G84" s="67" t="s">
        <v>66</v>
      </c>
      <c r="H84" s="71"/>
      <c r="I84" s="72">
        <f>I76+I77</f>
        <v>126.00947867298579</v>
      </c>
      <c r="J84" s="1">
        <f>57800*0.46</f>
        <v>26588</v>
      </c>
      <c r="K84" s="3">
        <f>I84*A77</f>
        <v>26588.000000000004</v>
      </c>
    </row>
    <row r="85" spans="1:11" s="1" customFormat="1" ht="15.75" thickBot="1">
      <c r="A85" s="88"/>
      <c r="B85" s="89"/>
      <c r="C85" s="89"/>
      <c r="D85" s="89"/>
      <c r="E85" s="89"/>
      <c r="F85" s="89"/>
      <c r="G85" s="90" t="s">
        <v>63</v>
      </c>
      <c r="H85" s="91"/>
      <c r="I85" s="92">
        <f>I83-I84</f>
        <v>426.74919431279625</v>
      </c>
      <c r="J85" s="3">
        <f>(2348+12000+3500+7080+170820)*0.46</f>
        <v>90044.08</v>
      </c>
      <c r="K85" s="3">
        <f>I85*A77</f>
        <v>90044.08</v>
      </c>
    </row>
    <row r="86" spans="1:11" ht="18" customHeight="1">
      <c r="A86" s="13" t="s">
        <v>76</v>
      </c>
      <c r="B86" s="14" t="s">
        <v>43</v>
      </c>
      <c r="C86" s="53" t="s">
        <v>17</v>
      </c>
      <c r="D86" s="14">
        <v>1</v>
      </c>
      <c r="E86" s="16">
        <f>247*8*(A87/1974)</f>
        <v>219.22188449848025</v>
      </c>
      <c r="F86" s="34">
        <f>E86/A87</f>
        <v>1.0010131712259371</v>
      </c>
      <c r="G86" s="50">
        <f>D86/E86*F86</f>
        <v>4.5662100456621002E-3</v>
      </c>
      <c r="H86" s="15">
        <f>10000*0.4</f>
        <v>4000</v>
      </c>
      <c r="I86" s="17">
        <f>H86*G86</f>
        <v>18.264840182648399</v>
      </c>
    </row>
    <row r="87" spans="1:11">
      <c r="A87" s="64">
        <v>219</v>
      </c>
      <c r="B87" s="5" t="s">
        <v>96</v>
      </c>
      <c r="C87" s="44" t="s">
        <v>17</v>
      </c>
      <c r="D87" s="5">
        <v>1</v>
      </c>
      <c r="E87" s="7">
        <f>247*8*(A87/1974)</f>
        <v>219.22188449848025</v>
      </c>
      <c r="F87" s="35">
        <f>E87/A87</f>
        <v>1.0010131712259371</v>
      </c>
      <c r="G87" s="49">
        <f>D87/E87*F87</f>
        <v>4.5662100456621002E-3</v>
      </c>
      <c r="H87" s="6">
        <f>(39200-10000)*0.4</f>
        <v>11680</v>
      </c>
      <c r="I87" s="19">
        <f t="shared" ref="I87:I88" si="14">H87*G87</f>
        <v>53.333333333333329</v>
      </c>
    </row>
    <row r="88" spans="1:11">
      <c r="A88" s="64"/>
      <c r="B88" s="5"/>
      <c r="C88" s="44"/>
      <c r="D88" s="5"/>
      <c r="E88" s="7"/>
      <c r="F88" s="35"/>
      <c r="G88" s="49"/>
      <c r="H88" s="6"/>
      <c r="I88" s="19">
        <f t="shared" si="14"/>
        <v>0</v>
      </c>
    </row>
    <row r="89" spans="1:11" s="1" customFormat="1" ht="15.75" thickBot="1">
      <c r="A89" s="36"/>
      <c r="B89" s="37"/>
      <c r="C89" s="37"/>
      <c r="D89" s="37"/>
      <c r="E89" s="37"/>
      <c r="F89" s="37"/>
      <c r="G89" s="75"/>
      <c r="H89" s="76"/>
      <c r="I89" s="77">
        <f>SUM(I86:I88)</f>
        <v>71.598173515981728</v>
      </c>
    </row>
    <row r="90" spans="1:11" s="1" customFormat="1" ht="15.75" thickBot="1">
      <c r="A90" s="69"/>
      <c r="B90" s="70"/>
      <c r="C90" s="70"/>
      <c r="D90" s="70"/>
      <c r="E90" s="70"/>
      <c r="F90" s="70"/>
      <c r="G90" s="67" t="s">
        <v>66</v>
      </c>
      <c r="H90" s="71"/>
      <c r="I90" s="72">
        <f>I86+I87</f>
        <v>71.598173515981728</v>
      </c>
      <c r="J90" s="1">
        <f>39200*0.4</f>
        <v>15680</v>
      </c>
      <c r="K90" s="3">
        <f>I90*A87</f>
        <v>15679.999999999998</v>
      </c>
    </row>
    <row r="91" spans="1:11" s="1" customFormat="1" ht="15.75" thickBot="1">
      <c r="A91" s="88"/>
      <c r="B91" s="89"/>
      <c r="C91" s="89"/>
      <c r="D91" s="89"/>
      <c r="E91" s="89"/>
      <c r="F91" s="89"/>
      <c r="G91" s="90" t="s">
        <v>63</v>
      </c>
      <c r="H91" s="91"/>
      <c r="I91" s="92">
        <f>I89-I90</f>
        <v>0</v>
      </c>
      <c r="J91" s="3">
        <v>0</v>
      </c>
      <c r="K91" s="3">
        <f>I91*A87</f>
        <v>0</v>
      </c>
    </row>
    <row r="92" spans="1:11" ht="18" customHeight="1">
      <c r="A92" s="13" t="s">
        <v>77</v>
      </c>
      <c r="B92" s="14" t="s">
        <v>43</v>
      </c>
      <c r="C92" s="53" t="s">
        <v>17</v>
      </c>
      <c r="D92" s="14">
        <v>1</v>
      </c>
      <c r="E92" s="16">
        <f>247*8*(A93/1974)</f>
        <v>188.19047619047618</v>
      </c>
      <c r="F92" s="34">
        <f>E92/A93</f>
        <v>1.0010131712259371</v>
      </c>
      <c r="G92" s="50">
        <f>D92/E92*F92</f>
        <v>5.3191489361702135E-3</v>
      </c>
      <c r="H92" s="15">
        <f>50000*0.49</f>
        <v>24500</v>
      </c>
      <c r="I92" s="17">
        <f>H92*G92</f>
        <v>130.31914893617022</v>
      </c>
    </row>
    <row r="93" spans="1:11">
      <c r="A93" s="64">
        <v>188</v>
      </c>
      <c r="B93" s="5" t="s">
        <v>96</v>
      </c>
      <c r="C93" s="44" t="s">
        <v>17</v>
      </c>
      <c r="D93" s="5">
        <v>1</v>
      </c>
      <c r="E93" s="7">
        <f>247*8*(A93/1974)</f>
        <v>188.19047619047618</v>
      </c>
      <c r="F93" s="35">
        <f>E93/A93</f>
        <v>1.0010131712259371</v>
      </c>
      <c r="G93" s="49">
        <f>D93/E93*F93</f>
        <v>5.3191489361702135E-3</v>
      </c>
      <c r="H93" s="6">
        <f>(124985.47-50000)*0.49</f>
        <v>36742.880299999997</v>
      </c>
      <c r="I93" s="19">
        <f t="shared" ref="I93:I94" si="15">H93*G93</f>
        <v>195.44085265957449</v>
      </c>
    </row>
    <row r="94" spans="1:11">
      <c r="A94" s="64"/>
      <c r="B94" s="5"/>
      <c r="C94" s="44"/>
      <c r="D94" s="5"/>
      <c r="E94" s="7"/>
      <c r="F94" s="35"/>
      <c r="G94" s="49"/>
      <c r="H94" s="6"/>
      <c r="I94" s="19">
        <f t="shared" si="15"/>
        <v>0</v>
      </c>
    </row>
    <row r="95" spans="1:11" s="1" customFormat="1" ht="15.75" thickBot="1">
      <c r="A95" s="36"/>
      <c r="B95" s="37"/>
      <c r="C95" s="37"/>
      <c r="D95" s="37"/>
      <c r="E95" s="37"/>
      <c r="F95" s="37"/>
      <c r="G95" s="75"/>
      <c r="H95" s="76"/>
      <c r="I95" s="77">
        <f>SUM(I92:I94)</f>
        <v>325.76000159574471</v>
      </c>
    </row>
    <row r="96" spans="1:11" s="1" customFormat="1" ht="15.75" thickBot="1">
      <c r="A96" s="69"/>
      <c r="B96" s="70"/>
      <c r="C96" s="70"/>
      <c r="D96" s="70"/>
      <c r="E96" s="70"/>
      <c r="F96" s="70"/>
      <c r="G96" s="67" t="s">
        <v>66</v>
      </c>
      <c r="H96" s="71"/>
      <c r="I96" s="72">
        <f>I92+I93</f>
        <v>325.76000159574471</v>
      </c>
      <c r="J96" s="1">
        <f>124985.47*0.49</f>
        <v>61242.880299999997</v>
      </c>
      <c r="K96" s="3">
        <f>I96*A93</f>
        <v>61242.880300000004</v>
      </c>
    </row>
    <row r="97" spans="1:11" s="1" customFormat="1" ht="15.75" thickBot="1">
      <c r="A97" s="88"/>
      <c r="B97" s="89"/>
      <c r="C97" s="89"/>
      <c r="D97" s="89"/>
      <c r="E97" s="89"/>
      <c r="F97" s="89"/>
      <c r="G97" s="90" t="s">
        <v>63</v>
      </c>
      <c r="H97" s="91"/>
      <c r="I97" s="92">
        <f>I95-I96</f>
        <v>0</v>
      </c>
      <c r="J97" s="3">
        <v>0</v>
      </c>
      <c r="K97" s="3">
        <f>I97*A93</f>
        <v>0</v>
      </c>
    </row>
    <row r="98" spans="1:11" ht="18" customHeight="1">
      <c r="A98" s="13" t="s">
        <v>78</v>
      </c>
      <c r="B98" s="14" t="s">
        <v>43</v>
      </c>
      <c r="C98" s="53" t="s">
        <v>17</v>
      </c>
      <c r="D98" s="14">
        <v>1</v>
      </c>
      <c r="E98" s="16">
        <f>247*8*(A99/1974)</f>
        <v>370.37487335359674</v>
      </c>
      <c r="F98" s="34">
        <f>E98/A99</f>
        <v>1.0010131712259371</v>
      </c>
      <c r="G98" s="50">
        <f>D98/E98*F98</f>
        <v>2.7027027027027029E-3</v>
      </c>
      <c r="H98" s="15">
        <f>30000*0.48</f>
        <v>14400</v>
      </c>
      <c r="I98" s="17">
        <f>H98*G98</f>
        <v>38.918918918918919</v>
      </c>
    </row>
    <row r="99" spans="1:11">
      <c r="A99" s="64">
        <v>370</v>
      </c>
      <c r="B99" s="5" t="s">
        <v>96</v>
      </c>
      <c r="C99" s="44" t="s">
        <v>17</v>
      </c>
      <c r="D99" s="5">
        <v>1</v>
      </c>
      <c r="E99" s="7">
        <f>247*8*(A99/1974)</f>
        <v>370.37487335359674</v>
      </c>
      <c r="F99" s="35">
        <f>E99/A99</f>
        <v>1.0010131712259371</v>
      </c>
      <c r="G99" s="49">
        <f>D99/E99*F99</f>
        <v>2.7027027027027029E-3</v>
      </c>
      <c r="H99" s="6">
        <f>(60000-30000)*0.48</f>
        <v>14400</v>
      </c>
      <c r="I99" s="19">
        <f t="shared" ref="I99:I104" si="16">H99*G99</f>
        <v>38.918918918918919</v>
      </c>
    </row>
    <row r="100" spans="1:11">
      <c r="A100" s="64"/>
      <c r="B100" s="5" t="s">
        <v>97</v>
      </c>
      <c r="C100" s="44" t="s">
        <v>17</v>
      </c>
      <c r="D100" s="5">
        <v>1</v>
      </c>
      <c r="E100" s="7">
        <f>247*8*(A99/1974)</f>
        <v>370.37487335359674</v>
      </c>
      <c r="F100" s="35">
        <f>E100/A99</f>
        <v>1.0010131712259371</v>
      </c>
      <c r="G100" s="49">
        <f>D100/E100*F100</f>
        <v>2.7027027027027029E-3</v>
      </c>
      <c r="H100" s="6">
        <f>7080*0.48</f>
        <v>3398.4</v>
      </c>
      <c r="I100" s="19">
        <f t="shared" si="16"/>
        <v>9.1848648648648652</v>
      </c>
    </row>
    <row r="101" spans="1:11">
      <c r="A101" s="64"/>
      <c r="B101" s="5" t="s">
        <v>98</v>
      </c>
      <c r="C101" s="44" t="s">
        <v>17</v>
      </c>
      <c r="D101" s="5">
        <v>1</v>
      </c>
      <c r="E101" s="7">
        <f>247*8*(A99/1974)</f>
        <v>370.37487335359674</v>
      </c>
      <c r="F101" s="35">
        <f>E101/A99</f>
        <v>1.0010131712259371</v>
      </c>
      <c r="G101" s="49">
        <f t="shared" ref="G101:G104" si="17">D101/E101*F101</f>
        <v>2.7027027027027029E-3</v>
      </c>
      <c r="H101" s="6">
        <f>3369*0.48</f>
        <v>1617.12</v>
      </c>
      <c r="I101" s="19">
        <f t="shared" si="16"/>
        <v>4.3705945945945945</v>
      </c>
    </row>
    <row r="102" spans="1:11">
      <c r="A102" s="64"/>
      <c r="B102" s="5" t="s">
        <v>100</v>
      </c>
      <c r="C102" s="44" t="s">
        <v>17</v>
      </c>
      <c r="D102" s="5">
        <v>1</v>
      </c>
      <c r="E102" s="7">
        <f>247*8*(A99/1974)</f>
        <v>370.37487335359674</v>
      </c>
      <c r="F102" s="35">
        <f>E102/A99</f>
        <v>1.0010131712259371</v>
      </c>
      <c r="G102" s="49">
        <f t="shared" si="17"/>
        <v>2.7027027027027029E-3</v>
      </c>
      <c r="H102" s="6">
        <f>36128*0.48</f>
        <v>17341.439999999999</v>
      </c>
      <c r="I102" s="19">
        <f t="shared" si="16"/>
        <v>46.868756756756753</v>
      </c>
    </row>
    <row r="103" spans="1:11">
      <c r="A103" s="64"/>
      <c r="B103" s="5" t="s">
        <v>99</v>
      </c>
      <c r="C103" s="44" t="s">
        <v>17</v>
      </c>
      <c r="D103" s="5">
        <v>1</v>
      </c>
      <c r="E103" s="7">
        <f>247*8*(A99/1974)</f>
        <v>370.37487335359674</v>
      </c>
      <c r="F103" s="35">
        <f>E103/A99</f>
        <v>1.0010131712259371</v>
      </c>
      <c r="G103" s="49">
        <f t="shared" si="17"/>
        <v>2.7027027027027029E-3</v>
      </c>
      <c r="H103" s="6">
        <f>2348*0.48</f>
        <v>1127.04</v>
      </c>
      <c r="I103" s="19">
        <f t="shared" si="16"/>
        <v>3.0460540540540539</v>
      </c>
    </row>
    <row r="104" spans="1:11">
      <c r="A104" s="64"/>
      <c r="B104" s="5" t="s">
        <v>101</v>
      </c>
      <c r="C104" s="44" t="s">
        <v>17</v>
      </c>
      <c r="D104" s="5">
        <v>1</v>
      </c>
      <c r="E104" s="7">
        <f>247*8*(A99/1974)</f>
        <v>370.37487335359674</v>
      </c>
      <c r="F104" s="35">
        <f>E104/A99</f>
        <v>1.0010131712259371</v>
      </c>
      <c r="G104" s="49">
        <f t="shared" si="17"/>
        <v>2.7027027027027029E-3</v>
      </c>
      <c r="H104" s="6">
        <f>131625*0.48</f>
        <v>63180</v>
      </c>
      <c r="I104" s="19">
        <f t="shared" si="16"/>
        <v>170.75675675675677</v>
      </c>
    </row>
    <row r="105" spans="1:11" s="1" customFormat="1" ht="15.75" thickBot="1">
      <c r="A105" s="36"/>
      <c r="B105" s="37"/>
      <c r="C105" s="37"/>
      <c r="D105" s="37"/>
      <c r="E105" s="37"/>
      <c r="F105" s="37"/>
      <c r="G105" s="75"/>
      <c r="H105" s="76"/>
      <c r="I105" s="77">
        <f>SUM(I98:I104)</f>
        <v>312.06486486486483</v>
      </c>
    </row>
    <row r="106" spans="1:11" s="1" customFormat="1" ht="15.75" thickBot="1">
      <c r="A106" s="69"/>
      <c r="B106" s="70"/>
      <c r="C106" s="70"/>
      <c r="D106" s="70"/>
      <c r="E106" s="70"/>
      <c r="F106" s="70"/>
      <c r="G106" s="67" t="s">
        <v>66</v>
      </c>
      <c r="H106" s="71"/>
      <c r="I106" s="72">
        <f>I98+I99</f>
        <v>77.837837837837839</v>
      </c>
      <c r="J106" s="1">
        <f>60000*0.48</f>
        <v>28800</v>
      </c>
      <c r="K106" s="3">
        <f>I106*A99</f>
        <v>28800</v>
      </c>
    </row>
    <row r="107" spans="1:11" s="1" customFormat="1" ht="15.75" thickBot="1">
      <c r="A107" s="88"/>
      <c r="B107" s="89"/>
      <c r="C107" s="89"/>
      <c r="D107" s="89"/>
      <c r="E107" s="89"/>
      <c r="F107" s="89"/>
      <c r="G107" s="90" t="s">
        <v>63</v>
      </c>
      <c r="H107" s="91"/>
      <c r="I107" s="92">
        <f>I105-I106</f>
        <v>234.22702702702699</v>
      </c>
      <c r="J107" s="3">
        <f>(2348+36128+7080+3369+131625)*0.48</f>
        <v>86664</v>
      </c>
      <c r="K107" s="3">
        <f>I107*A99</f>
        <v>86663.999999999985</v>
      </c>
    </row>
    <row r="108" spans="1:11" ht="18" customHeight="1">
      <c r="A108" s="13" t="s">
        <v>79</v>
      </c>
      <c r="B108" s="14" t="s">
        <v>43</v>
      </c>
      <c r="C108" s="53" t="s">
        <v>17</v>
      </c>
      <c r="D108" s="14">
        <v>1</v>
      </c>
      <c r="E108" s="16">
        <f>247*8*(A109/1974)</f>
        <v>370.37487335359674</v>
      </c>
      <c r="F108" s="34">
        <f>E108/A109</f>
        <v>1.0010131712259371</v>
      </c>
      <c r="G108" s="50">
        <f>D108/E108*F108</f>
        <v>2.7027027027027029E-3</v>
      </c>
      <c r="H108" s="15">
        <f>50000*0.43</f>
        <v>21500</v>
      </c>
      <c r="I108" s="17">
        <f>H108*G108</f>
        <v>58.108108108108112</v>
      </c>
    </row>
    <row r="109" spans="1:11">
      <c r="A109" s="64">
        <v>370</v>
      </c>
      <c r="B109" s="5" t="s">
        <v>96</v>
      </c>
      <c r="C109" s="44" t="s">
        <v>17</v>
      </c>
      <c r="D109" s="5">
        <v>1</v>
      </c>
      <c r="E109" s="7">
        <f>247*8*(A109/1974)</f>
        <v>370.37487335359674</v>
      </c>
      <c r="F109" s="35">
        <f>E109/A109</f>
        <v>1.0010131712259371</v>
      </c>
      <c r="G109" s="49">
        <f>D109/E109*F109</f>
        <v>2.7027027027027029E-3</v>
      </c>
      <c r="H109" s="6">
        <f>(100005-50000)*0.43</f>
        <v>21502.15</v>
      </c>
      <c r="I109" s="19">
        <f t="shared" ref="I109:I110" si="18">H109*G109</f>
        <v>58.113918918918927</v>
      </c>
    </row>
    <row r="110" spans="1:11">
      <c r="A110" s="64"/>
      <c r="B110" s="5"/>
      <c r="C110" s="44"/>
      <c r="D110" s="5"/>
      <c r="E110" s="7"/>
      <c r="F110" s="35"/>
      <c r="G110" s="49"/>
      <c r="H110" s="6"/>
      <c r="I110" s="19">
        <f t="shared" si="18"/>
        <v>0</v>
      </c>
    </row>
    <row r="111" spans="1:11" s="1" customFormat="1" ht="15.75" thickBot="1">
      <c r="A111" s="36"/>
      <c r="B111" s="37"/>
      <c r="C111" s="37"/>
      <c r="D111" s="37"/>
      <c r="E111" s="37"/>
      <c r="F111" s="37"/>
      <c r="G111" s="75"/>
      <c r="H111" s="76"/>
      <c r="I111" s="77">
        <f>SUM(I108:I110)</f>
        <v>116.22202702702704</v>
      </c>
    </row>
    <row r="112" spans="1:11" s="1" customFormat="1" ht="15.75" thickBot="1">
      <c r="A112" s="69"/>
      <c r="B112" s="70"/>
      <c r="C112" s="70"/>
      <c r="D112" s="70"/>
      <c r="E112" s="70"/>
      <c r="F112" s="70"/>
      <c r="G112" s="67" t="s">
        <v>66</v>
      </c>
      <c r="H112" s="71"/>
      <c r="I112" s="72">
        <f>I108+I109</f>
        <v>116.22202702702704</v>
      </c>
      <c r="J112" s="1">
        <f>100005*0.43</f>
        <v>43002.15</v>
      </c>
      <c r="K112" s="3">
        <f>I112*A109</f>
        <v>43002.15</v>
      </c>
    </row>
    <row r="113" spans="1:11" s="1" customFormat="1" ht="15.75" thickBot="1">
      <c r="A113" s="88"/>
      <c r="B113" s="89"/>
      <c r="C113" s="89"/>
      <c r="D113" s="89"/>
      <c r="E113" s="89"/>
      <c r="F113" s="89"/>
      <c r="G113" s="90" t="s">
        <v>63</v>
      </c>
      <c r="H113" s="91"/>
      <c r="I113" s="92">
        <f>I111-I112</f>
        <v>0</v>
      </c>
      <c r="J113" s="3">
        <v>0</v>
      </c>
      <c r="K113" s="3">
        <f>I113*A109</f>
        <v>0</v>
      </c>
    </row>
    <row r="114" spans="1:11" ht="18" customHeight="1">
      <c r="A114" s="13" t="s">
        <v>80</v>
      </c>
      <c r="B114" s="14" t="s">
        <v>43</v>
      </c>
      <c r="C114" s="53" t="s">
        <v>17</v>
      </c>
      <c r="D114" s="14">
        <v>1</v>
      </c>
      <c r="E114" s="16">
        <f>247*8*(A115/1974)</f>
        <v>244.24721377912866</v>
      </c>
      <c r="F114" s="34">
        <f>E114/A115</f>
        <v>1.0010131712259371</v>
      </c>
      <c r="G114" s="50">
        <f>D114/E114*F114</f>
        <v>4.0983606557377051E-3</v>
      </c>
      <c r="H114" s="15">
        <f>60000*0.44</f>
        <v>26400</v>
      </c>
      <c r="I114" s="17">
        <f>H114*G114</f>
        <v>108.19672131147541</v>
      </c>
    </row>
    <row r="115" spans="1:11">
      <c r="A115" s="64">
        <v>244</v>
      </c>
      <c r="B115" s="5" t="s">
        <v>96</v>
      </c>
      <c r="C115" s="44" t="s">
        <v>17</v>
      </c>
      <c r="D115" s="5">
        <v>1</v>
      </c>
      <c r="E115" s="7">
        <f>247*8*(A115/1974)</f>
        <v>244.24721377912866</v>
      </c>
      <c r="F115" s="35">
        <f>E115/A115</f>
        <v>1.0010131712259371</v>
      </c>
      <c r="G115" s="49">
        <f>D115/E115*F115</f>
        <v>4.0983606557377051E-3</v>
      </c>
      <c r="H115" s="6">
        <f>(166456-60000)*0.44</f>
        <v>46840.639999999999</v>
      </c>
      <c r="I115" s="19">
        <f t="shared" ref="I115:I120" si="19">H115*G115</f>
        <v>191.96983606557379</v>
      </c>
    </row>
    <row r="116" spans="1:11">
      <c r="A116" s="64"/>
      <c r="B116" s="5" t="s">
        <v>97</v>
      </c>
      <c r="C116" s="44" t="s">
        <v>17</v>
      </c>
      <c r="D116" s="5">
        <v>1</v>
      </c>
      <c r="E116" s="7">
        <f>247*8*(A115/1974)</f>
        <v>244.24721377912866</v>
      </c>
      <c r="F116" s="35">
        <f>E116/A115</f>
        <v>1.0010131712259371</v>
      </c>
      <c r="G116" s="49">
        <f>D116/E116*F116</f>
        <v>4.0983606557377051E-3</v>
      </c>
      <c r="H116" s="6">
        <f>7080*0.44</f>
        <v>3115.2</v>
      </c>
      <c r="I116" s="19">
        <f t="shared" si="19"/>
        <v>12.767213114754098</v>
      </c>
    </row>
    <row r="117" spans="1:11">
      <c r="A117" s="64"/>
      <c r="B117" s="5" t="s">
        <v>98</v>
      </c>
      <c r="C117" s="44" t="s">
        <v>17</v>
      </c>
      <c r="D117" s="5">
        <v>1</v>
      </c>
      <c r="E117" s="7">
        <f>247*8*(A115/1974)</f>
        <v>244.24721377912866</v>
      </c>
      <c r="F117" s="35">
        <f>E117/A115</f>
        <v>1.0010131712259371</v>
      </c>
      <c r="G117" s="49">
        <f t="shared" ref="G117:G120" si="20">D117/E117*F117</f>
        <v>4.0983606557377051E-3</v>
      </c>
      <c r="H117" s="6">
        <f>2695*0.44</f>
        <v>1185.8</v>
      </c>
      <c r="I117" s="19">
        <f t="shared" si="19"/>
        <v>4.8598360655737709</v>
      </c>
    </row>
    <row r="118" spans="1:11">
      <c r="A118" s="64"/>
      <c r="B118" s="5" t="s">
        <v>100</v>
      </c>
      <c r="C118" s="44" t="s">
        <v>17</v>
      </c>
      <c r="D118" s="5">
        <v>1</v>
      </c>
      <c r="E118" s="7">
        <f>247*8*(A115/1974)</f>
        <v>244.24721377912866</v>
      </c>
      <c r="F118" s="35">
        <f>E118/A115</f>
        <v>1.0010131712259371</v>
      </c>
      <c r="G118" s="49">
        <f t="shared" si="20"/>
        <v>4.0983606557377051E-3</v>
      </c>
      <c r="H118" s="6">
        <f>18937*0.44</f>
        <v>8332.2800000000007</v>
      </c>
      <c r="I118" s="19">
        <f t="shared" si="19"/>
        <v>34.14868852459017</v>
      </c>
    </row>
    <row r="119" spans="1:11">
      <c r="A119" s="64"/>
      <c r="B119" s="5" t="s">
        <v>99</v>
      </c>
      <c r="C119" s="44" t="s">
        <v>17</v>
      </c>
      <c r="D119" s="5">
        <v>1</v>
      </c>
      <c r="E119" s="7">
        <f>247*8*(A115/1974)</f>
        <v>244.24721377912866</v>
      </c>
      <c r="F119" s="35">
        <f>E119/A115</f>
        <v>1.0010131712259371</v>
      </c>
      <c r="G119" s="49">
        <f t="shared" si="20"/>
        <v>4.0983606557377051E-3</v>
      </c>
      <c r="H119" s="6">
        <f>2348*0.44</f>
        <v>1033.1200000000001</v>
      </c>
      <c r="I119" s="19">
        <f t="shared" si="19"/>
        <v>4.2340983606557385</v>
      </c>
    </row>
    <row r="120" spans="1:11">
      <c r="A120" s="64"/>
      <c r="B120" s="5" t="s">
        <v>101</v>
      </c>
      <c r="C120" s="44" t="s">
        <v>17</v>
      </c>
      <c r="D120" s="5">
        <v>1</v>
      </c>
      <c r="E120" s="7">
        <f>247*8*(A115/1974)</f>
        <v>244.24721377912866</v>
      </c>
      <c r="F120" s="35">
        <f>E120/A115</f>
        <v>1.0010131712259371</v>
      </c>
      <c r="G120" s="49">
        <f t="shared" si="20"/>
        <v>4.0983606557377051E-3</v>
      </c>
      <c r="H120" s="6">
        <f>120250*0.44</f>
        <v>52910</v>
      </c>
      <c r="I120" s="19">
        <f t="shared" si="19"/>
        <v>216.84426229508199</v>
      </c>
    </row>
    <row r="121" spans="1:11" s="1" customFormat="1" ht="15.75" thickBot="1">
      <c r="A121" s="36"/>
      <c r="B121" s="37"/>
      <c r="C121" s="37"/>
      <c r="D121" s="37"/>
      <c r="E121" s="37"/>
      <c r="F121" s="37"/>
      <c r="G121" s="75"/>
      <c r="H121" s="76"/>
      <c r="I121" s="77">
        <f>SUM(I114:I120)</f>
        <v>573.02065573770506</v>
      </c>
    </row>
    <row r="122" spans="1:11" s="1" customFormat="1" ht="15.75" thickBot="1">
      <c r="A122" s="69"/>
      <c r="B122" s="70"/>
      <c r="C122" s="70"/>
      <c r="D122" s="70"/>
      <c r="E122" s="70"/>
      <c r="F122" s="70"/>
      <c r="G122" s="67" t="s">
        <v>66</v>
      </c>
      <c r="H122" s="71"/>
      <c r="I122" s="72">
        <f>I114+I115</f>
        <v>300.16655737704923</v>
      </c>
      <c r="J122" s="1">
        <f>166456*0.44</f>
        <v>73240.639999999999</v>
      </c>
      <c r="K122" s="3">
        <f>I122*A115</f>
        <v>73240.640000000014</v>
      </c>
    </row>
    <row r="123" spans="1:11" s="1" customFormat="1" ht="15.75" thickBot="1">
      <c r="A123" s="88"/>
      <c r="B123" s="89"/>
      <c r="C123" s="89"/>
      <c r="D123" s="89"/>
      <c r="E123" s="89"/>
      <c r="F123" s="89"/>
      <c r="G123" s="90" t="s">
        <v>63</v>
      </c>
      <c r="H123" s="91"/>
      <c r="I123" s="92">
        <f>I121-I122</f>
        <v>272.85409836065583</v>
      </c>
      <c r="J123" s="3">
        <f>(2348+18937+7080+2695+120250)*0.44</f>
        <v>66576.399999999994</v>
      </c>
      <c r="K123" s="3">
        <f>I123*A115</f>
        <v>66576.400000000023</v>
      </c>
    </row>
    <row r="124" spans="1:11" ht="18" customHeight="1">
      <c r="A124" s="13" t="s">
        <v>81</v>
      </c>
      <c r="B124" s="14" t="s">
        <v>43</v>
      </c>
      <c r="C124" s="53" t="s">
        <v>17</v>
      </c>
      <c r="D124" s="14">
        <v>1</v>
      </c>
      <c r="E124" s="16">
        <f>247*8*(A125/1974)</f>
        <v>433.4387031408308</v>
      </c>
      <c r="F124" s="34">
        <f>E124/A125</f>
        <v>1.0010131712259371</v>
      </c>
      <c r="G124" s="50">
        <f>D124/E124*F124</f>
        <v>2.3094688221709007E-3</v>
      </c>
      <c r="H124" s="15">
        <f>30000*0.48</f>
        <v>14400</v>
      </c>
      <c r="I124" s="17">
        <f>H124*G124</f>
        <v>33.25635103926097</v>
      </c>
    </row>
    <row r="125" spans="1:11">
      <c r="A125" s="64">
        <v>433</v>
      </c>
      <c r="B125" s="5" t="s">
        <v>96</v>
      </c>
      <c r="C125" s="44" t="s">
        <v>17</v>
      </c>
      <c r="D125" s="5">
        <v>1</v>
      </c>
      <c r="E125" s="7">
        <f>247*8*(A125/1974)</f>
        <v>433.4387031408308</v>
      </c>
      <c r="F125" s="35">
        <f>E125/A125</f>
        <v>1.0010131712259371</v>
      </c>
      <c r="G125" s="49">
        <f>D125/E125*F125</f>
        <v>2.3094688221709007E-3</v>
      </c>
      <c r="H125" s="6">
        <f>(85000-30000)*0.48</f>
        <v>26400</v>
      </c>
      <c r="I125" s="19">
        <f t="shared" ref="I125:I126" si="21">H125*G125</f>
        <v>60.969976905311775</v>
      </c>
    </row>
    <row r="126" spans="1:11">
      <c r="A126" s="64"/>
      <c r="B126" s="5"/>
      <c r="C126" s="44"/>
      <c r="D126" s="5"/>
      <c r="E126" s="7"/>
      <c r="F126" s="35"/>
      <c r="G126" s="49"/>
      <c r="H126" s="6"/>
      <c r="I126" s="19">
        <f t="shared" si="21"/>
        <v>0</v>
      </c>
    </row>
    <row r="127" spans="1:11" s="1" customFormat="1" ht="15.75" thickBot="1">
      <c r="A127" s="36"/>
      <c r="B127" s="37"/>
      <c r="C127" s="37"/>
      <c r="D127" s="37"/>
      <c r="E127" s="37"/>
      <c r="F127" s="37"/>
      <c r="G127" s="75"/>
      <c r="H127" s="76"/>
      <c r="I127" s="77">
        <f>SUM(I124:I126)</f>
        <v>94.226327944572745</v>
      </c>
    </row>
    <row r="128" spans="1:11" s="1" customFormat="1" ht="15.75" thickBot="1">
      <c r="A128" s="69"/>
      <c r="B128" s="70"/>
      <c r="C128" s="70"/>
      <c r="D128" s="70"/>
      <c r="E128" s="70"/>
      <c r="F128" s="70"/>
      <c r="G128" s="67" t="s">
        <v>66</v>
      </c>
      <c r="H128" s="71"/>
      <c r="I128" s="72">
        <f>I124+I125</f>
        <v>94.226327944572745</v>
      </c>
      <c r="J128" s="1">
        <f>85000*0.48</f>
        <v>40800</v>
      </c>
      <c r="K128" s="3">
        <f>I128*A125</f>
        <v>40800</v>
      </c>
    </row>
    <row r="129" spans="1:20" s="1" customFormat="1" ht="15.75" thickBot="1">
      <c r="A129" s="88"/>
      <c r="B129" s="89"/>
      <c r="C129" s="89"/>
      <c r="D129" s="89"/>
      <c r="E129" s="89"/>
      <c r="F129" s="89"/>
      <c r="G129" s="90" t="s">
        <v>63</v>
      </c>
      <c r="H129" s="91"/>
      <c r="I129" s="92">
        <f>I127-I128</f>
        <v>0</v>
      </c>
      <c r="J129" s="3">
        <v>0</v>
      </c>
      <c r="K129" s="3">
        <f>I129*A125</f>
        <v>0</v>
      </c>
    </row>
    <row r="130" spans="1:20" ht="18" customHeight="1">
      <c r="A130" s="13" t="s">
        <v>82</v>
      </c>
      <c r="B130" s="14" t="s">
        <v>43</v>
      </c>
      <c r="C130" s="53" t="s">
        <v>17</v>
      </c>
      <c r="D130" s="14">
        <v>1</v>
      </c>
      <c r="E130" s="16">
        <f>247*8*(A131/1974)</f>
        <v>103.10435663627153</v>
      </c>
      <c r="F130" s="34">
        <f>E130/A131</f>
        <v>1.0010131712259371</v>
      </c>
      <c r="G130" s="50">
        <f>D130/E130*F130</f>
        <v>9.7087378640776708E-3</v>
      </c>
      <c r="H130" s="15">
        <f>10000*0.45</f>
        <v>4500</v>
      </c>
      <c r="I130" s="17">
        <f>H130*G130</f>
        <v>43.689320388349522</v>
      </c>
    </row>
    <row r="131" spans="1:20">
      <c r="A131" s="64">
        <v>103</v>
      </c>
      <c r="B131" s="5" t="s">
        <v>96</v>
      </c>
      <c r="C131" s="44" t="s">
        <v>17</v>
      </c>
      <c r="D131" s="5">
        <v>1</v>
      </c>
      <c r="E131" s="7">
        <f>247*8*(A131/1974)</f>
        <v>103.10435663627153</v>
      </c>
      <c r="F131" s="35">
        <f>E131/A131</f>
        <v>1.0010131712259371</v>
      </c>
      <c r="G131" s="49">
        <f>D131/E131*F131</f>
        <v>9.7087378640776708E-3</v>
      </c>
      <c r="H131" s="6">
        <f>(24000-10000)*0.45</f>
        <v>6300</v>
      </c>
      <c r="I131" s="19">
        <f t="shared" ref="I131:I132" si="22">H131*G131</f>
        <v>61.165048543689323</v>
      </c>
    </row>
    <row r="132" spans="1:20">
      <c r="A132" s="64"/>
      <c r="B132" s="5"/>
      <c r="C132" s="44"/>
      <c r="D132" s="5"/>
      <c r="E132" s="7"/>
      <c r="F132" s="35"/>
      <c r="G132" s="49"/>
      <c r="H132" s="6"/>
      <c r="I132" s="19">
        <f t="shared" si="22"/>
        <v>0</v>
      </c>
    </row>
    <row r="133" spans="1:20" s="1" customFormat="1" ht="15.75" thickBot="1">
      <c r="A133" s="36"/>
      <c r="B133" s="37"/>
      <c r="C133" s="37"/>
      <c r="D133" s="37"/>
      <c r="E133" s="37"/>
      <c r="F133" s="37"/>
      <c r="G133" s="75"/>
      <c r="H133" s="76"/>
      <c r="I133" s="77">
        <f>SUM(I130:I132)</f>
        <v>104.85436893203885</v>
      </c>
    </row>
    <row r="134" spans="1:20" s="1" customFormat="1" ht="15.75" thickBot="1">
      <c r="A134" s="69"/>
      <c r="B134" s="70"/>
      <c r="C134" s="70"/>
      <c r="D134" s="70"/>
      <c r="E134" s="70"/>
      <c r="F134" s="70"/>
      <c r="G134" s="67" t="s">
        <v>66</v>
      </c>
      <c r="H134" s="71"/>
      <c r="I134" s="72">
        <f>I130+I131</f>
        <v>104.85436893203885</v>
      </c>
      <c r="J134" s="1">
        <f>24000*0.45</f>
        <v>10800</v>
      </c>
      <c r="K134" s="3">
        <f>I134*A131</f>
        <v>10800.000000000002</v>
      </c>
    </row>
    <row r="135" spans="1:20" s="1" customFormat="1" ht="15.75" thickBot="1">
      <c r="A135" s="88"/>
      <c r="B135" s="89"/>
      <c r="C135" s="89"/>
      <c r="D135" s="89"/>
      <c r="E135" s="89"/>
      <c r="F135" s="89"/>
      <c r="G135" s="90" t="s">
        <v>63</v>
      </c>
      <c r="H135" s="91"/>
      <c r="I135" s="92">
        <f>I133-I134</f>
        <v>0</v>
      </c>
      <c r="J135" s="3">
        <v>0</v>
      </c>
      <c r="K135" s="3">
        <f>I135*A131</f>
        <v>0</v>
      </c>
    </row>
    <row r="136" spans="1:20" ht="18" customHeight="1">
      <c r="A136" s="13" t="s">
        <v>83</v>
      </c>
      <c r="B136" s="14" t="s">
        <v>43</v>
      </c>
      <c r="C136" s="53" t="s">
        <v>17</v>
      </c>
      <c r="D136" s="14">
        <v>1</v>
      </c>
      <c r="E136" s="16">
        <f>247*8*(A137/1974)</f>
        <v>115.11651469098277</v>
      </c>
      <c r="F136" s="34">
        <f>E136/A137</f>
        <v>1.0010131712259371</v>
      </c>
      <c r="G136" s="50">
        <f>D136/E136*F136</f>
        <v>8.6956521739130436E-3</v>
      </c>
      <c r="H136" s="15">
        <f>10000*0.48</f>
        <v>4800</v>
      </c>
      <c r="I136" s="17">
        <f>H136*G136</f>
        <v>41.739130434782609</v>
      </c>
    </row>
    <row r="137" spans="1:20">
      <c r="A137" s="64">
        <v>115</v>
      </c>
      <c r="B137" s="5" t="s">
        <v>96</v>
      </c>
      <c r="C137" s="44" t="s">
        <v>17</v>
      </c>
      <c r="D137" s="5">
        <v>1</v>
      </c>
      <c r="E137" s="7">
        <f>247*8*(A137/1974)</f>
        <v>115.11651469098277</v>
      </c>
      <c r="F137" s="35">
        <f>E137/A137</f>
        <v>1.0010131712259371</v>
      </c>
      <c r="G137" s="49">
        <f>D137/E137*F137</f>
        <v>8.6956521739130436E-3</v>
      </c>
      <c r="H137" s="6">
        <f>(25000-10000)*0.48</f>
        <v>7200</v>
      </c>
      <c r="I137" s="19">
        <f t="shared" ref="I137:I138" si="23">H137*G137</f>
        <v>62.608695652173914</v>
      </c>
    </row>
    <row r="138" spans="1:20">
      <c r="A138" s="64"/>
      <c r="B138" s="5"/>
      <c r="C138" s="44"/>
      <c r="D138" s="5"/>
      <c r="E138" s="7"/>
      <c r="F138" s="35"/>
      <c r="G138" s="49"/>
      <c r="H138" s="6"/>
      <c r="I138" s="19">
        <f t="shared" si="23"/>
        <v>0</v>
      </c>
    </row>
    <row r="139" spans="1:20" s="1" customFormat="1" ht="15.75" thickBot="1">
      <c r="A139" s="36"/>
      <c r="B139" s="37"/>
      <c r="C139" s="37"/>
      <c r="D139" s="37"/>
      <c r="E139" s="37"/>
      <c r="F139" s="37"/>
      <c r="G139" s="75"/>
      <c r="H139" s="76"/>
      <c r="I139" s="77">
        <f>SUM(I136:I138)</f>
        <v>104.34782608695653</v>
      </c>
    </row>
    <row r="140" spans="1:20" s="1" customFormat="1" ht="15.75" thickBot="1">
      <c r="A140" s="69"/>
      <c r="B140" s="70"/>
      <c r="C140" s="70"/>
      <c r="D140" s="70"/>
      <c r="E140" s="70"/>
      <c r="F140" s="70"/>
      <c r="G140" s="67" t="s">
        <v>66</v>
      </c>
      <c r="H140" s="71"/>
      <c r="I140" s="72">
        <f>I136+I137</f>
        <v>104.34782608695653</v>
      </c>
      <c r="J140" s="1">
        <f>25000*0.48</f>
        <v>12000</v>
      </c>
      <c r="K140" s="3">
        <f>I140*A137</f>
        <v>12000.000000000002</v>
      </c>
    </row>
    <row r="141" spans="1:20" s="1" customFormat="1" ht="15.75" thickBot="1">
      <c r="A141" s="88"/>
      <c r="B141" s="89"/>
      <c r="C141" s="89"/>
      <c r="D141" s="89"/>
      <c r="E141" s="89"/>
      <c r="F141" s="89"/>
      <c r="G141" s="90" t="s">
        <v>63</v>
      </c>
      <c r="H141" s="91"/>
      <c r="I141" s="92">
        <f>I139-I140</f>
        <v>0</v>
      </c>
      <c r="J141" s="3">
        <v>0</v>
      </c>
      <c r="K141" s="3">
        <f>I141*A137</f>
        <v>0</v>
      </c>
    </row>
    <row r="142" spans="1:20" s="1" customFormat="1">
      <c r="A142" s="54"/>
      <c r="B142" s="55"/>
      <c r="C142" s="55"/>
      <c r="D142" s="55"/>
      <c r="E142" s="55"/>
      <c r="F142" s="55"/>
      <c r="G142" s="57"/>
      <c r="H142" s="58"/>
      <c r="I142" s="58"/>
    </row>
    <row r="143" spans="1:20" ht="19.5" thickBot="1">
      <c r="A143" s="73" t="s">
        <v>86</v>
      </c>
      <c r="H143"/>
      <c r="S143" s="1"/>
      <c r="T143" s="1"/>
    </row>
    <row r="144" spans="1:20" ht="96" customHeight="1">
      <c r="A144" s="27" t="s">
        <v>2</v>
      </c>
      <c r="B144" s="28" t="s">
        <v>15</v>
      </c>
      <c r="C144" s="28" t="s">
        <v>14</v>
      </c>
      <c r="D144" s="28" t="s">
        <v>16</v>
      </c>
      <c r="E144" s="28" t="s">
        <v>27</v>
      </c>
      <c r="F144" s="28" t="s">
        <v>28</v>
      </c>
      <c r="G144" s="28" t="s">
        <v>29</v>
      </c>
      <c r="H144" s="28" t="s">
        <v>30</v>
      </c>
      <c r="I144" s="28" t="s">
        <v>11</v>
      </c>
      <c r="J144" s="2" t="s">
        <v>34</v>
      </c>
      <c r="K144" s="2" t="s">
        <v>33</v>
      </c>
    </row>
    <row r="145" spans="1:11" ht="15.75" thickBot="1">
      <c r="A145" s="47">
        <v>1</v>
      </c>
      <c r="B145" s="10">
        <v>2</v>
      </c>
      <c r="C145" s="10">
        <v>3</v>
      </c>
      <c r="D145" s="10">
        <v>4</v>
      </c>
      <c r="E145" s="10">
        <v>5</v>
      </c>
      <c r="F145" s="10">
        <v>6</v>
      </c>
      <c r="G145" s="10" t="s">
        <v>31</v>
      </c>
      <c r="H145" s="9">
        <v>8</v>
      </c>
      <c r="I145" s="48" t="s">
        <v>32</v>
      </c>
    </row>
    <row r="146" spans="1:11" ht="18" customHeight="1">
      <c r="A146" s="13" t="s">
        <v>71</v>
      </c>
      <c r="B146" s="14" t="s">
        <v>43</v>
      </c>
      <c r="C146" s="53" t="s">
        <v>17</v>
      </c>
      <c r="D146" s="14">
        <v>1</v>
      </c>
      <c r="E146" s="16">
        <f>247*8*(A147/1974)</f>
        <v>61.061803444782164</v>
      </c>
      <c r="F146" s="34">
        <f>E146/A147</f>
        <v>1.0010131712259371</v>
      </c>
      <c r="G146" s="50">
        <f>D146/E146*F146</f>
        <v>1.6393442622950821E-2</v>
      </c>
      <c r="H146" s="15">
        <f>10000*0.14</f>
        <v>1400.0000000000002</v>
      </c>
      <c r="I146" s="17">
        <f>H146*G146</f>
        <v>22.950819672131153</v>
      </c>
    </row>
    <row r="147" spans="1:11">
      <c r="A147" s="64">
        <v>61</v>
      </c>
      <c r="B147" s="5" t="s">
        <v>96</v>
      </c>
      <c r="C147" s="44" t="s">
        <v>17</v>
      </c>
      <c r="D147" s="5">
        <v>1</v>
      </c>
      <c r="E147" s="7">
        <f>247*8*(A147/1974)</f>
        <v>61.061803444782164</v>
      </c>
      <c r="F147" s="35">
        <f>E147/A147</f>
        <v>1.0010131712259371</v>
      </c>
      <c r="G147" s="49">
        <f>D147/E147*F147</f>
        <v>1.6393442622950821E-2</v>
      </c>
      <c r="H147" s="6">
        <f>(57800-10000)*0.14</f>
        <v>6692.0000000000009</v>
      </c>
      <c r="I147" s="19">
        <f t="shared" ref="I147:I152" si="24">H147*G147</f>
        <v>109.70491803278691</v>
      </c>
    </row>
    <row r="148" spans="1:11">
      <c r="A148" s="64"/>
      <c r="B148" s="5" t="s">
        <v>97</v>
      </c>
      <c r="C148" s="44" t="s">
        <v>17</v>
      </c>
      <c r="D148" s="5">
        <v>1</v>
      </c>
      <c r="E148" s="7">
        <f>247*8*(A147/1974)</f>
        <v>61.061803444782164</v>
      </c>
      <c r="F148" s="35">
        <f>E148/A147</f>
        <v>1.0010131712259371</v>
      </c>
      <c r="G148" s="49">
        <f>D148/E148*F148</f>
        <v>1.6393442622950821E-2</v>
      </c>
      <c r="H148" s="6">
        <f>7080*0.14</f>
        <v>991.2</v>
      </c>
      <c r="I148" s="19">
        <f t="shared" si="24"/>
        <v>16.249180327868853</v>
      </c>
    </row>
    <row r="149" spans="1:11">
      <c r="A149" s="64"/>
      <c r="B149" s="5" t="s">
        <v>98</v>
      </c>
      <c r="C149" s="44" t="s">
        <v>17</v>
      </c>
      <c r="D149" s="5">
        <v>1</v>
      </c>
      <c r="E149" s="7">
        <f>247*8*(A147/1974)</f>
        <v>61.061803444782164</v>
      </c>
      <c r="F149" s="35">
        <f>E149/A147</f>
        <v>1.0010131712259371</v>
      </c>
      <c r="G149" s="49">
        <f t="shared" ref="G149:G152" si="25">D149/E149*F149</f>
        <v>1.6393442622950821E-2</v>
      </c>
      <c r="H149" s="6">
        <f>3500*0.14</f>
        <v>490.00000000000006</v>
      </c>
      <c r="I149" s="19">
        <f t="shared" si="24"/>
        <v>8.032786885245903</v>
      </c>
    </row>
    <row r="150" spans="1:11">
      <c r="A150" s="64"/>
      <c r="B150" s="5" t="s">
        <v>100</v>
      </c>
      <c r="C150" s="44" t="s">
        <v>17</v>
      </c>
      <c r="D150" s="5">
        <v>1</v>
      </c>
      <c r="E150" s="7">
        <f>247*8*(A147/1974)</f>
        <v>61.061803444782164</v>
      </c>
      <c r="F150" s="35">
        <f>E150/A147</f>
        <v>1.0010131712259371</v>
      </c>
      <c r="G150" s="49">
        <f t="shared" si="25"/>
        <v>1.6393442622950821E-2</v>
      </c>
      <c r="H150" s="6">
        <f>12000*0.14</f>
        <v>1680.0000000000002</v>
      </c>
      <c r="I150" s="19">
        <f t="shared" si="24"/>
        <v>27.540983606557383</v>
      </c>
    </row>
    <row r="151" spans="1:11">
      <c r="A151" s="64"/>
      <c r="B151" s="5" t="s">
        <v>99</v>
      </c>
      <c r="C151" s="44" t="s">
        <v>17</v>
      </c>
      <c r="D151" s="5">
        <v>1</v>
      </c>
      <c r="E151" s="7">
        <f>247*8*(A147/1974)</f>
        <v>61.061803444782164</v>
      </c>
      <c r="F151" s="35">
        <f>E151/A147</f>
        <v>1.0010131712259371</v>
      </c>
      <c r="G151" s="49">
        <f t="shared" si="25"/>
        <v>1.6393442622950821E-2</v>
      </c>
      <c r="H151" s="6">
        <f>2348*0.14</f>
        <v>328.72</v>
      </c>
      <c r="I151" s="19">
        <f t="shared" si="24"/>
        <v>5.3888524590163938</v>
      </c>
    </row>
    <row r="152" spans="1:11">
      <c r="A152" s="64"/>
      <c r="B152" s="5" t="s">
        <v>101</v>
      </c>
      <c r="C152" s="44" t="s">
        <v>17</v>
      </c>
      <c r="D152" s="5">
        <v>1</v>
      </c>
      <c r="E152" s="7">
        <f>247*8*(A147/1974)</f>
        <v>61.061803444782164</v>
      </c>
      <c r="F152" s="35">
        <f>E152/A147</f>
        <v>1.0010131712259371</v>
      </c>
      <c r="G152" s="49">
        <f t="shared" si="25"/>
        <v>1.6393442622950821E-2</v>
      </c>
      <c r="H152" s="6">
        <f>170820*0.14</f>
        <v>23914.800000000003</v>
      </c>
      <c r="I152" s="19">
        <f t="shared" si="24"/>
        <v>392.04590163934432</v>
      </c>
    </row>
    <row r="153" spans="1:11" s="1" customFormat="1" ht="15.75" thickBot="1">
      <c r="A153" s="36"/>
      <c r="B153" s="37"/>
      <c r="C153" s="37"/>
      <c r="D153" s="37"/>
      <c r="E153" s="37"/>
      <c r="F153" s="37"/>
      <c r="G153" s="75"/>
      <c r="H153" s="76"/>
      <c r="I153" s="77">
        <f>SUM(I146:I152)</f>
        <v>581.91344262295092</v>
      </c>
    </row>
    <row r="154" spans="1:11" s="1" customFormat="1" ht="15.75" thickBot="1">
      <c r="A154" s="69"/>
      <c r="B154" s="70"/>
      <c r="C154" s="70"/>
      <c r="D154" s="70"/>
      <c r="E154" s="70"/>
      <c r="F154" s="70"/>
      <c r="G154" s="67" t="s">
        <v>66</v>
      </c>
      <c r="H154" s="71"/>
      <c r="I154" s="72">
        <f>I146+I147</f>
        <v>132.65573770491807</v>
      </c>
      <c r="J154" s="1">
        <f>57800*0.14</f>
        <v>8092.0000000000009</v>
      </c>
      <c r="K154" s="3">
        <f>I154*A147</f>
        <v>8092.0000000000018</v>
      </c>
    </row>
    <row r="155" spans="1:11" s="1" customFormat="1" ht="15.75" thickBot="1">
      <c r="A155" s="88"/>
      <c r="B155" s="89"/>
      <c r="C155" s="89"/>
      <c r="D155" s="89"/>
      <c r="E155" s="89"/>
      <c r="F155" s="89"/>
      <c r="G155" s="90" t="s">
        <v>63</v>
      </c>
      <c r="H155" s="91"/>
      <c r="I155" s="92">
        <f>I153-I154</f>
        <v>449.25770491803286</v>
      </c>
      <c r="J155" s="3">
        <f>(2348+12000+3500+7080+170820)*0.14</f>
        <v>27404.720000000001</v>
      </c>
      <c r="K155" s="3">
        <f>I155*A147</f>
        <v>27404.720000000005</v>
      </c>
    </row>
    <row r="156" spans="1:11" ht="18" customHeight="1">
      <c r="A156" s="13" t="s">
        <v>76</v>
      </c>
      <c r="B156" s="14" t="s">
        <v>43</v>
      </c>
      <c r="C156" s="53" t="s">
        <v>17</v>
      </c>
      <c r="D156" s="14">
        <v>1</v>
      </c>
      <c r="E156" s="16">
        <f>247*8*(A157/1974)</f>
        <v>34.034447821681866</v>
      </c>
      <c r="F156" s="34">
        <f>E156/A157</f>
        <v>1.0010131712259371</v>
      </c>
      <c r="G156" s="50">
        <f>D156/E156*F156</f>
        <v>2.9411764705882353E-2</v>
      </c>
      <c r="H156" s="15">
        <f>10000*0.06</f>
        <v>600</v>
      </c>
      <c r="I156" s="17">
        <f>H156*G156</f>
        <v>17.647058823529413</v>
      </c>
    </row>
    <row r="157" spans="1:11">
      <c r="A157" s="64">
        <v>34</v>
      </c>
      <c r="B157" s="5" t="s">
        <v>96</v>
      </c>
      <c r="C157" s="44" t="s">
        <v>17</v>
      </c>
      <c r="D157" s="5">
        <v>1</v>
      </c>
      <c r="E157" s="7">
        <f>247*8*(A157/1974)</f>
        <v>34.034447821681866</v>
      </c>
      <c r="F157" s="35">
        <f>E157/A157</f>
        <v>1.0010131712259371</v>
      </c>
      <c r="G157" s="49">
        <f>D157/E157*F157</f>
        <v>2.9411764705882353E-2</v>
      </c>
      <c r="H157" s="6">
        <f>(39200-10000)*0.06</f>
        <v>1752</v>
      </c>
      <c r="I157" s="19">
        <f t="shared" ref="I157:I158" si="26">H157*G157</f>
        <v>51.529411764705884</v>
      </c>
    </row>
    <row r="158" spans="1:11">
      <c r="A158" s="64"/>
      <c r="B158" s="5"/>
      <c r="C158" s="44"/>
      <c r="D158" s="5"/>
      <c r="E158" s="7"/>
      <c r="F158" s="35"/>
      <c r="G158" s="49"/>
      <c r="H158" s="6"/>
      <c r="I158" s="19">
        <f t="shared" si="26"/>
        <v>0</v>
      </c>
    </row>
    <row r="159" spans="1:11" s="1" customFormat="1" ht="15.75" thickBot="1">
      <c r="A159" s="36"/>
      <c r="B159" s="37"/>
      <c r="C159" s="37"/>
      <c r="D159" s="37"/>
      <c r="E159" s="37"/>
      <c r="F159" s="37"/>
      <c r="G159" s="75"/>
      <c r="H159" s="76"/>
      <c r="I159" s="77">
        <f>SUM(I156:I158)</f>
        <v>69.176470588235304</v>
      </c>
    </row>
    <row r="160" spans="1:11" s="1" customFormat="1" ht="15.75" thickBot="1">
      <c r="A160" s="69"/>
      <c r="B160" s="70"/>
      <c r="C160" s="70"/>
      <c r="D160" s="70"/>
      <c r="E160" s="70"/>
      <c r="F160" s="70"/>
      <c r="G160" s="67" t="s">
        <v>66</v>
      </c>
      <c r="H160" s="71"/>
      <c r="I160" s="72">
        <f>I156+I157</f>
        <v>69.176470588235304</v>
      </c>
      <c r="J160" s="1">
        <f>39200*0.06</f>
        <v>2352</v>
      </c>
      <c r="K160" s="3">
        <f>I160*A157</f>
        <v>2352.0000000000005</v>
      </c>
    </row>
    <row r="161" spans="1:11" s="1" customFormat="1" ht="15.75" thickBot="1">
      <c r="A161" s="88"/>
      <c r="B161" s="89"/>
      <c r="C161" s="89"/>
      <c r="D161" s="89"/>
      <c r="E161" s="89"/>
      <c r="F161" s="89"/>
      <c r="G161" s="90" t="s">
        <v>63</v>
      </c>
      <c r="H161" s="91"/>
      <c r="I161" s="92">
        <f>I159-I160</f>
        <v>0</v>
      </c>
      <c r="J161" s="3">
        <v>0</v>
      </c>
      <c r="K161" s="3">
        <f>I161*A157</f>
        <v>0</v>
      </c>
    </row>
    <row r="162" spans="1:11" ht="18" customHeight="1">
      <c r="A162" s="13" t="s">
        <v>77</v>
      </c>
      <c r="B162" s="14" t="s">
        <v>43</v>
      </c>
      <c r="C162" s="53" t="s">
        <v>17</v>
      </c>
      <c r="D162" s="14">
        <v>1</v>
      </c>
      <c r="E162" s="16">
        <f>247*8*(A163/1974)</f>
        <v>35.035460992907801</v>
      </c>
      <c r="F162" s="34">
        <f>E162/A163</f>
        <v>1.0010131712259371</v>
      </c>
      <c r="G162" s="50">
        <f>D162/E162*F162</f>
        <v>2.8571428571428571E-2</v>
      </c>
      <c r="H162" s="15">
        <f>50000*0.09</f>
        <v>4500</v>
      </c>
      <c r="I162" s="17">
        <f>H162*G162</f>
        <v>128.57142857142856</v>
      </c>
    </row>
    <row r="163" spans="1:11">
      <c r="A163" s="64">
        <v>35</v>
      </c>
      <c r="B163" s="5" t="s">
        <v>96</v>
      </c>
      <c r="C163" s="44" t="s">
        <v>17</v>
      </c>
      <c r="D163" s="5">
        <v>1</v>
      </c>
      <c r="E163" s="7">
        <f>247*8*(A163/1974)</f>
        <v>35.035460992907801</v>
      </c>
      <c r="F163" s="35">
        <f>E163/A163</f>
        <v>1.0010131712259371</v>
      </c>
      <c r="G163" s="49">
        <f>D163/E163*F163</f>
        <v>2.8571428571428571E-2</v>
      </c>
      <c r="H163" s="6">
        <f>(124985.47-50000)*0.09</f>
        <v>6748.6922999999997</v>
      </c>
      <c r="I163" s="19">
        <f t="shared" ref="I163:I164" si="27">H163*G163</f>
        <v>192.81977999999998</v>
      </c>
    </row>
    <row r="164" spans="1:11">
      <c r="A164" s="64"/>
      <c r="B164" s="5"/>
      <c r="C164" s="44"/>
      <c r="D164" s="5"/>
      <c r="E164" s="7"/>
      <c r="F164" s="35"/>
      <c r="G164" s="49"/>
      <c r="H164" s="6"/>
      <c r="I164" s="19">
        <f t="shared" si="27"/>
        <v>0</v>
      </c>
    </row>
    <row r="165" spans="1:11" s="1" customFormat="1" ht="15.75" thickBot="1">
      <c r="A165" s="36"/>
      <c r="B165" s="37"/>
      <c r="C165" s="37"/>
      <c r="D165" s="37"/>
      <c r="E165" s="37"/>
      <c r="F165" s="37"/>
      <c r="G165" s="75"/>
      <c r="H165" s="76"/>
      <c r="I165" s="77">
        <f>SUM(I162:I164)</f>
        <v>321.39120857142854</v>
      </c>
    </row>
    <row r="166" spans="1:11" s="1" customFormat="1" ht="15.75" thickBot="1">
      <c r="A166" s="69"/>
      <c r="B166" s="70"/>
      <c r="C166" s="70"/>
      <c r="D166" s="70"/>
      <c r="E166" s="70"/>
      <c r="F166" s="70"/>
      <c r="G166" s="67" t="s">
        <v>66</v>
      </c>
      <c r="H166" s="71"/>
      <c r="I166" s="72">
        <f>I162+I163</f>
        <v>321.39120857142854</v>
      </c>
      <c r="J166" s="1">
        <f>124985.47*0.09</f>
        <v>11248.692299999999</v>
      </c>
      <c r="K166" s="3">
        <f>I166*A163</f>
        <v>11248.692299999999</v>
      </c>
    </row>
    <row r="167" spans="1:11" s="1" customFormat="1" ht="15.75" thickBot="1">
      <c r="A167" s="88"/>
      <c r="B167" s="89"/>
      <c r="C167" s="89"/>
      <c r="D167" s="89"/>
      <c r="E167" s="89"/>
      <c r="F167" s="89"/>
      <c r="G167" s="90" t="s">
        <v>63</v>
      </c>
      <c r="H167" s="91"/>
      <c r="I167" s="92">
        <f>I165-I166</f>
        <v>0</v>
      </c>
      <c r="J167" s="3">
        <v>0</v>
      </c>
      <c r="K167" s="3">
        <f>I167*A163</f>
        <v>0</v>
      </c>
    </row>
    <row r="168" spans="1:11" ht="18" customHeight="1">
      <c r="A168" s="13" t="s">
        <v>78</v>
      </c>
      <c r="B168" s="14" t="s">
        <v>43</v>
      </c>
      <c r="C168" s="53" t="s">
        <v>17</v>
      </c>
      <c r="D168" s="14">
        <v>1</v>
      </c>
      <c r="E168" s="16">
        <f>247*8*(A169/1974)</f>
        <v>60.060790273556229</v>
      </c>
      <c r="F168" s="34">
        <f>E168/A169</f>
        <v>1.0010131712259371</v>
      </c>
      <c r="G168" s="50">
        <f>D168/E168*F168</f>
        <v>1.6666666666666666E-2</v>
      </c>
      <c r="H168" s="15">
        <f>30000*0.08</f>
        <v>2400</v>
      </c>
      <c r="I168" s="17">
        <f>H168*G168</f>
        <v>40</v>
      </c>
    </row>
    <row r="169" spans="1:11">
      <c r="A169" s="64">
        <v>60</v>
      </c>
      <c r="B169" s="5" t="s">
        <v>96</v>
      </c>
      <c r="C169" s="44" t="s">
        <v>17</v>
      </c>
      <c r="D169" s="5">
        <v>1</v>
      </c>
      <c r="E169" s="7">
        <f>247*8*(A169/1974)</f>
        <v>60.060790273556229</v>
      </c>
      <c r="F169" s="35">
        <f>E169/A169</f>
        <v>1.0010131712259371</v>
      </c>
      <c r="G169" s="49">
        <f>D169/E169*F169</f>
        <v>1.6666666666666666E-2</v>
      </c>
      <c r="H169" s="6">
        <f>(60000-30000)*0.08</f>
        <v>2400</v>
      </c>
      <c r="I169" s="19">
        <f t="shared" ref="I169:I174" si="28">H169*G169</f>
        <v>40</v>
      </c>
    </row>
    <row r="170" spans="1:11">
      <c r="A170" s="64"/>
      <c r="B170" s="5" t="s">
        <v>97</v>
      </c>
      <c r="C170" s="44" t="s">
        <v>17</v>
      </c>
      <c r="D170" s="5">
        <v>1</v>
      </c>
      <c r="E170" s="7">
        <f>247*8*(A169/1974)</f>
        <v>60.060790273556229</v>
      </c>
      <c r="F170" s="35">
        <f>E170/A169</f>
        <v>1.0010131712259371</v>
      </c>
      <c r="G170" s="49">
        <f>D170/E170*F170</f>
        <v>1.6666666666666666E-2</v>
      </c>
      <c r="H170" s="6">
        <f>7080*0.08</f>
        <v>566.4</v>
      </c>
      <c r="I170" s="19">
        <f t="shared" si="28"/>
        <v>9.44</v>
      </c>
    </row>
    <row r="171" spans="1:11">
      <c r="A171" s="64"/>
      <c r="B171" s="5" t="s">
        <v>98</v>
      </c>
      <c r="C171" s="44" t="s">
        <v>17</v>
      </c>
      <c r="D171" s="5">
        <v>1</v>
      </c>
      <c r="E171" s="7">
        <f>247*8*(A169/1974)</f>
        <v>60.060790273556229</v>
      </c>
      <c r="F171" s="35">
        <f>E171/A169</f>
        <v>1.0010131712259371</v>
      </c>
      <c r="G171" s="49">
        <f t="shared" ref="G171:G174" si="29">D171/E171*F171</f>
        <v>1.6666666666666666E-2</v>
      </c>
      <c r="H171" s="6">
        <f>3369*0.08</f>
        <v>269.52</v>
      </c>
      <c r="I171" s="19">
        <f t="shared" si="28"/>
        <v>4.492</v>
      </c>
    </row>
    <row r="172" spans="1:11">
      <c r="A172" s="64"/>
      <c r="B172" s="5" t="s">
        <v>100</v>
      </c>
      <c r="C172" s="44" t="s">
        <v>17</v>
      </c>
      <c r="D172" s="5">
        <v>1</v>
      </c>
      <c r="E172" s="7">
        <f>247*8*(A169/1974)</f>
        <v>60.060790273556229</v>
      </c>
      <c r="F172" s="35">
        <f>E172/A169</f>
        <v>1.0010131712259371</v>
      </c>
      <c r="G172" s="49">
        <f t="shared" si="29"/>
        <v>1.6666666666666666E-2</v>
      </c>
      <c r="H172" s="6">
        <f>36128*0.08</f>
        <v>2890.2400000000002</v>
      </c>
      <c r="I172" s="19">
        <f t="shared" si="28"/>
        <v>48.170666666666669</v>
      </c>
    </row>
    <row r="173" spans="1:11">
      <c r="A173" s="64"/>
      <c r="B173" s="5" t="s">
        <v>99</v>
      </c>
      <c r="C173" s="44" t="s">
        <v>17</v>
      </c>
      <c r="D173" s="5">
        <v>1</v>
      </c>
      <c r="E173" s="7">
        <f>247*8*(A169/1974)</f>
        <v>60.060790273556229</v>
      </c>
      <c r="F173" s="35">
        <f>E173/A169</f>
        <v>1.0010131712259371</v>
      </c>
      <c r="G173" s="49">
        <f t="shared" si="29"/>
        <v>1.6666666666666666E-2</v>
      </c>
      <c r="H173" s="6">
        <f>2348*0.08</f>
        <v>187.84</v>
      </c>
      <c r="I173" s="19">
        <f t="shared" si="28"/>
        <v>3.1306666666666665</v>
      </c>
    </row>
    <row r="174" spans="1:11">
      <c r="A174" s="64"/>
      <c r="B174" s="5" t="s">
        <v>101</v>
      </c>
      <c r="C174" s="44" t="s">
        <v>17</v>
      </c>
      <c r="D174" s="5">
        <v>1</v>
      </c>
      <c r="E174" s="7">
        <f>247*8*(A169/1974)</f>
        <v>60.060790273556229</v>
      </c>
      <c r="F174" s="35">
        <f>E174/A169</f>
        <v>1.0010131712259371</v>
      </c>
      <c r="G174" s="49">
        <f t="shared" si="29"/>
        <v>1.6666666666666666E-2</v>
      </c>
      <c r="H174" s="6">
        <f>131625*0.08</f>
        <v>10530</v>
      </c>
      <c r="I174" s="19">
        <f t="shared" si="28"/>
        <v>175.5</v>
      </c>
    </row>
    <row r="175" spans="1:11" s="1" customFormat="1" ht="15.75" thickBot="1">
      <c r="A175" s="36"/>
      <c r="B175" s="37"/>
      <c r="C175" s="37"/>
      <c r="D175" s="37"/>
      <c r="E175" s="37"/>
      <c r="F175" s="37"/>
      <c r="G175" s="75"/>
      <c r="H175" s="76"/>
      <c r="I175" s="77">
        <f>SUM(I168:I174)</f>
        <v>320.73333333333335</v>
      </c>
    </row>
    <row r="176" spans="1:11" s="1" customFormat="1" ht="15.75" thickBot="1">
      <c r="A176" s="69"/>
      <c r="B176" s="70"/>
      <c r="C176" s="70"/>
      <c r="D176" s="70"/>
      <c r="E176" s="70"/>
      <c r="F176" s="70"/>
      <c r="G176" s="67" t="s">
        <v>66</v>
      </c>
      <c r="H176" s="71"/>
      <c r="I176" s="72">
        <f>I168+I169</f>
        <v>80</v>
      </c>
      <c r="J176" s="1">
        <f>60000*0.08</f>
        <v>4800</v>
      </c>
      <c r="K176" s="3">
        <f>I176*A169</f>
        <v>4800</v>
      </c>
    </row>
    <row r="177" spans="1:11" s="1" customFormat="1" ht="15.75" thickBot="1">
      <c r="A177" s="88"/>
      <c r="B177" s="89"/>
      <c r="C177" s="89"/>
      <c r="D177" s="89"/>
      <c r="E177" s="89"/>
      <c r="F177" s="89"/>
      <c r="G177" s="90" t="s">
        <v>63</v>
      </c>
      <c r="H177" s="91"/>
      <c r="I177" s="92">
        <f>I175-I176</f>
        <v>240.73333333333335</v>
      </c>
      <c r="J177" s="3">
        <f>(2348+36128+7080+3369+131625)*0.08</f>
        <v>14444</v>
      </c>
      <c r="K177" s="3">
        <f>I177*A169</f>
        <v>14444</v>
      </c>
    </row>
    <row r="178" spans="1:11" ht="18" customHeight="1">
      <c r="A178" s="13" t="s">
        <v>79</v>
      </c>
      <c r="B178" s="14" t="s">
        <v>43</v>
      </c>
      <c r="C178" s="53" t="s">
        <v>17</v>
      </c>
      <c r="D178" s="14">
        <v>1</v>
      </c>
      <c r="E178" s="16">
        <f>247*8*(A179/1974)</f>
        <v>92.093211752786218</v>
      </c>
      <c r="F178" s="34">
        <f>E178/A179</f>
        <v>1.0010131712259371</v>
      </c>
      <c r="G178" s="50">
        <f>D178/E178*F178</f>
        <v>1.0869565217391304E-2</v>
      </c>
      <c r="H178" s="15">
        <f>50000*0.11</f>
        <v>5500</v>
      </c>
      <c r="I178" s="17">
        <f>H178*G178</f>
        <v>59.782608695652172</v>
      </c>
    </row>
    <row r="179" spans="1:11">
      <c r="A179" s="64">
        <v>92</v>
      </c>
      <c r="B179" s="5" t="s">
        <v>96</v>
      </c>
      <c r="C179" s="44" t="s">
        <v>17</v>
      </c>
      <c r="D179" s="5">
        <v>1</v>
      </c>
      <c r="E179" s="7">
        <f>247*8*(A179/1974)</f>
        <v>92.093211752786218</v>
      </c>
      <c r="F179" s="35">
        <f>E179/A179</f>
        <v>1.0010131712259371</v>
      </c>
      <c r="G179" s="49">
        <f>D179/E179*F179</f>
        <v>1.0869565217391304E-2</v>
      </c>
      <c r="H179" s="6">
        <f>(100005-50000)*0.11</f>
        <v>5500.55</v>
      </c>
      <c r="I179" s="19">
        <f t="shared" ref="I179:I180" si="30">H179*G179</f>
        <v>59.78858695652174</v>
      </c>
    </row>
    <row r="180" spans="1:11">
      <c r="A180" s="64"/>
      <c r="B180" s="5"/>
      <c r="C180" s="44"/>
      <c r="D180" s="5"/>
      <c r="E180" s="7"/>
      <c r="F180" s="35"/>
      <c r="G180" s="49"/>
      <c r="H180" s="6"/>
      <c r="I180" s="19">
        <f t="shared" si="30"/>
        <v>0</v>
      </c>
    </row>
    <row r="181" spans="1:11" s="1" customFormat="1" ht="15.75" thickBot="1">
      <c r="A181" s="36"/>
      <c r="B181" s="37"/>
      <c r="C181" s="37"/>
      <c r="D181" s="37"/>
      <c r="E181" s="37"/>
      <c r="F181" s="37"/>
      <c r="G181" s="75"/>
      <c r="H181" s="76"/>
      <c r="I181" s="77">
        <f>SUM(I178:I180)</f>
        <v>119.57119565217391</v>
      </c>
    </row>
    <row r="182" spans="1:11" s="1" customFormat="1" ht="15.75" thickBot="1">
      <c r="A182" s="69"/>
      <c r="B182" s="70"/>
      <c r="C182" s="70"/>
      <c r="D182" s="70"/>
      <c r="E182" s="70"/>
      <c r="F182" s="70"/>
      <c r="G182" s="67" t="s">
        <v>66</v>
      </c>
      <c r="H182" s="71"/>
      <c r="I182" s="72">
        <f>I178+I179</f>
        <v>119.57119565217391</v>
      </c>
      <c r="J182" s="1">
        <f>100005*0.11</f>
        <v>11000.55</v>
      </c>
      <c r="K182" s="3">
        <f>I182*A179</f>
        <v>11000.55</v>
      </c>
    </row>
    <row r="183" spans="1:11" s="1" customFormat="1" ht="15.75" thickBot="1">
      <c r="A183" s="88"/>
      <c r="B183" s="89"/>
      <c r="C183" s="89"/>
      <c r="D183" s="89"/>
      <c r="E183" s="89"/>
      <c r="F183" s="89"/>
      <c r="G183" s="90" t="s">
        <v>63</v>
      </c>
      <c r="H183" s="91"/>
      <c r="I183" s="92">
        <f>I181-I182</f>
        <v>0</v>
      </c>
      <c r="J183" s="3">
        <v>0</v>
      </c>
      <c r="K183" s="3">
        <f>I183*A179</f>
        <v>0</v>
      </c>
    </row>
    <row r="184" spans="1:11" ht="18" customHeight="1">
      <c r="A184" s="13" t="s">
        <v>80</v>
      </c>
      <c r="B184" s="14" t="s">
        <v>43</v>
      </c>
      <c r="C184" s="53" t="s">
        <v>17</v>
      </c>
      <c r="D184" s="14">
        <v>1</v>
      </c>
      <c r="E184" s="16">
        <f>247*8*(A185/1974)</f>
        <v>244.24721377912866</v>
      </c>
      <c r="F184" s="34">
        <f>E184/A185</f>
        <v>1.0010131712259371</v>
      </c>
      <c r="G184" s="50">
        <f>D184/E184*F184</f>
        <v>4.0983606557377051E-3</v>
      </c>
      <c r="H184" s="15">
        <f>60000*0.44</f>
        <v>26400</v>
      </c>
      <c r="I184" s="17">
        <f>H184*G184</f>
        <v>108.19672131147541</v>
      </c>
    </row>
    <row r="185" spans="1:11">
      <c r="A185" s="64">
        <v>244</v>
      </c>
      <c r="B185" s="5" t="s">
        <v>96</v>
      </c>
      <c r="C185" s="44" t="s">
        <v>17</v>
      </c>
      <c r="D185" s="5">
        <v>1</v>
      </c>
      <c r="E185" s="7">
        <f>247*8*(A185/1974)</f>
        <v>244.24721377912866</v>
      </c>
      <c r="F185" s="35">
        <f>E185/A185</f>
        <v>1.0010131712259371</v>
      </c>
      <c r="G185" s="49">
        <f>D185/E185*F185</f>
        <v>4.0983606557377051E-3</v>
      </c>
      <c r="H185" s="6">
        <f>(166456-60000)*0.44</f>
        <v>46840.639999999999</v>
      </c>
      <c r="I185" s="19">
        <f t="shared" ref="I185:I190" si="31">H185*G185</f>
        <v>191.96983606557379</v>
      </c>
    </row>
    <row r="186" spans="1:11">
      <c r="A186" s="64"/>
      <c r="B186" s="5" t="s">
        <v>97</v>
      </c>
      <c r="C186" s="44" t="s">
        <v>17</v>
      </c>
      <c r="D186" s="5">
        <v>1</v>
      </c>
      <c r="E186" s="7">
        <f>247*8*(A185/1974)</f>
        <v>244.24721377912866</v>
      </c>
      <c r="F186" s="35">
        <f>E186/A185</f>
        <v>1.0010131712259371</v>
      </c>
      <c r="G186" s="49">
        <f>D186/E186*F186</f>
        <v>4.0983606557377051E-3</v>
      </c>
      <c r="H186" s="6">
        <f>7080*0.44</f>
        <v>3115.2</v>
      </c>
      <c r="I186" s="19">
        <f t="shared" si="31"/>
        <v>12.767213114754098</v>
      </c>
    </row>
    <row r="187" spans="1:11">
      <c r="A187" s="64"/>
      <c r="B187" s="5" t="s">
        <v>98</v>
      </c>
      <c r="C187" s="44" t="s">
        <v>17</v>
      </c>
      <c r="D187" s="5">
        <v>1</v>
      </c>
      <c r="E187" s="7">
        <f>247*8*(A185/1974)</f>
        <v>244.24721377912866</v>
      </c>
      <c r="F187" s="35">
        <f>E187/A185</f>
        <v>1.0010131712259371</v>
      </c>
      <c r="G187" s="49">
        <f t="shared" ref="G187:G190" si="32">D187/E187*F187</f>
        <v>4.0983606557377051E-3</v>
      </c>
      <c r="H187" s="6">
        <f>2695*0.44</f>
        <v>1185.8</v>
      </c>
      <c r="I187" s="19">
        <f t="shared" si="31"/>
        <v>4.8598360655737709</v>
      </c>
    </row>
    <row r="188" spans="1:11">
      <c r="A188" s="64"/>
      <c r="B188" s="5" t="s">
        <v>100</v>
      </c>
      <c r="C188" s="44" t="s">
        <v>17</v>
      </c>
      <c r="D188" s="5">
        <v>1</v>
      </c>
      <c r="E188" s="7">
        <f>247*8*(A185/1974)</f>
        <v>244.24721377912866</v>
      </c>
      <c r="F188" s="35">
        <f>E188/A185</f>
        <v>1.0010131712259371</v>
      </c>
      <c r="G188" s="49">
        <f t="shared" si="32"/>
        <v>4.0983606557377051E-3</v>
      </c>
      <c r="H188" s="6">
        <f>18937*0.44</f>
        <v>8332.2800000000007</v>
      </c>
      <c r="I188" s="19">
        <f t="shared" si="31"/>
        <v>34.14868852459017</v>
      </c>
    </row>
    <row r="189" spans="1:11">
      <c r="A189" s="64"/>
      <c r="B189" s="5" t="s">
        <v>99</v>
      </c>
      <c r="C189" s="44" t="s">
        <v>17</v>
      </c>
      <c r="D189" s="5">
        <v>1</v>
      </c>
      <c r="E189" s="7">
        <f>247*8*(A185/1974)</f>
        <v>244.24721377912866</v>
      </c>
      <c r="F189" s="35">
        <f>E189/A185</f>
        <v>1.0010131712259371</v>
      </c>
      <c r="G189" s="49">
        <f t="shared" si="32"/>
        <v>4.0983606557377051E-3</v>
      </c>
      <c r="H189" s="6">
        <f>2348*0.44</f>
        <v>1033.1200000000001</v>
      </c>
      <c r="I189" s="19">
        <f t="shared" si="31"/>
        <v>4.2340983606557385</v>
      </c>
    </row>
    <row r="190" spans="1:11">
      <c r="A190" s="64"/>
      <c r="B190" s="5" t="s">
        <v>101</v>
      </c>
      <c r="C190" s="44" t="s">
        <v>17</v>
      </c>
      <c r="D190" s="5">
        <v>1</v>
      </c>
      <c r="E190" s="7">
        <f>247*8*(A185/1974)</f>
        <v>244.24721377912866</v>
      </c>
      <c r="F190" s="35">
        <f>E190/A185</f>
        <v>1.0010131712259371</v>
      </c>
      <c r="G190" s="49">
        <f t="shared" si="32"/>
        <v>4.0983606557377051E-3</v>
      </c>
      <c r="H190" s="6">
        <f>120250*0.44</f>
        <v>52910</v>
      </c>
      <c r="I190" s="19">
        <f t="shared" si="31"/>
        <v>216.84426229508199</v>
      </c>
    </row>
    <row r="191" spans="1:11" s="1" customFormat="1" ht="15.75" thickBot="1">
      <c r="A191" s="36"/>
      <c r="B191" s="37"/>
      <c r="C191" s="37"/>
      <c r="D191" s="37"/>
      <c r="E191" s="37"/>
      <c r="F191" s="37"/>
      <c r="G191" s="75"/>
      <c r="H191" s="76"/>
      <c r="I191" s="77">
        <f>SUM(I184:I190)</f>
        <v>573.02065573770506</v>
      </c>
    </row>
    <row r="192" spans="1:11" s="1" customFormat="1" ht="15.75" thickBot="1">
      <c r="A192" s="69"/>
      <c r="B192" s="70"/>
      <c r="C192" s="70"/>
      <c r="D192" s="70"/>
      <c r="E192" s="70"/>
      <c r="F192" s="70"/>
      <c r="G192" s="67" t="s">
        <v>66</v>
      </c>
      <c r="H192" s="71"/>
      <c r="I192" s="72">
        <f>I184+I185</f>
        <v>300.16655737704923</v>
      </c>
      <c r="J192" s="1">
        <f>166456*0.44</f>
        <v>73240.639999999999</v>
      </c>
      <c r="K192" s="3">
        <f>I192*A185</f>
        <v>73240.640000000014</v>
      </c>
    </row>
    <row r="193" spans="1:11" s="1" customFormat="1" ht="15.75" thickBot="1">
      <c r="A193" s="88"/>
      <c r="B193" s="89"/>
      <c r="C193" s="89"/>
      <c r="D193" s="89"/>
      <c r="E193" s="89"/>
      <c r="F193" s="89"/>
      <c r="G193" s="90" t="s">
        <v>63</v>
      </c>
      <c r="H193" s="91"/>
      <c r="I193" s="92">
        <f>I191-I192</f>
        <v>272.85409836065583</v>
      </c>
      <c r="J193" s="3">
        <f>(2348+18937+7080+2695+120250)*0.44</f>
        <v>66576.399999999994</v>
      </c>
      <c r="K193" s="3">
        <f>I193*A185</f>
        <v>66576.400000000023</v>
      </c>
    </row>
    <row r="194" spans="1:11" ht="18" customHeight="1">
      <c r="A194" s="13" t="s">
        <v>81</v>
      </c>
      <c r="B194" s="14" t="s">
        <v>43</v>
      </c>
      <c r="C194" s="53" t="s">
        <v>17</v>
      </c>
      <c r="D194" s="14">
        <v>1</v>
      </c>
      <c r="E194" s="16">
        <f>247*8*(A195/1974)</f>
        <v>114.11550151975685</v>
      </c>
      <c r="F194" s="34">
        <f>E194/A195</f>
        <v>1.0010131712259374</v>
      </c>
      <c r="G194" s="50">
        <f>D194/E194*F194</f>
        <v>8.7719298245614048E-3</v>
      </c>
      <c r="H194" s="15">
        <f>30000*0.13</f>
        <v>3900</v>
      </c>
      <c r="I194" s="17">
        <f>H194*G194</f>
        <v>34.21052631578948</v>
      </c>
    </row>
    <row r="195" spans="1:11">
      <c r="A195" s="64">
        <v>114</v>
      </c>
      <c r="B195" s="5" t="s">
        <v>96</v>
      </c>
      <c r="C195" s="44" t="s">
        <v>17</v>
      </c>
      <c r="D195" s="5">
        <v>1</v>
      </c>
      <c r="E195" s="7">
        <f>247*8*(A195/1974)</f>
        <v>114.11550151975685</v>
      </c>
      <c r="F195" s="35">
        <f>E195/A195</f>
        <v>1.0010131712259374</v>
      </c>
      <c r="G195" s="49">
        <f>D195/E195*F195</f>
        <v>8.7719298245614048E-3</v>
      </c>
      <c r="H195" s="6">
        <f>(85000-30000)*0.13</f>
        <v>7150</v>
      </c>
      <c r="I195" s="19">
        <f t="shared" ref="I195:I196" si="33">H195*G195</f>
        <v>62.719298245614041</v>
      </c>
    </row>
    <row r="196" spans="1:11">
      <c r="A196" s="64"/>
      <c r="B196" s="5"/>
      <c r="C196" s="44"/>
      <c r="D196" s="5"/>
      <c r="E196" s="7"/>
      <c r="F196" s="35"/>
      <c r="G196" s="49"/>
      <c r="H196" s="6"/>
      <c r="I196" s="19">
        <f t="shared" si="33"/>
        <v>0</v>
      </c>
    </row>
    <row r="197" spans="1:11" s="1" customFormat="1" ht="15.75" thickBot="1">
      <c r="A197" s="36"/>
      <c r="B197" s="37"/>
      <c r="C197" s="37"/>
      <c r="D197" s="37"/>
      <c r="E197" s="37"/>
      <c r="F197" s="37"/>
      <c r="G197" s="75"/>
      <c r="H197" s="76"/>
      <c r="I197" s="77">
        <f>SUM(I194:I196)</f>
        <v>96.929824561403521</v>
      </c>
    </row>
    <row r="198" spans="1:11" s="1" customFormat="1" ht="15.75" thickBot="1">
      <c r="A198" s="69"/>
      <c r="B198" s="70"/>
      <c r="C198" s="70"/>
      <c r="D198" s="70"/>
      <c r="E198" s="70"/>
      <c r="F198" s="70"/>
      <c r="G198" s="67" t="s">
        <v>66</v>
      </c>
      <c r="H198" s="71"/>
      <c r="I198" s="72">
        <f>I194+I195</f>
        <v>96.929824561403521</v>
      </c>
      <c r="J198" s="1">
        <f>85000*0.13</f>
        <v>11050</v>
      </c>
      <c r="K198" s="3">
        <f>I198*A195</f>
        <v>11050.000000000002</v>
      </c>
    </row>
    <row r="199" spans="1:11" s="1" customFormat="1" ht="15.75" thickBot="1">
      <c r="A199" s="88"/>
      <c r="B199" s="89"/>
      <c r="C199" s="89"/>
      <c r="D199" s="89"/>
      <c r="E199" s="89"/>
      <c r="F199" s="89"/>
      <c r="G199" s="90" t="s">
        <v>63</v>
      </c>
      <c r="H199" s="91"/>
      <c r="I199" s="92">
        <f>I197-I198</f>
        <v>0</v>
      </c>
      <c r="J199" s="3">
        <v>0</v>
      </c>
      <c r="K199" s="3">
        <f>I199*A195</f>
        <v>0</v>
      </c>
    </row>
    <row r="200" spans="1:11" ht="18" customHeight="1">
      <c r="A200" s="13" t="s">
        <v>82</v>
      </c>
      <c r="B200" s="14" t="s">
        <v>43</v>
      </c>
      <c r="C200" s="53" t="s">
        <v>17</v>
      </c>
      <c r="D200" s="14">
        <v>1</v>
      </c>
      <c r="E200" s="16">
        <f>247*8*(A201/1974)</f>
        <v>33.033434650455924</v>
      </c>
      <c r="F200" s="34">
        <f>E200/A201</f>
        <v>1.0010131712259371</v>
      </c>
      <c r="G200" s="50">
        <f>D200/E200*F200</f>
        <v>3.0303030303030304E-2</v>
      </c>
      <c r="H200" s="15">
        <f>10000*0.14</f>
        <v>1400.0000000000002</v>
      </c>
      <c r="I200" s="17">
        <f>H200*G200</f>
        <v>42.424242424242429</v>
      </c>
    </row>
    <row r="201" spans="1:11">
      <c r="A201" s="64">
        <v>33</v>
      </c>
      <c r="B201" s="5" t="s">
        <v>96</v>
      </c>
      <c r="C201" s="44" t="s">
        <v>17</v>
      </c>
      <c r="D201" s="5">
        <v>1</v>
      </c>
      <c r="E201" s="7">
        <f>247*8*(A201/1974)</f>
        <v>33.033434650455924</v>
      </c>
      <c r="F201" s="35">
        <f>E201/A201</f>
        <v>1.0010131712259371</v>
      </c>
      <c r="G201" s="49">
        <f>D201/E201*F201</f>
        <v>3.0303030303030304E-2</v>
      </c>
      <c r="H201" s="6">
        <f>(24000-10000)*0.14</f>
        <v>1960.0000000000002</v>
      </c>
      <c r="I201" s="19">
        <f t="shared" ref="I201:I202" si="34">H201*G201</f>
        <v>59.393939393939405</v>
      </c>
    </row>
    <row r="202" spans="1:11">
      <c r="A202" s="64"/>
      <c r="B202" s="5"/>
      <c r="C202" s="44"/>
      <c r="D202" s="5"/>
      <c r="E202" s="7"/>
      <c r="F202" s="35"/>
      <c r="G202" s="49"/>
      <c r="H202" s="6"/>
      <c r="I202" s="19">
        <f t="shared" si="34"/>
        <v>0</v>
      </c>
    </row>
    <row r="203" spans="1:11" s="1" customFormat="1" ht="15.75" thickBot="1">
      <c r="A203" s="36"/>
      <c r="B203" s="37"/>
      <c r="C203" s="37"/>
      <c r="D203" s="37"/>
      <c r="E203" s="37"/>
      <c r="F203" s="37"/>
      <c r="G203" s="75"/>
      <c r="H203" s="76"/>
      <c r="I203" s="77">
        <f>SUM(I200:I202)</f>
        <v>101.81818181818184</v>
      </c>
    </row>
    <row r="204" spans="1:11" s="1" customFormat="1" ht="15.75" thickBot="1">
      <c r="A204" s="69"/>
      <c r="B204" s="70"/>
      <c r="C204" s="70"/>
      <c r="D204" s="70"/>
      <c r="E204" s="70"/>
      <c r="F204" s="70"/>
      <c r="G204" s="67" t="s">
        <v>66</v>
      </c>
      <c r="H204" s="71"/>
      <c r="I204" s="72">
        <f>I200+I201</f>
        <v>101.81818181818184</v>
      </c>
      <c r="J204" s="1">
        <f>24000*0.14</f>
        <v>3360.0000000000005</v>
      </c>
      <c r="K204" s="3">
        <f>I204*A201</f>
        <v>3360.0000000000009</v>
      </c>
    </row>
    <row r="205" spans="1:11" s="1" customFormat="1" ht="15.75" thickBot="1">
      <c r="A205" s="88"/>
      <c r="B205" s="89"/>
      <c r="C205" s="89"/>
      <c r="D205" s="89"/>
      <c r="E205" s="89"/>
      <c r="F205" s="89"/>
      <c r="G205" s="90" t="s">
        <v>63</v>
      </c>
      <c r="H205" s="91"/>
      <c r="I205" s="92">
        <f>I203-I204</f>
        <v>0</v>
      </c>
      <c r="J205" s="3">
        <v>0</v>
      </c>
      <c r="K205" s="3">
        <f>I205*A201</f>
        <v>0</v>
      </c>
    </row>
    <row r="206" spans="1:11" ht="18" customHeight="1">
      <c r="A206" s="13" t="s">
        <v>83</v>
      </c>
      <c r="B206" s="14" t="s">
        <v>43</v>
      </c>
      <c r="C206" s="53" t="s">
        <v>17</v>
      </c>
      <c r="D206" s="14">
        <v>1</v>
      </c>
      <c r="E206" s="16">
        <f>247*8*(A207/1974)</f>
        <v>0</v>
      </c>
      <c r="F206" s="34" t="e">
        <f>E206/A207</f>
        <v>#DIV/0!</v>
      </c>
      <c r="G206" s="50" t="e">
        <f>D206/E206*F206</f>
        <v>#DIV/0!</v>
      </c>
      <c r="H206" s="15">
        <f>10000*0.48</f>
        <v>4800</v>
      </c>
      <c r="I206" s="17" t="e">
        <f>H206*G206</f>
        <v>#DIV/0!</v>
      </c>
    </row>
    <row r="207" spans="1:11">
      <c r="A207" s="64"/>
      <c r="B207" s="5" t="s">
        <v>96</v>
      </c>
      <c r="C207" s="44" t="s">
        <v>17</v>
      </c>
      <c r="D207" s="5">
        <v>1</v>
      </c>
      <c r="E207" s="7">
        <f>247*8*(A207/1974)</f>
        <v>0</v>
      </c>
      <c r="F207" s="35" t="e">
        <f>E207/A207</f>
        <v>#DIV/0!</v>
      </c>
      <c r="G207" s="49" t="e">
        <f>D207/E207*F207</f>
        <v>#DIV/0!</v>
      </c>
      <c r="H207" s="6">
        <f>(25000-10000)*0.48</f>
        <v>7200</v>
      </c>
      <c r="I207" s="19" t="e">
        <f t="shared" ref="I207:I208" si="35">H207*G207</f>
        <v>#DIV/0!</v>
      </c>
    </row>
    <row r="208" spans="1:11">
      <c r="A208" s="64"/>
      <c r="B208" s="5"/>
      <c r="C208" s="44"/>
      <c r="D208" s="5"/>
      <c r="E208" s="7"/>
      <c r="F208" s="35"/>
      <c r="G208" s="49"/>
      <c r="H208" s="6"/>
      <c r="I208" s="19">
        <f t="shared" si="35"/>
        <v>0</v>
      </c>
    </row>
    <row r="209" spans="1:20" s="1" customFormat="1" ht="15.75" thickBot="1">
      <c r="A209" s="36"/>
      <c r="B209" s="37"/>
      <c r="C209" s="37"/>
      <c r="D209" s="37"/>
      <c r="E209" s="37"/>
      <c r="F209" s="37"/>
      <c r="G209" s="75"/>
      <c r="H209" s="76"/>
      <c r="I209" s="77" t="e">
        <f>SUM(I206:I208)</f>
        <v>#DIV/0!</v>
      </c>
    </row>
    <row r="210" spans="1:20" s="1" customFormat="1" ht="15.75" thickBot="1">
      <c r="A210" s="69"/>
      <c r="B210" s="70"/>
      <c r="C210" s="70"/>
      <c r="D210" s="70"/>
      <c r="E210" s="70"/>
      <c r="F210" s="70"/>
      <c r="G210" s="67" t="s">
        <v>66</v>
      </c>
      <c r="H210" s="71"/>
      <c r="I210" s="72" t="e">
        <f>I206+I207</f>
        <v>#DIV/0!</v>
      </c>
      <c r="J210" s="1">
        <v>0</v>
      </c>
      <c r="K210" s="3">
        <v>0</v>
      </c>
    </row>
    <row r="211" spans="1:20" s="1" customFormat="1" ht="15.75" thickBot="1">
      <c r="A211" s="88"/>
      <c r="B211" s="89"/>
      <c r="C211" s="89"/>
      <c r="D211" s="89"/>
      <c r="E211" s="89"/>
      <c r="F211" s="89"/>
      <c r="G211" s="90" t="s">
        <v>63</v>
      </c>
      <c r="H211" s="91"/>
      <c r="I211" s="92" t="e">
        <f>I209-I210</f>
        <v>#DIV/0!</v>
      </c>
      <c r="J211" s="3">
        <v>0</v>
      </c>
      <c r="K211" s="3">
        <v>0</v>
      </c>
    </row>
    <row r="212" spans="1:20" s="1" customFormat="1">
      <c r="A212" s="54"/>
      <c r="B212" s="55"/>
      <c r="C212" s="55"/>
      <c r="D212" s="55"/>
      <c r="E212" s="55"/>
      <c r="F212" s="55"/>
      <c r="G212" s="57"/>
      <c r="H212" s="58"/>
      <c r="I212" s="58"/>
    </row>
    <row r="213" spans="1:20" s="1" customFormat="1">
      <c r="A213" s="54"/>
      <c r="B213" s="55"/>
      <c r="C213" s="55"/>
      <c r="D213" s="55"/>
      <c r="E213" s="55"/>
      <c r="F213" s="55"/>
      <c r="G213" s="57"/>
      <c r="H213" s="58"/>
      <c r="I213" s="58"/>
    </row>
    <row r="214" spans="1:20" ht="18.75">
      <c r="A214" s="73" t="s">
        <v>84</v>
      </c>
      <c r="H214"/>
      <c r="S214" s="1"/>
      <c r="T214" s="1"/>
    </row>
    <row r="215" spans="1:20" ht="19.5" thickBot="1">
      <c r="A215" s="73"/>
      <c r="H215" t="s">
        <v>66</v>
      </c>
      <c r="S215" s="1"/>
      <c r="T215" s="1"/>
    </row>
    <row r="216" spans="1:20" ht="60">
      <c r="A216" s="27" t="s">
        <v>2</v>
      </c>
      <c r="B216" s="28" t="s">
        <v>15</v>
      </c>
      <c r="C216" s="28" t="s">
        <v>14</v>
      </c>
      <c r="D216" s="28" t="s">
        <v>16</v>
      </c>
      <c r="E216" s="79" t="s">
        <v>27</v>
      </c>
      <c r="F216" s="28" t="s">
        <v>28</v>
      </c>
      <c r="G216" s="28" t="s">
        <v>29</v>
      </c>
      <c r="H216" s="28" t="s">
        <v>30</v>
      </c>
      <c r="I216" s="28" t="s">
        <v>46</v>
      </c>
      <c r="J216" s="28" t="s">
        <v>11</v>
      </c>
      <c r="K216" s="2" t="s">
        <v>34</v>
      </c>
      <c r="L216" s="2" t="s">
        <v>33</v>
      </c>
    </row>
    <row r="217" spans="1:20" ht="15.75" thickBot="1">
      <c r="A217" s="47">
        <v>1</v>
      </c>
      <c r="B217" s="10">
        <v>2</v>
      </c>
      <c r="C217" s="10">
        <v>3</v>
      </c>
      <c r="D217" s="10">
        <v>4</v>
      </c>
      <c r="E217" s="10">
        <v>5</v>
      </c>
      <c r="F217" s="10">
        <v>6</v>
      </c>
      <c r="G217" s="10" t="s">
        <v>31</v>
      </c>
      <c r="H217" s="9">
        <v>8</v>
      </c>
      <c r="I217" s="48">
        <v>9</v>
      </c>
      <c r="J217" s="48" t="s">
        <v>47</v>
      </c>
    </row>
    <row r="218" spans="1:20" ht="17.25" customHeight="1">
      <c r="A218" s="13" t="s">
        <v>71</v>
      </c>
      <c r="B218" s="14" t="s">
        <v>44</v>
      </c>
      <c r="C218" s="53" t="s">
        <v>45</v>
      </c>
      <c r="D218" s="14">
        <v>2</v>
      </c>
      <c r="E218" s="16">
        <f>247*8*(182/1974)</f>
        <v>182.18439716312056</v>
      </c>
      <c r="F218" s="34">
        <f>E218/182</f>
        <v>1.0010131712259371</v>
      </c>
      <c r="G218" s="50">
        <f>D218/E218*F218</f>
        <v>1.0989010989010988E-2</v>
      </c>
      <c r="H218" s="15">
        <v>481.08014700000001</v>
      </c>
      <c r="I218" s="16">
        <v>12</v>
      </c>
      <c r="J218" s="93">
        <f>I218*H218*G218</f>
        <v>63.439140263736256</v>
      </c>
      <c r="K218" s="3">
        <f>(33759.85+22104.96-27000)*0.4</f>
        <v>11545.923999999999</v>
      </c>
      <c r="L218" s="3">
        <f>J218*182</f>
        <v>11545.923527999999</v>
      </c>
      <c r="M218" s="85">
        <f>K218-L218</f>
        <v>4.7199999971780926E-4</v>
      </c>
    </row>
    <row r="219" spans="1:20" s="1" customFormat="1" ht="17.25" customHeight="1">
      <c r="A219" s="18" t="s">
        <v>76</v>
      </c>
      <c r="B219" s="5" t="s">
        <v>44</v>
      </c>
      <c r="C219" s="44" t="s">
        <v>45</v>
      </c>
      <c r="D219" s="5">
        <v>2</v>
      </c>
      <c r="E219" s="7">
        <f>247*8*(294/1974)</f>
        <v>294.2978723404255</v>
      </c>
      <c r="F219" s="35">
        <f>E219/294</f>
        <v>1.0010131712259371</v>
      </c>
      <c r="G219" s="49">
        <f>D219/E219*F219</f>
        <v>6.8027210884353748E-3</v>
      </c>
      <c r="H219" s="6">
        <v>3.4820815000000001</v>
      </c>
      <c r="I219" s="7">
        <v>12</v>
      </c>
      <c r="J219" s="87">
        <f t="shared" ref="J219" si="36">I219*H219</f>
        <v>41.784978000000002</v>
      </c>
      <c r="K219" s="3">
        <f>(12000+10749.6)*0.54</f>
        <v>12284.784</v>
      </c>
      <c r="L219" s="3">
        <f>J219*294</f>
        <v>12284.783532000001</v>
      </c>
      <c r="M219" s="85">
        <f t="shared" ref="M219:M226" si="37">K219-L219</f>
        <v>4.6799999836366624E-4</v>
      </c>
    </row>
    <row r="220" spans="1:20" s="1" customFormat="1" ht="17.25" customHeight="1">
      <c r="A220" s="18" t="s">
        <v>77</v>
      </c>
      <c r="B220" s="5" t="s">
        <v>44</v>
      </c>
      <c r="C220" s="44" t="s">
        <v>45</v>
      </c>
      <c r="D220" s="5">
        <v>1</v>
      </c>
      <c r="E220" s="7">
        <f>247*8*(163/1974)</f>
        <v>163.16514690982777</v>
      </c>
      <c r="F220" s="35">
        <f>E220/163</f>
        <v>1.0010131712259371</v>
      </c>
      <c r="G220" s="49">
        <f t="shared" ref="G220:G223" si="38">D220/E220*F220</f>
        <v>6.1349693251533735E-3</v>
      </c>
      <c r="H220" s="6">
        <v>5.02454</v>
      </c>
      <c r="I220" s="7">
        <v>12</v>
      </c>
      <c r="J220" s="87">
        <f t="shared" ref="J220" si="39">I220*H220</f>
        <v>60.29448</v>
      </c>
      <c r="K220" s="3">
        <f>(13400+10000)*0.42</f>
        <v>9828</v>
      </c>
      <c r="L220" s="3">
        <f>J220*163</f>
        <v>9828.0002399999994</v>
      </c>
      <c r="M220" s="85">
        <f t="shared" si="37"/>
        <v>-2.3999999939405825E-4</v>
      </c>
    </row>
    <row r="221" spans="1:20" s="1" customFormat="1" ht="17.25" customHeight="1">
      <c r="A221" s="18" t="s">
        <v>78</v>
      </c>
      <c r="B221" s="5" t="s">
        <v>44</v>
      </c>
      <c r="C221" s="44" t="s">
        <v>45</v>
      </c>
      <c r="D221" s="5">
        <v>1</v>
      </c>
      <c r="E221" s="7">
        <f>247*8*(335/1974)</f>
        <v>335.33941236068893</v>
      </c>
      <c r="F221" s="35">
        <f>E221/335</f>
        <v>1.0010131712259371</v>
      </c>
      <c r="G221" s="49">
        <f t="shared" si="38"/>
        <v>2.9850746268656717E-3</v>
      </c>
      <c r="H221" s="6">
        <v>4.0409949999999997</v>
      </c>
      <c r="I221" s="7">
        <v>12</v>
      </c>
      <c r="J221" s="87">
        <f t="shared" ref="J221:J222" si="40">I221*H221</f>
        <v>48.49194</v>
      </c>
      <c r="K221" s="3">
        <f>(13360+23560)*0.44</f>
        <v>16244.8</v>
      </c>
      <c r="L221" s="3">
        <f>J221*335</f>
        <v>16244.7999</v>
      </c>
      <c r="M221" s="85">
        <f t="shared" si="37"/>
        <v>9.999999929277692E-5</v>
      </c>
    </row>
    <row r="222" spans="1:20" s="1" customFormat="1" ht="17.25" customHeight="1">
      <c r="A222" s="18" t="s">
        <v>79</v>
      </c>
      <c r="B222" s="5" t="s">
        <v>44</v>
      </c>
      <c r="C222" s="44" t="s">
        <v>45</v>
      </c>
      <c r="D222" s="5">
        <v>1</v>
      </c>
      <c r="E222" s="7">
        <f>247*8*(390/1974)</f>
        <v>390.3951367781155</v>
      </c>
      <c r="F222" s="35">
        <f>E222/390</f>
        <v>1.0010131712259371</v>
      </c>
      <c r="G222" s="49">
        <f t="shared" si="38"/>
        <v>2.5641025641025641E-3</v>
      </c>
      <c r="H222" s="6">
        <v>2.8262871999999999</v>
      </c>
      <c r="I222" s="7">
        <v>12</v>
      </c>
      <c r="J222" s="87">
        <f t="shared" si="40"/>
        <v>33.9154464</v>
      </c>
      <c r="K222" s="3">
        <f>(18500+10254.4)*0.46</f>
        <v>13227.024000000001</v>
      </c>
      <c r="L222" s="3">
        <f>J222*390</f>
        <v>13227.024096000001</v>
      </c>
      <c r="M222" s="85">
        <f t="shared" si="37"/>
        <v>-9.59999997576233E-5</v>
      </c>
    </row>
    <row r="223" spans="1:20" s="1" customFormat="1" ht="17.25" customHeight="1">
      <c r="A223" s="18" t="s">
        <v>80</v>
      </c>
      <c r="B223" s="5" t="s">
        <v>44</v>
      </c>
      <c r="C223" s="44" t="s">
        <v>45</v>
      </c>
      <c r="D223" s="5">
        <v>2</v>
      </c>
      <c r="E223" s="7">
        <f>247*8*(265/1974)</f>
        <v>265.26849037487335</v>
      </c>
      <c r="F223" s="35">
        <f>E223/265</f>
        <v>1.0010131712259371</v>
      </c>
      <c r="G223" s="49">
        <f t="shared" si="38"/>
        <v>7.5471698113207548E-3</v>
      </c>
      <c r="H223" s="6">
        <v>4.5947170000000002</v>
      </c>
      <c r="I223" s="7">
        <v>12</v>
      </c>
      <c r="J223" s="87">
        <f t="shared" ref="J223" si="41">I223*H223</f>
        <v>55.136604000000005</v>
      </c>
      <c r="K223" s="3">
        <f>(12000+18440)*0.48</f>
        <v>14611.199999999999</v>
      </c>
      <c r="L223" s="3">
        <f>J223*265</f>
        <v>14611.200060000001</v>
      </c>
      <c r="M223" s="85">
        <f t="shared" si="37"/>
        <v>-6.0000002122251317E-5</v>
      </c>
    </row>
    <row r="224" spans="1:20" s="1" customFormat="1" ht="17.25" customHeight="1">
      <c r="A224" s="18" t="s">
        <v>81</v>
      </c>
      <c r="B224" s="5" t="s">
        <v>44</v>
      </c>
      <c r="C224" s="44" t="s">
        <v>45</v>
      </c>
      <c r="D224" s="5">
        <v>2</v>
      </c>
      <c r="E224" s="7">
        <f>247*8*(354/1974)</f>
        <v>354.35866261398178</v>
      </c>
      <c r="F224" s="35">
        <f>E224/354</f>
        <v>1.0010131712259371</v>
      </c>
      <c r="G224" s="49">
        <f t="shared" ref="G224" si="42">D224/E224*F224</f>
        <v>5.6497175141242938E-3</v>
      </c>
      <c r="H224" s="6">
        <v>3.5813465799999999</v>
      </c>
      <c r="I224" s="7">
        <v>12</v>
      </c>
      <c r="J224" s="87">
        <f t="shared" ref="J224" si="43">I224*H224</f>
        <v>42.976158959999999</v>
      </c>
      <c r="K224" s="3">
        <f>(16000+23009.13)*0.39</f>
        <v>15213.560700000002</v>
      </c>
      <c r="L224" s="3">
        <f>J224*354</f>
        <v>15213.56027184</v>
      </c>
      <c r="M224" s="85">
        <f t="shared" si="37"/>
        <v>4.2816000132006593E-4</v>
      </c>
    </row>
    <row r="225" spans="1:20" s="1" customFormat="1" ht="17.25" customHeight="1">
      <c r="A225" s="18" t="s">
        <v>82</v>
      </c>
      <c r="B225" s="5" t="s">
        <v>44</v>
      </c>
      <c r="C225" s="44" t="s">
        <v>45</v>
      </c>
      <c r="D225" s="5">
        <v>2</v>
      </c>
      <c r="E225" s="7">
        <f>247*8*(93/1974)</f>
        <v>93.094224924012153</v>
      </c>
      <c r="F225" s="35">
        <f>E225/93</f>
        <v>1.0010131712259371</v>
      </c>
      <c r="G225" s="49">
        <f t="shared" ref="G225:G226" si="44">D225/E225*F225</f>
        <v>2.1505376344086023E-2</v>
      </c>
      <c r="H225" s="6">
        <v>6.7598567999999997</v>
      </c>
      <c r="I225" s="7">
        <v>12</v>
      </c>
      <c r="J225" s="87">
        <f t="shared" ref="J225:J226" si="45">I225*H225</f>
        <v>81.118281599999989</v>
      </c>
      <c r="K225" s="3">
        <f>(18400*0.41)</f>
        <v>7544</v>
      </c>
      <c r="L225" s="3">
        <f>J225*93</f>
        <v>7544.0001887999988</v>
      </c>
      <c r="M225" s="85">
        <f t="shared" si="37"/>
        <v>-1.8879999879573006E-4</v>
      </c>
    </row>
    <row r="226" spans="1:20" s="1" customFormat="1" ht="17.25" customHeight="1" thickBot="1">
      <c r="A226" s="20" t="s">
        <v>83</v>
      </c>
      <c r="B226" s="21" t="s">
        <v>44</v>
      </c>
      <c r="C226" s="94" t="s">
        <v>45</v>
      </c>
      <c r="D226" s="21">
        <v>2</v>
      </c>
      <c r="E226" s="23">
        <f>247*8*(106/1974)</f>
        <v>106.10739614994934</v>
      </c>
      <c r="F226" s="95">
        <f>E226/106</f>
        <v>1.0010131712259371</v>
      </c>
      <c r="G226" s="96">
        <f t="shared" si="44"/>
        <v>1.8867924528301886E-2</v>
      </c>
      <c r="H226" s="22">
        <v>8.2578619999999994</v>
      </c>
      <c r="I226" s="23">
        <v>12</v>
      </c>
      <c r="J226" s="24">
        <f t="shared" si="45"/>
        <v>99.094343999999992</v>
      </c>
      <c r="K226" s="3">
        <f>(10600+9600)*0.52</f>
        <v>10504</v>
      </c>
      <c r="L226" s="3">
        <f>J226*106</f>
        <v>10504.000463999999</v>
      </c>
      <c r="M226" s="85">
        <f t="shared" si="37"/>
        <v>-4.6399999882851262E-4</v>
      </c>
    </row>
    <row r="228" spans="1:20" ht="18.75">
      <c r="A228" s="73" t="s">
        <v>85</v>
      </c>
      <c r="H228"/>
      <c r="S228" s="1"/>
      <c r="T228" s="1"/>
    </row>
    <row r="229" spans="1:20" ht="19.5" thickBot="1">
      <c r="A229" s="73"/>
      <c r="H229" t="s">
        <v>66</v>
      </c>
      <c r="S229" s="1"/>
      <c r="T229" s="1"/>
    </row>
    <row r="230" spans="1:20" ht="60">
      <c r="A230" s="27" t="s">
        <v>2</v>
      </c>
      <c r="B230" s="28" t="s">
        <v>15</v>
      </c>
      <c r="C230" s="28" t="s">
        <v>14</v>
      </c>
      <c r="D230" s="28" t="s">
        <v>16</v>
      </c>
      <c r="E230" s="79" t="s">
        <v>27</v>
      </c>
      <c r="F230" s="28" t="s">
        <v>28</v>
      </c>
      <c r="G230" s="28" t="s">
        <v>29</v>
      </c>
      <c r="H230" s="28" t="s">
        <v>30</v>
      </c>
      <c r="I230" s="28" t="s">
        <v>46</v>
      </c>
      <c r="J230" s="28" t="s">
        <v>11</v>
      </c>
      <c r="K230" s="2" t="s">
        <v>34</v>
      </c>
      <c r="L230" s="2" t="s">
        <v>33</v>
      </c>
    </row>
    <row r="231" spans="1:20" ht="15.75" thickBot="1">
      <c r="A231" s="47">
        <v>1</v>
      </c>
      <c r="B231" s="10">
        <v>2</v>
      </c>
      <c r="C231" s="10">
        <v>3</v>
      </c>
      <c r="D231" s="10">
        <v>4</v>
      </c>
      <c r="E231" s="10">
        <v>5</v>
      </c>
      <c r="F231" s="10">
        <v>6</v>
      </c>
      <c r="G231" s="10" t="s">
        <v>31</v>
      </c>
      <c r="H231" s="9">
        <v>8</v>
      </c>
      <c r="I231" s="48">
        <v>9</v>
      </c>
      <c r="J231" s="48" t="s">
        <v>47</v>
      </c>
    </row>
    <row r="232" spans="1:20" ht="17.25" customHeight="1">
      <c r="A232" s="13" t="s">
        <v>71</v>
      </c>
      <c r="B232" s="14" t="s">
        <v>44</v>
      </c>
      <c r="C232" s="53" t="s">
        <v>45</v>
      </c>
      <c r="D232" s="14">
        <v>2</v>
      </c>
      <c r="E232" s="16">
        <f>247*8*(211/1974)</f>
        <v>211.21377912867277</v>
      </c>
      <c r="F232" s="34">
        <f>E232/211</f>
        <v>1.0010131712259374</v>
      </c>
      <c r="G232" s="50">
        <f>D232/E232*F232</f>
        <v>9.4786729857819912E-3</v>
      </c>
      <c r="H232" s="15">
        <v>553.24217599999997</v>
      </c>
      <c r="I232" s="16">
        <v>12</v>
      </c>
      <c r="J232" s="93">
        <f>I232*H232*G232</f>
        <v>62.928020018957348</v>
      </c>
      <c r="K232" s="3">
        <f>(33759.85+22104.96-27000)*0.46</f>
        <v>13277.812599999999</v>
      </c>
      <c r="L232" s="3">
        <f>J232*211</f>
        <v>13277.812224000001</v>
      </c>
      <c r="M232" s="85">
        <f>K232-L232</f>
        <v>3.7599999814119656E-4</v>
      </c>
    </row>
    <row r="233" spans="1:20" s="1" customFormat="1" ht="17.25" customHeight="1">
      <c r="A233" s="18" t="s">
        <v>76</v>
      </c>
      <c r="B233" s="5" t="s">
        <v>44</v>
      </c>
      <c r="C233" s="44" t="s">
        <v>45</v>
      </c>
      <c r="D233" s="5">
        <v>2</v>
      </c>
      <c r="E233" s="7">
        <f>247*8*(219/1974)</f>
        <v>219.22188449848025</v>
      </c>
      <c r="F233" s="35">
        <f>E233/219</f>
        <v>1.0010131712259371</v>
      </c>
      <c r="G233" s="49">
        <f>D233/E233*F233</f>
        <v>9.1324200913242004E-3</v>
      </c>
      <c r="H233" s="6">
        <v>3.4626484999999998</v>
      </c>
      <c r="I233" s="7">
        <v>12</v>
      </c>
      <c r="J233" s="87">
        <f t="shared" ref="J233:J240" si="46">I233*H233</f>
        <v>41.551781999999996</v>
      </c>
      <c r="K233" s="3">
        <f>(12000+10749.6)*0.4</f>
        <v>9099.84</v>
      </c>
      <c r="L233" s="3">
        <f>J233*219</f>
        <v>9099.8402579999984</v>
      </c>
      <c r="M233" s="85">
        <f t="shared" ref="M233:M240" si="47">K233-L233</f>
        <v>-2.5799999821174424E-4</v>
      </c>
    </row>
    <row r="234" spans="1:20" s="1" customFormat="1" ht="17.25" customHeight="1">
      <c r="A234" s="18" t="s">
        <v>77</v>
      </c>
      <c r="B234" s="5" t="s">
        <v>44</v>
      </c>
      <c r="C234" s="44" t="s">
        <v>45</v>
      </c>
      <c r="D234" s="5">
        <v>1</v>
      </c>
      <c r="E234" s="7">
        <f>247*8*(188/1974)</f>
        <v>188.19047619047618</v>
      </c>
      <c r="F234" s="35">
        <f>E234/188</f>
        <v>1.0010131712259371</v>
      </c>
      <c r="G234" s="49">
        <f t="shared" ref="G234:G240" si="48">D234/E234*F234</f>
        <v>5.3191489361702135E-3</v>
      </c>
      <c r="H234" s="6">
        <v>5.0824470000000002</v>
      </c>
      <c r="I234" s="7">
        <v>12</v>
      </c>
      <c r="J234" s="87">
        <f t="shared" si="46"/>
        <v>60.989364000000002</v>
      </c>
      <c r="K234" s="3">
        <f>(13400+10000)*0.49</f>
        <v>11466</v>
      </c>
      <c r="L234" s="3">
        <f>J234*188</f>
        <v>11466.000432000001</v>
      </c>
      <c r="M234" s="85">
        <f t="shared" si="47"/>
        <v>-4.3200000072829425E-4</v>
      </c>
    </row>
    <row r="235" spans="1:20" s="1" customFormat="1" ht="17.25" customHeight="1">
      <c r="A235" s="18" t="s">
        <v>78</v>
      </c>
      <c r="B235" s="5" t="s">
        <v>44</v>
      </c>
      <c r="C235" s="44" t="s">
        <v>45</v>
      </c>
      <c r="D235" s="5">
        <v>1</v>
      </c>
      <c r="E235" s="7">
        <f>247*8*(370/1974)</f>
        <v>370.37487335359674</v>
      </c>
      <c r="F235" s="35">
        <f>E235/370</f>
        <v>1.0010131712259371</v>
      </c>
      <c r="G235" s="49">
        <f t="shared" si="48"/>
        <v>2.7027027027027029E-3</v>
      </c>
      <c r="H235" s="6">
        <v>3.9913514000000001</v>
      </c>
      <c r="I235" s="7">
        <v>12</v>
      </c>
      <c r="J235" s="87">
        <f t="shared" si="46"/>
        <v>47.896216800000005</v>
      </c>
      <c r="K235" s="3">
        <f>(13360+23560)*0.48</f>
        <v>17721.599999999999</v>
      </c>
      <c r="L235" s="3">
        <f>J235*370</f>
        <v>17721.600216000003</v>
      </c>
      <c r="M235" s="85">
        <f t="shared" si="47"/>
        <v>-2.1600000400212593E-4</v>
      </c>
    </row>
    <row r="236" spans="1:20" s="1" customFormat="1" ht="17.25" customHeight="1">
      <c r="A236" s="18" t="s">
        <v>79</v>
      </c>
      <c r="B236" s="5" t="s">
        <v>44</v>
      </c>
      <c r="C236" s="44" t="s">
        <v>45</v>
      </c>
      <c r="D236" s="5">
        <v>1</v>
      </c>
      <c r="E236" s="7">
        <f>247*8*(370/1974)</f>
        <v>370.37487335359674</v>
      </c>
      <c r="F236" s="35">
        <f>E236/370</f>
        <v>1.0010131712259371</v>
      </c>
      <c r="G236" s="49">
        <f t="shared" si="48"/>
        <v>2.7027027027027029E-3</v>
      </c>
      <c r="H236" s="6">
        <v>2.7847729999999999</v>
      </c>
      <c r="I236" s="7">
        <v>12</v>
      </c>
      <c r="J236" s="87">
        <f t="shared" si="46"/>
        <v>33.417276000000001</v>
      </c>
      <c r="K236" s="3">
        <f>(18500+10254.4)*0.43</f>
        <v>12364.392</v>
      </c>
      <c r="L236" s="3">
        <f>J236*370</f>
        <v>12364.39212</v>
      </c>
      <c r="M236" s="85">
        <f t="shared" si="47"/>
        <v>-1.2000000060652383E-4</v>
      </c>
    </row>
    <row r="237" spans="1:20" s="1" customFormat="1" ht="17.25" customHeight="1">
      <c r="A237" s="18" t="s">
        <v>80</v>
      </c>
      <c r="B237" s="5" t="s">
        <v>44</v>
      </c>
      <c r="C237" s="44" t="s">
        <v>45</v>
      </c>
      <c r="D237" s="5">
        <v>2</v>
      </c>
      <c r="E237" s="7">
        <f>247*8*(244/1974)</f>
        <v>244.24721377912866</v>
      </c>
      <c r="F237" s="35">
        <f>E237/244</f>
        <v>1.0010131712259371</v>
      </c>
      <c r="G237" s="49">
        <f t="shared" si="48"/>
        <v>8.1967213114754103E-3</v>
      </c>
      <c r="H237" s="6">
        <v>4.5743169999999997</v>
      </c>
      <c r="I237" s="7">
        <v>12</v>
      </c>
      <c r="J237" s="87">
        <f t="shared" si="46"/>
        <v>54.891803999999993</v>
      </c>
      <c r="K237" s="3">
        <f>(12000+18440)*0.44</f>
        <v>13393.6</v>
      </c>
      <c r="L237" s="3">
        <f>J237*244</f>
        <v>13393.600175999998</v>
      </c>
      <c r="M237" s="85">
        <f t="shared" si="47"/>
        <v>-1.7599999773665331E-4</v>
      </c>
    </row>
    <row r="238" spans="1:20" s="1" customFormat="1" ht="17.25" customHeight="1">
      <c r="A238" s="18" t="s">
        <v>81</v>
      </c>
      <c r="B238" s="5" t="s">
        <v>44</v>
      </c>
      <c r="C238" s="44" t="s">
        <v>45</v>
      </c>
      <c r="D238" s="5">
        <v>2</v>
      </c>
      <c r="E238" s="7">
        <f>247*8*(433/1974)</f>
        <v>433.4387031408308</v>
      </c>
      <c r="F238" s="35">
        <f>E238/433</f>
        <v>1.0010131712259371</v>
      </c>
      <c r="G238" s="49">
        <f t="shared" si="48"/>
        <v>4.6189376443418013E-3</v>
      </c>
      <c r="H238" s="6">
        <v>3.6036147000000001</v>
      </c>
      <c r="I238" s="7">
        <v>12</v>
      </c>
      <c r="J238" s="87">
        <f t="shared" si="46"/>
        <v>43.243376400000002</v>
      </c>
      <c r="K238" s="3">
        <f>(16000+23009.13)*0.48</f>
        <v>18724.382400000002</v>
      </c>
      <c r="L238" s="3">
        <f>J238*433</f>
        <v>18724.3819812</v>
      </c>
      <c r="M238" s="85">
        <f t="shared" si="47"/>
        <v>4.1880000208038837E-4</v>
      </c>
    </row>
    <row r="239" spans="1:20" s="1" customFormat="1" ht="17.25" customHeight="1">
      <c r="A239" s="18" t="s">
        <v>82</v>
      </c>
      <c r="B239" s="5" t="s">
        <v>44</v>
      </c>
      <c r="C239" s="44" t="s">
        <v>45</v>
      </c>
      <c r="D239" s="5">
        <v>2</v>
      </c>
      <c r="E239" s="7">
        <f>247*8*(103/1974)</f>
        <v>103.10435663627153</v>
      </c>
      <c r="F239" s="35">
        <f>E239/103</f>
        <v>1.0010131712259371</v>
      </c>
      <c r="G239" s="49">
        <f t="shared" si="48"/>
        <v>1.9417475728155342E-2</v>
      </c>
      <c r="H239" s="6">
        <v>6.6990289000000001</v>
      </c>
      <c r="I239" s="7">
        <v>12</v>
      </c>
      <c r="J239" s="87">
        <f t="shared" si="46"/>
        <v>80.388346799999994</v>
      </c>
      <c r="K239" s="3">
        <f>(18400*0.45)</f>
        <v>8280</v>
      </c>
      <c r="L239" s="3">
        <f>J239*103</f>
        <v>8279.9997203999992</v>
      </c>
      <c r="M239" s="85">
        <f t="shared" si="47"/>
        <v>2.7960000079474412E-4</v>
      </c>
    </row>
    <row r="240" spans="1:20" s="1" customFormat="1" ht="17.25" customHeight="1" thickBot="1">
      <c r="A240" s="20" t="s">
        <v>83</v>
      </c>
      <c r="B240" s="21" t="s">
        <v>44</v>
      </c>
      <c r="C240" s="94" t="s">
        <v>45</v>
      </c>
      <c r="D240" s="21">
        <v>2</v>
      </c>
      <c r="E240" s="23">
        <f>247*8*(115/1974)</f>
        <v>115.11651469098277</v>
      </c>
      <c r="F240" s="95">
        <f>E240/115</f>
        <v>1.0010131712259371</v>
      </c>
      <c r="G240" s="96">
        <f t="shared" si="48"/>
        <v>1.7391304347826087E-2</v>
      </c>
      <c r="H240" s="22">
        <v>7.0260870000000004</v>
      </c>
      <c r="I240" s="23">
        <v>12</v>
      </c>
      <c r="J240" s="24">
        <f t="shared" si="46"/>
        <v>84.313044000000005</v>
      </c>
      <c r="K240" s="3">
        <f>(10600+9600)*0.48</f>
        <v>9696</v>
      </c>
      <c r="L240" s="3">
        <f>J240*115</f>
        <v>9696.0000600000003</v>
      </c>
      <c r="M240" s="85">
        <f t="shared" si="47"/>
        <v>-6.0000000303261913E-5</v>
      </c>
    </row>
    <row r="242" spans="1:20" ht="18.75">
      <c r="A242" s="73" t="s">
        <v>86</v>
      </c>
      <c r="H242"/>
      <c r="S242" s="1"/>
      <c r="T242" s="1"/>
    </row>
    <row r="243" spans="1:20" ht="19.5" thickBot="1">
      <c r="A243" s="73"/>
      <c r="H243" t="s">
        <v>66</v>
      </c>
      <c r="S243" s="1"/>
      <c r="T243" s="1"/>
    </row>
    <row r="244" spans="1:20" ht="60">
      <c r="A244" s="27" t="s">
        <v>2</v>
      </c>
      <c r="B244" s="28" t="s">
        <v>15</v>
      </c>
      <c r="C244" s="28" t="s">
        <v>14</v>
      </c>
      <c r="D244" s="28" t="s">
        <v>16</v>
      </c>
      <c r="E244" s="79" t="s">
        <v>27</v>
      </c>
      <c r="F244" s="28" t="s">
        <v>28</v>
      </c>
      <c r="G244" s="28" t="s">
        <v>29</v>
      </c>
      <c r="H244" s="28" t="s">
        <v>30</v>
      </c>
      <c r="I244" s="28" t="s">
        <v>46</v>
      </c>
      <c r="J244" s="28" t="s">
        <v>11</v>
      </c>
      <c r="K244" s="2" t="s">
        <v>34</v>
      </c>
      <c r="L244" s="2" t="s">
        <v>33</v>
      </c>
    </row>
    <row r="245" spans="1:20" ht="15.75" thickBot="1">
      <c r="A245" s="47">
        <v>1</v>
      </c>
      <c r="B245" s="10">
        <v>2</v>
      </c>
      <c r="C245" s="10">
        <v>3</v>
      </c>
      <c r="D245" s="10">
        <v>4</v>
      </c>
      <c r="E245" s="10">
        <v>5</v>
      </c>
      <c r="F245" s="10">
        <v>6</v>
      </c>
      <c r="G245" s="10" t="s">
        <v>31</v>
      </c>
      <c r="H245" s="9">
        <v>8</v>
      </c>
      <c r="I245" s="48">
        <v>9</v>
      </c>
      <c r="J245" s="48" t="s">
        <v>47</v>
      </c>
    </row>
    <row r="246" spans="1:20" ht="17.25" customHeight="1">
      <c r="A246" s="13" t="s">
        <v>71</v>
      </c>
      <c r="B246" s="14" t="s">
        <v>44</v>
      </c>
      <c r="C246" s="53" t="s">
        <v>45</v>
      </c>
      <c r="D246" s="14">
        <v>2</v>
      </c>
      <c r="E246" s="16">
        <f>247*8*(61/1974)</f>
        <v>61.061803444782164</v>
      </c>
      <c r="F246" s="34">
        <f>E246/61</f>
        <v>1.0010131712259371</v>
      </c>
      <c r="G246" s="50">
        <f>D246/E246*F246</f>
        <v>3.2786885245901641E-2</v>
      </c>
      <c r="H246" s="15">
        <v>168.37804</v>
      </c>
      <c r="I246" s="16">
        <v>12</v>
      </c>
      <c r="J246" s="93">
        <f>I246*H246*G246</f>
        <v>66.247097704918033</v>
      </c>
      <c r="K246" s="3">
        <f>(33759.85+22104.96-27000)*0.14</f>
        <v>4041.0734000000002</v>
      </c>
      <c r="L246" s="3">
        <f>J246*61</f>
        <v>4041.07296</v>
      </c>
      <c r="M246" s="85">
        <f>K246-L246</f>
        <v>4.4000000025334884E-4</v>
      </c>
    </row>
    <row r="247" spans="1:20" s="1" customFormat="1" ht="17.25" customHeight="1">
      <c r="A247" s="18" t="s">
        <v>76</v>
      </c>
      <c r="B247" s="5" t="s">
        <v>44</v>
      </c>
      <c r="C247" s="44" t="s">
        <v>45</v>
      </c>
      <c r="D247" s="5">
        <v>2</v>
      </c>
      <c r="E247" s="7">
        <f>247*8*(34/1974)</f>
        <v>34.034447821681866</v>
      </c>
      <c r="F247" s="35">
        <f>E247/34</f>
        <v>1.0010131712259371</v>
      </c>
      <c r="G247" s="49">
        <f>D247/E247*F247</f>
        <v>5.8823529411764705E-2</v>
      </c>
      <c r="H247" s="6">
        <v>3.3455300000000001</v>
      </c>
      <c r="I247" s="7">
        <v>12</v>
      </c>
      <c r="J247" s="87">
        <f t="shared" ref="J247:J254" si="49">I247*H247</f>
        <v>40.146360000000001</v>
      </c>
      <c r="K247" s="3">
        <f>(12000+10749.6)*0.06</f>
        <v>1364.9759999999999</v>
      </c>
      <c r="L247" s="3">
        <f>J247*34</f>
        <v>1364.97624</v>
      </c>
      <c r="M247" s="85">
        <f t="shared" ref="M247:M254" si="50">K247-L247</f>
        <v>-2.4000000007617928E-4</v>
      </c>
    </row>
    <row r="248" spans="1:20" s="1" customFormat="1" ht="17.25" customHeight="1">
      <c r="A248" s="18" t="s">
        <v>77</v>
      </c>
      <c r="B248" s="5" t="s">
        <v>44</v>
      </c>
      <c r="C248" s="44" t="s">
        <v>45</v>
      </c>
      <c r="D248" s="5">
        <v>1</v>
      </c>
      <c r="E248" s="7">
        <f>247*8*(35/1974)</f>
        <v>35.035460992907801</v>
      </c>
      <c r="F248" s="35">
        <f>E248/35</f>
        <v>1.0010131712259371</v>
      </c>
      <c r="G248" s="49">
        <f t="shared" ref="G248:G254" si="51">D248/E248*F248</f>
        <v>2.8571428571428571E-2</v>
      </c>
      <c r="H248" s="6">
        <v>5.0142860000000002</v>
      </c>
      <c r="I248" s="7">
        <v>12</v>
      </c>
      <c r="J248" s="87">
        <f t="shared" si="49"/>
        <v>60.171432000000003</v>
      </c>
      <c r="K248" s="3">
        <f>(13400+10000)*0.09</f>
        <v>2106</v>
      </c>
      <c r="L248" s="3">
        <f>J248*35</f>
        <v>2106.0001200000002</v>
      </c>
      <c r="M248" s="85">
        <f t="shared" si="50"/>
        <v>-1.2000000015177648E-4</v>
      </c>
    </row>
    <row r="249" spans="1:20" s="1" customFormat="1" ht="17.25" customHeight="1">
      <c r="A249" s="18" t="s">
        <v>78</v>
      </c>
      <c r="B249" s="5" t="s">
        <v>44</v>
      </c>
      <c r="C249" s="44" t="s">
        <v>45</v>
      </c>
      <c r="D249" s="5">
        <v>1</v>
      </c>
      <c r="E249" s="7">
        <f>247*8*(60/1974)</f>
        <v>60.060790273556229</v>
      </c>
      <c r="F249" s="35">
        <f>E249/60</f>
        <v>1.0010131712259371</v>
      </c>
      <c r="G249" s="49">
        <f t="shared" si="51"/>
        <v>1.6666666666666666E-2</v>
      </c>
      <c r="H249" s="6">
        <v>4.1022220000000003</v>
      </c>
      <c r="I249" s="7">
        <v>12</v>
      </c>
      <c r="J249" s="87">
        <f t="shared" si="49"/>
        <v>49.226664</v>
      </c>
      <c r="K249" s="3">
        <f>(13360+23560)*0.08</f>
        <v>2953.6</v>
      </c>
      <c r="L249" s="3">
        <f>J249*60</f>
        <v>2953.5998399999999</v>
      </c>
      <c r="M249" s="85">
        <f t="shared" si="50"/>
        <v>1.6000000005078618E-4</v>
      </c>
    </row>
    <row r="250" spans="1:20" s="1" customFormat="1" ht="17.25" customHeight="1">
      <c r="A250" s="18" t="s">
        <v>79</v>
      </c>
      <c r="B250" s="5" t="s">
        <v>44</v>
      </c>
      <c r="C250" s="44" t="s">
        <v>45</v>
      </c>
      <c r="D250" s="5">
        <v>1</v>
      </c>
      <c r="E250" s="7">
        <f>247*8*(92/1974)</f>
        <v>92.093211752786218</v>
      </c>
      <c r="F250" s="35">
        <f>E250/92</f>
        <v>1.0010131712259371</v>
      </c>
      <c r="G250" s="49">
        <f t="shared" si="51"/>
        <v>1.0869565217391304E-2</v>
      </c>
      <c r="H250" s="6">
        <v>2.8650220000000002</v>
      </c>
      <c r="I250" s="7">
        <v>12</v>
      </c>
      <c r="J250" s="87">
        <f t="shared" si="49"/>
        <v>34.380264000000004</v>
      </c>
      <c r="K250" s="3">
        <f>(18500+10254.4)*0.11</f>
        <v>3162.9840000000004</v>
      </c>
      <c r="L250" s="3">
        <f>J250*92</f>
        <v>3162.9842880000006</v>
      </c>
      <c r="M250" s="85">
        <f t="shared" si="50"/>
        <v>-2.880000001823646E-4</v>
      </c>
    </row>
    <row r="251" spans="1:20" s="1" customFormat="1" ht="17.25" customHeight="1">
      <c r="A251" s="18" t="s">
        <v>80</v>
      </c>
      <c r="B251" s="5" t="s">
        <v>44</v>
      </c>
      <c r="C251" s="44" t="s">
        <v>45</v>
      </c>
      <c r="D251" s="5">
        <v>2</v>
      </c>
      <c r="E251" s="7">
        <f>247*8*(40/1974)</f>
        <v>40.040526849037491</v>
      </c>
      <c r="F251" s="35">
        <f>E251/40</f>
        <v>1.0010131712259374</v>
      </c>
      <c r="G251" s="49">
        <f t="shared" si="51"/>
        <v>0.05</v>
      </c>
      <c r="H251" s="6">
        <v>5.073334</v>
      </c>
      <c r="I251" s="7">
        <v>12</v>
      </c>
      <c r="J251" s="87">
        <f t="shared" si="49"/>
        <v>60.880008000000004</v>
      </c>
      <c r="K251" s="3">
        <f>(12000+18440)*0.08</f>
        <v>2435.2000000000003</v>
      </c>
      <c r="L251" s="3">
        <f>J251*40</f>
        <v>2435.2003199999999</v>
      </c>
      <c r="M251" s="85">
        <f t="shared" si="50"/>
        <v>-3.1999999964682502E-4</v>
      </c>
    </row>
    <row r="252" spans="1:20" s="1" customFormat="1" ht="17.25" customHeight="1">
      <c r="A252" s="18" t="s">
        <v>81</v>
      </c>
      <c r="B252" s="5" t="s">
        <v>44</v>
      </c>
      <c r="C252" s="44" t="s">
        <v>45</v>
      </c>
      <c r="D252" s="5">
        <v>2</v>
      </c>
      <c r="E252" s="7">
        <f>247*8*(114/1974)</f>
        <v>114.11550151975685</v>
      </c>
      <c r="F252" s="35">
        <f>E252/114</f>
        <v>1.0010131712259374</v>
      </c>
      <c r="G252" s="49">
        <f t="shared" si="51"/>
        <v>1.754385964912281E-2</v>
      </c>
      <c r="H252" s="6">
        <v>3.7070078</v>
      </c>
      <c r="I252" s="7">
        <v>12</v>
      </c>
      <c r="J252" s="87">
        <f t="shared" si="49"/>
        <v>44.484093600000001</v>
      </c>
      <c r="K252" s="3">
        <f>(16000+23009.13)*0.13</f>
        <v>5071.1869000000006</v>
      </c>
      <c r="L252" s="3">
        <f>J252*114</f>
        <v>5071.1866704000004</v>
      </c>
      <c r="M252" s="85">
        <f t="shared" si="50"/>
        <v>2.2960000023886096E-4</v>
      </c>
    </row>
    <row r="253" spans="1:20" s="1" customFormat="1" ht="17.25" customHeight="1">
      <c r="A253" s="18" t="s">
        <v>82</v>
      </c>
      <c r="B253" s="5" t="s">
        <v>44</v>
      </c>
      <c r="C253" s="44" t="s">
        <v>45</v>
      </c>
      <c r="D253" s="5">
        <v>2</v>
      </c>
      <c r="E253" s="7">
        <f>247*8*(33/1974)</f>
        <v>33.033434650455924</v>
      </c>
      <c r="F253" s="35">
        <f>E253/33</f>
        <v>1.0010131712259371</v>
      </c>
      <c r="G253" s="49">
        <f t="shared" si="51"/>
        <v>6.0606060606060608E-2</v>
      </c>
      <c r="H253" s="6">
        <v>6.5050499999999998</v>
      </c>
      <c r="I253" s="7">
        <v>12</v>
      </c>
      <c r="J253" s="87">
        <f t="shared" si="49"/>
        <v>78.060599999999994</v>
      </c>
      <c r="K253" s="3">
        <f>(18400*0.14)</f>
        <v>2576.0000000000005</v>
      </c>
      <c r="L253" s="3">
        <f>J253*33</f>
        <v>2575.9997999999996</v>
      </c>
      <c r="M253" s="85">
        <f t="shared" si="50"/>
        <v>2.0000000085929059E-4</v>
      </c>
    </row>
    <row r="254" spans="1:20" s="1" customFormat="1" ht="17.25" customHeight="1" thickBot="1">
      <c r="A254" s="20" t="s">
        <v>83</v>
      </c>
      <c r="B254" s="21" t="s">
        <v>44</v>
      </c>
      <c r="C254" s="94" t="s">
        <v>45</v>
      </c>
      <c r="D254" s="21"/>
      <c r="E254" s="23"/>
      <c r="F254" s="95">
        <f>E254/106</f>
        <v>0</v>
      </c>
      <c r="G254" s="96" t="e">
        <f t="shared" si="51"/>
        <v>#DIV/0!</v>
      </c>
      <c r="H254" s="22"/>
      <c r="I254" s="23">
        <v>12</v>
      </c>
      <c r="J254" s="24">
        <f t="shared" si="49"/>
        <v>0</v>
      </c>
      <c r="K254" s="3"/>
      <c r="L254" s="3"/>
      <c r="M254" s="85">
        <f t="shared" si="50"/>
        <v>0</v>
      </c>
    </row>
    <row r="256" spans="1:20">
      <c r="J256" s="1">
        <v>1</v>
      </c>
      <c r="K256" s="3">
        <f>33759.85+22104.96-27000</f>
        <v>28864.809999999998</v>
      </c>
      <c r="L256" s="3">
        <f>L218+L232+L246</f>
        <v>28864.808712000002</v>
      </c>
      <c r="M256" s="3">
        <f>K256-L256</f>
        <v>1.2879999958386179E-3</v>
      </c>
    </row>
    <row r="257" spans="10:13">
      <c r="J257" s="1">
        <v>2</v>
      </c>
      <c r="K257" s="3">
        <f>32000+25749.6-35000</f>
        <v>22749.599999999999</v>
      </c>
      <c r="L257" s="3">
        <f>L219+L233+L247</f>
        <v>22749.600029999998</v>
      </c>
      <c r="M257" s="3">
        <f t="shared" ref="M257:M264" si="52">K257-L257</f>
        <v>-2.9999999242136255E-5</v>
      </c>
    </row>
    <row r="258" spans="10:13">
      <c r="J258" s="1">
        <v>3</v>
      </c>
      <c r="K258" s="3">
        <f>46400-23000</f>
        <v>23400</v>
      </c>
      <c r="L258" s="3">
        <f>L220+L234+L248</f>
        <v>23400.000792000003</v>
      </c>
      <c r="M258" s="3">
        <f t="shared" si="52"/>
        <v>-7.9200000254786573E-4</v>
      </c>
    </row>
    <row r="259" spans="10:13">
      <c r="J259" s="1">
        <v>7</v>
      </c>
      <c r="K259" s="3">
        <f>38360+43560+-45000</f>
        <v>36920</v>
      </c>
      <c r="L259" s="3">
        <f>L221+L235+L249</f>
        <v>36919.999956000007</v>
      </c>
      <c r="M259" s="3">
        <f t="shared" si="52"/>
        <v>4.3999993067700416E-5</v>
      </c>
    </row>
    <row r="260" spans="10:13">
      <c r="J260" s="1">
        <v>9</v>
      </c>
      <c r="K260" s="3">
        <f>38500+30254.4-40000</f>
        <v>28754.399999999994</v>
      </c>
      <c r="L260" s="3">
        <f>L250+L236+L222</f>
        <v>28754.400504000001</v>
      </c>
      <c r="M260" s="3">
        <f t="shared" si="52"/>
        <v>-5.0400000691297464E-4</v>
      </c>
    </row>
    <row r="261" spans="10:13">
      <c r="J261" s="1">
        <v>14</v>
      </c>
      <c r="K261" s="3">
        <f>42000+28440-40000</f>
        <v>30440</v>
      </c>
      <c r="L261" s="3">
        <f>L251+L237+L223</f>
        <v>30440.000555999999</v>
      </c>
      <c r="M261" s="3">
        <f t="shared" si="52"/>
        <v>-5.559999990509823E-4</v>
      </c>
    </row>
    <row r="262" spans="10:13">
      <c r="J262" s="1">
        <v>8</v>
      </c>
      <c r="K262" s="3">
        <f>66000+43009.13-70000</f>
        <v>39009.130000000005</v>
      </c>
      <c r="L262" s="3">
        <f>L252+L238+L224</f>
        <v>39009.128923440003</v>
      </c>
      <c r="M262" s="3">
        <f t="shared" si="52"/>
        <v>1.0765600018203259E-3</v>
      </c>
    </row>
    <row r="263" spans="10:13">
      <c r="J263" s="1">
        <v>4</v>
      </c>
      <c r="K263" s="3">
        <f>38400-20000</f>
        <v>18400</v>
      </c>
      <c r="L263" s="3">
        <f>L253+L239+L225</f>
        <v>18399.999709199998</v>
      </c>
      <c r="M263" s="3">
        <f t="shared" si="52"/>
        <v>2.908000024035573E-4</v>
      </c>
    </row>
    <row r="264" spans="10:13">
      <c r="J264" s="1">
        <v>11</v>
      </c>
      <c r="K264" s="3">
        <f>33600+9600-23000</f>
        <v>20200</v>
      </c>
      <c r="L264" s="3">
        <f>L254+L240+L226</f>
        <v>20200.000523999999</v>
      </c>
      <c r="M264" s="3">
        <f t="shared" si="52"/>
        <v>-5.2399999913177453E-4</v>
      </c>
    </row>
  </sheetData>
  <mergeCells count="1">
    <mergeCell ref="A1:H1"/>
  </mergeCells>
  <pageMargins left="0.31496062992125984" right="0" top="0.15748031496062992" bottom="0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3"/>
  <sheetViews>
    <sheetView zoomScale="80" zoomScaleNormal="80" workbookViewId="0">
      <pane xSplit="3" ySplit="5" topLeftCell="D396" activePane="bottomRight" state="frozen"/>
      <selection pane="topRight" activeCell="D1" sqref="D1"/>
      <selection pane="bottomLeft" activeCell="A7" sqref="A7"/>
      <selection pane="bottomRight" activeCell="G273" sqref="G273"/>
    </sheetView>
  </sheetViews>
  <sheetFormatPr defaultRowHeight="15"/>
  <cols>
    <col min="1" max="1" width="17" customWidth="1"/>
    <col min="2" max="2" width="38" style="1" customWidth="1"/>
    <col min="3" max="3" width="9.7109375" style="1" customWidth="1"/>
    <col min="4" max="4" width="11.42578125" style="1" customWidth="1"/>
    <col min="5" max="5" width="8.42578125" style="1" customWidth="1"/>
    <col min="6" max="6" width="10.42578125" style="1" customWidth="1"/>
    <col min="7" max="7" width="12.5703125" customWidth="1"/>
    <col min="8" max="8" width="11.7109375" customWidth="1"/>
    <col min="9" max="9" width="9.42578125" style="1" customWidth="1"/>
    <col min="10" max="10" width="10.85546875" style="1" customWidth="1"/>
    <col min="11" max="11" width="11.28515625" style="1" customWidth="1"/>
    <col min="12" max="12" width="11.5703125" style="1" customWidth="1"/>
    <col min="13" max="13" width="7.28515625" style="1" customWidth="1"/>
    <col min="14" max="20" width="9.140625" style="1"/>
  </cols>
  <sheetData>
    <row r="1" spans="1:13" ht="18.75">
      <c r="A1" s="104" t="s">
        <v>48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3" ht="18.75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3" ht="18.75">
      <c r="A3" s="73" t="s">
        <v>84</v>
      </c>
    </row>
    <row r="4" spans="1:13" ht="108.75" customHeight="1">
      <c r="A4" s="4" t="s">
        <v>2</v>
      </c>
      <c r="B4" s="4" t="s">
        <v>4</v>
      </c>
      <c r="C4" s="4" t="s">
        <v>0</v>
      </c>
      <c r="D4" s="4" t="s">
        <v>13</v>
      </c>
      <c r="E4" s="4" t="s">
        <v>3</v>
      </c>
      <c r="F4" s="4" t="s">
        <v>1</v>
      </c>
      <c r="G4" s="4" t="s">
        <v>5</v>
      </c>
      <c r="H4" s="4" t="s">
        <v>7</v>
      </c>
      <c r="I4" s="4" t="s">
        <v>9</v>
      </c>
      <c r="J4" s="4" t="s">
        <v>11</v>
      </c>
      <c r="K4" s="2" t="s">
        <v>33</v>
      </c>
      <c r="L4" s="2" t="s">
        <v>34</v>
      </c>
      <c r="M4" s="2"/>
    </row>
    <row r="5" spans="1:13" ht="15.75" thickBot="1">
      <c r="A5" s="9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 t="s">
        <v>6</v>
      </c>
      <c r="H5" s="9" t="s">
        <v>8</v>
      </c>
      <c r="I5" s="10" t="s">
        <v>10</v>
      </c>
      <c r="J5" s="10" t="s">
        <v>12</v>
      </c>
    </row>
    <row r="6" spans="1:13">
      <c r="A6" s="13" t="s">
        <v>71</v>
      </c>
      <c r="B6" s="14" t="s">
        <v>49</v>
      </c>
      <c r="C6" s="14">
        <v>5.75</v>
      </c>
      <c r="D6" s="14">
        <f>9544-6000</f>
        <v>3544</v>
      </c>
      <c r="E6" s="14">
        <v>182</v>
      </c>
      <c r="F6" s="14">
        <v>1974</v>
      </c>
      <c r="G6" s="15">
        <f>C6*F6</f>
        <v>11350.5</v>
      </c>
      <c r="H6" s="15">
        <f>G6/E6</f>
        <v>62.365384615384613</v>
      </c>
      <c r="I6" s="16">
        <f>D6*12*1.302/1974</f>
        <v>28.050382978723405</v>
      </c>
      <c r="J6" s="17">
        <f>I6*H6</f>
        <v>1749.3729230769231</v>
      </c>
    </row>
    <row r="7" spans="1:13">
      <c r="A7" s="18"/>
      <c r="B7" s="5" t="s">
        <v>69</v>
      </c>
      <c r="C7" s="5">
        <v>1.5</v>
      </c>
      <c r="D7" s="5">
        <f>9544-6000</f>
        <v>3544</v>
      </c>
      <c r="E7" s="5">
        <v>182</v>
      </c>
      <c r="F7" s="5">
        <v>1974</v>
      </c>
      <c r="G7" s="6">
        <f t="shared" ref="G7:G8" si="0">C7*F7</f>
        <v>2961</v>
      </c>
      <c r="H7" s="6">
        <f t="shared" ref="H7:H8" si="1">G7/E7</f>
        <v>16.26923076923077</v>
      </c>
      <c r="I7" s="7">
        <f t="shared" ref="I7:I8" si="2">D7*12*1.302/1974</f>
        <v>28.050382978723405</v>
      </c>
      <c r="J7" s="19">
        <f t="shared" ref="J7:J8" si="3">I7*H7</f>
        <v>456.35815384615387</v>
      </c>
    </row>
    <row r="8" spans="1:13">
      <c r="A8" s="18"/>
      <c r="B8" s="5" t="s">
        <v>50</v>
      </c>
      <c r="C8" s="5">
        <v>3</v>
      </c>
      <c r="D8" s="5">
        <f>9544-5700</f>
        <v>3844</v>
      </c>
      <c r="E8" s="5">
        <v>182</v>
      </c>
      <c r="F8" s="5">
        <v>1974</v>
      </c>
      <c r="G8" s="6">
        <f t="shared" si="0"/>
        <v>5922</v>
      </c>
      <c r="H8" s="6">
        <f t="shared" si="1"/>
        <v>32.53846153846154</v>
      </c>
      <c r="I8" s="7">
        <f t="shared" si="2"/>
        <v>30.424851063829788</v>
      </c>
      <c r="J8" s="19">
        <f t="shared" si="3"/>
        <v>989.97784615384626</v>
      </c>
    </row>
    <row r="9" spans="1:13">
      <c r="A9" s="18"/>
      <c r="B9" s="5" t="s">
        <v>102</v>
      </c>
      <c r="C9" s="5">
        <v>2</v>
      </c>
      <c r="D9" s="5">
        <f>9544-5700</f>
        <v>3844</v>
      </c>
      <c r="E9" s="5">
        <v>182</v>
      </c>
      <c r="F9" s="5">
        <v>1974</v>
      </c>
      <c r="G9" s="6">
        <f t="shared" ref="G9:G11" si="4">C9*F9</f>
        <v>3948</v>
      </c>
      <c r="H9" s="6">
        <f>G9/E9</f>
        <v>21.692307692307693</v>
      </c>
      <c r="I9" s="7">
        <f t="shared" ref="I9:I11" si="5">D9*12*1.302/1974</f>
        <v>30.424851063829788</v>
      </c>
      <c r="J9" s="19">
        <f t="shared" ref="J9:J12" si="6">I9*H9</f>
        <v>659.98523076923084</v>
      </c>
    </row>
    <row r="10" spans="1:13">
      <c r="A10" s="18"/>
      <c r="B10" s="5" t="s">
        <v>51</v>
      </c>
      <c r="C10" s="5">
        <v>1</v>
      </c>
      <c r="D10" s="5">
        <f>9544-6000</f>
        <v>3544</v>
      </c>
      <c r="E10" s="5">
        <v>182</v>
      </c>
      <c r="F10" s="5">
        <v>1974</v>
      </c>
      <c r="G10" s="6">
        <f t="shared" si="4"/>
        <v>1974</v>
      </c>
      <c r="H10" s="6">
        <f t="shared" ref="H10:H11" si="7">G10/E10</f>
        <v>10.846153846153847</v>
      </c>
      <c r="I10" s="7">
        <f t="shared" si="5"/>
        <v>28.050382978723405</v>
      </c>
      <c r="J10" s="19">
        <f t="shared" si="6"/>
        <v>304.23876923076926</v>
      </c>
    </row>
    <row r="11" spans="1:13">
      <c r="A11" s="18"/>
      <c r="B11" s="5" t="s">
        <v>103</v>
      </c>
      <c r="C11" s="102">
        <v>1</v>
      </c>
      <c r="D11" s="5">
        <f>9544-5100+50.68</f>
        <v>4494.68</v>
      </c>
      <c r="E11" s="5">
        <v>182</v>
      </c>
      <c r="F11" s="5">
        <v>1974</v>
      </c>
      <c r="G11" s="6">
        <f t="shared" si="4"/>
        <v>1974</v>
      </c>
      <c r="H11" s="6">
        <f t="shared" si="7"/>
        <v>10.846153846153847</v>
      </c>
      <c r="I11" s="7">
        <f t="shared" si="5"/>
        <v>35.574914042553196</v>
      </c>
      <c r="J11" s="19">
        <f>I11*H11</f>
        <v>385.85099076923086</v>
      </c>
    </row>
    <row r="12" spans="1:13">
      <c r="A12" s="18"/>
      <c r="B12" s="5"/>
      <c r="C12" s="102"/>
      <c r="D12" s="5"/>
      <c r="E12" s="5"/>
      <c r="F12" s="5"/>
      <c r="G12" s="6"/>
      <c r="H12" s="6"/>
      <c r="I12" s="7"/>
      <c r="J12" s="19">
        <f t="shared" si="6"/>
        <v>0</v>
      </c>
    </row>
    <row r="13" spans="1:13" ht="15.75" thickBot="1">
      <c r="A13" s="20"/>
      <c r="B13" s="21"/>
      <c r="C13" s="21">
        <f>SUM(C6:C12)</f>
        <v>14.25</v>
      </c>
      <c r="D13" s="21"/>
      <c r="E13" s="21"/>
      <c r="F13" s="21"/>
      <c r="G13" s="22"/>
      <c r="H13" s="22"/>
      <c r="I13" s="23"/>
      <c r="J13" s="24">
        <f>SUM(J6:J12)</f>
        <v>4545.7839138461541</v>
      </c>
    </row>
    <row r="14" spans="1:13" ht="15.75" thickBot="1">
      <c r="A14" s="69"/>
      <c r="B14" s="70"/>
      <c r="C14" s="70"/>
      <c r="D14" s="70"/>
      <c r="E14" s="70"/>
      <c r="F14" s="70"/>
      <c r="G14" s="74"/>
      <c r="H14" s="100" t="s">
        <v>66</v>
      </c>
      <c r="I14" s="101"/>
      <c r="J14" s="72">
        <f>J13-J15</f>
        <v>0</v>
      </c>
      <c r="K14" s="68">
        <f>J14*122</f>
        <v>0</v>
      </c>
      <c r="L14" s="68"/>
      <c r="M14" s="68">
        <f>L14-K14</f>
        <v>0</v>
      </c>
    </row>
    <row r="15" spans="1:13" ht="15.75" thickBot="1">
      <c r="A15" s="69"/>
      <c r="B15" s="70"/>
      <c r="C15" s="70"/>
      <c r="D15" s="70"/>
      <c r="E15" s="70"/>
      <c r="F15" s="70"/>
      <c r="G15" s="74"/>
      <c r="H15" s="100" t="s">
        <v>63</v>
      </c>
      <c r="I15" s="101"/>
      <c r="J15" s="72">
        <f>J6+J7+J8+J9+J10+J11</f>
        <v>4545.7839138461541</v>
      </c>
      <c r="K15" s="68">
        <f>J15*E6</f>
        <v>827332.67232000001</v>
      </c>
      <c r="L15" s="68">
        <f>(1625244+490824+3120-25428.1-25428.1)*0.4</f>
        <v>827332.72</v>
      </c>
      <c r="M15" s="68">
        <f>L15-K15</f>
        <v>4.7679999959655106E-2</v>
      </c>
    </row>
    <row r="16" spans="1:13">
      <c r="A16" s="13" t="s">
        <v>76</v>
      </c>
      <c r="B16" s="14" t="s">
        <v>49</v>
      </c>
      <c r="C16" s="14">
        <v>12</v>
      </c>
      <c r="D16" s="16">
        <f>9544-5000+182.81</f>
        <v>4726.8100000000004</v>
      </c>
      <c r="E16" s="14">
        <v>294</v>
      </c>
      <c r="F16" s="14">
        <v>1974</v>
      </c>
      <c r="G16" s="15">
        <f>C16*F16</f>
        <v>23688</v>
      </c>
      <c r="H16" s="15">
        <f>G16/E16</f>
        <v>80.571428571428569</v>
      </c>
      <c r="I16" s="16">
        <f>D16*12*1.302/1974</f>
        <v>37.412198297872344</v>
      </c>
      <c r="J16" s="17">
        <f>I16*H16</f>
        <v>3014.3542628571431</v>
      </c>
    </row>
    <row r="17" spans="1:13">
      <c r="A17" s="18"/>
      <c r="B17" s="5" t="s">
        <v>69</v>
      </c>
      <c r="C17" s="5">
        <v>4</v>
      </c>
      <c r="D17" s="5">
        <f>9544-5000</f>
        <v>4544</v>
      </c>
      <c r="E17" s="5">
        <v>294</v>
      </c>
      <c r="F17" s="5">
        <v>1974</v>
      </c>
      <c r="G17" s="6">
        <f t="shared" ref="G17:G21" si="8">C17*F17</f>
        <v>7896</v>
      </c>
      <c r="H17" s="6">
        <f t="shared" ref="H17:H18" si="9">G17/E17</f>
        <v>26.857142857142858</v>
      </c>
      <c r="I17" s="7">
        <f t="shared" ref="I17:I21" si="10">D17*12*1.302/1974</f>
        <v>35.965276595744683</v>
      </c>
      <c r="J17" s="19">
        <f t="shared" ref="J17:J20" si="11">I17*H17</f>
        <v>965.92457142857154</v>
      </c>
    </row>
    <row r="18" spans="1:13">
      <c r="A18" s="18"/>
      <c r="B18" s="5" t="s">
        <v>50</v>
      </c>
      <c r="C18" s="5">
        <v>6</v>
      </c>
      <c r="D18" s="5">
        <f>9544-5000+500</f>
        <v>5044</v>
      </c>
      <c r="E18" s="5">
        <v>294</v>
      </c>
      <c r="F18" s="5">
        <v>1974</v>
      </c>
      <c r="G18" s="6">
        <f t="shared" si="8"/>
        <v>11844</v>
      </c>
      <c r="H18" s="6">
        <f t="shared" si="9"/>
        <v>40.285714285714285</v>
      </c>
      <c r="I18" s="7">
        <f t="shared" si="10"/>
        <v>39.922723404255322</v>
      </c>
      <c r="J18" s="19">
        <f t="shared" si="11"/>
        <v>1608.3154285714286</v>
      </c>
    </row>
    <row r="19" spans="1:13">
      <c r="A19" s="18"/>
      <c r="B19" s="5" t="s">
        <v>102</v>
      </c>
      <c r="C19" s="5">
        <v>1</v>
      </c>
      <c r="D19" s="5">
        <f>9544-5000</f>
        <v>4544</v>
      </c>
      <c r="E19" s="5">
        <v>294</v>
      </c>
      <c r="F19" s="5">
        <v>1974</v>
      </c>
      <c r="G19" s="6">
        <f t="shared" si="8"/>
        <v>1974</v>
      </c>
      <c r="H19" s="6">
        <f>G19/E19</f>
        <v>6.7142857142857144</v>
      </c>
      <c r="I19" s="7">
        <f t="shared" si="10"/>
        <v>35.965276595744683</v>
      </c>
      <c r="J19" s="19">
        <f t="shared" si="11"/>
        <v>241.48114285714288</v>
      </c>
    </row>
    <row r="20" spans="1:13">
      <c r="A20" s="18"/>
      <c r="B20" s="5" t="s">
        <v>51</v>
      </c>
      <c r="C20" s="5">
        <v>3</v>
      </c>
      <c r="D20" s="5">
        <f>9544-5000</f>
        <v>4544</v>
      </c>
      <c r="E20" s="5">
        <v>294</v>
      </c>
      <c r="F20" s="5">
        <v>1974</v>
      </c>
      <c r="G20" s="6">
        <f t="shared" si="8"/>
        <v>5922</v>
      </c>
      <c r="H20" s="6">
        <f t="shared" ref="H20:H22" si="12">G20/E20</f>
        <v>20.142857142857142</v>
      </c>
      <c r="I20" s="7">
        <f t="shared" si="10"/>
        <v>35.965276595744683</v>
      </c>
      <c r="J20" s="19">
        <f t="shared" si="11"/>
        <v>724.44342857142863</v>
      </c>
    </row>
    <row r="21" spans="1:13">
      <c r="A21" s="18"/>
      <c r="B21" s="5" t="s">
        <v>103</v>
      </c>
      <c r="C21" s="102"/>
      <c r="D21" s="5"/>
      <c r="E21" s="5">
        <v>294</v>
      </c>
      <c r="F21" s="5">
        <v>1974</v>
      </c>
      <c r="G21" s="6">
        <f t="shared" si="8"/>
        <v>0</v>
      </c>
      <c r="H21" s="6">
        <f t="shared" si="12"/>
        <v>0</v>
      </c>
      <c r="I21" s="7">
        <f t="shared" si="10"/>
        <v>0</v>
      </c>
      <c r="J21" s="19">
        <f>I21*H21</f>
        <v>0</v>
      </c>
    </row>
    <row r="22" spans="1:13">
      <c r="A22" s="18"/>
      <c r="B22" s="5"/>
      <c r="C22" s="102"/>
      <c r="D22" s="5"/>
      <c r="E22" s="5"/>
      <c r="F22" s="5"/>
      <c r="G22" s="6"/>
      <c r="H22" s="6"/>
      <c r="I22" s="7"/>
      <c r="J22" s="19">
        <f t="shared" ref="J22:J25" si="13">I22*H22</f>
        <v>0</v>
      </c>
    </row>
    <row r="23" spans="1:13" ht="15.75" thickBot="1">
      <c r="A23" s="20"/>
      <c r="B23" s="21"/>
      <c r="C23" s="21">
        <f>SUM(C16:C22)</f>
        <v>26</v>
      </c>
      <c r="D23" s="21"/>
      <c r="E23" s="21"/>
      <c r="F23" s="21"/>
      <c r="G23" s="22"/>
      <c r="H23" s="22"/>
      <c r="I23" s="23"/>
      <c r="J23" s="24">
        <f>SUM(J16:J22)</f>
        <v>6554.5188342857145</v>
      </c>
    </row>
    <row r="24" spans="1:13" ht="15.75" thickBot="1">
      <c r="A24" s="69"/>
      <c r="B24" s="70"/>
      <c r="C24" s="70"/>
      <c r="D24" s="70"/>
      <c r="E24" s="70"/>
      <c r="F24" s="70"/>
      <c r="G24" s="74"/>
      <c r="H24" s="100" t="s">
        <v>66</v>
      </c>
      <c r="I24" s="101"/>
      <c r="J24" s="72">
        <f>J23-J25</f>
        <v>0</v>
      </c>
      <c r="K24" s="68">
        <f>J24*122</f>
        <v>0</v>
      </c>
      <c r="L24" s="68"/>
      <c r="M24" s="68">
        <f>L24-K24</f>
        <v>0</v>
      </c>
    </row>
    <row r="25" spans="1:13" ht="15.75" thickBot="1">
      <c r="A25" s="69"/>
      <c r="B25" s="70"/>
      <c r="C25" s="70"/>
      <c r="D25" s="70"/>
      <c r="E25" s="70"/>
      <c r="F25" s="70"/>
      <c r="G25" s="74"/>
      <c r="H25" s="100" t="s">
        <v>63</v>
      </c>
      <c r="I25" s="101"/>
      <c r="J25" s="72">
        <f>J16+J17+J18+J19+J20+J21</f>
        <v>6554.5188342857145</v>
      </c>
      <c r="K25" s="68">
        <f>J25*E16</f>
        <v>1927028.53728</v>
      </c>
      <c r="L25" s="68">
        <f>(2853158+861654-60933.6-42653.5-42653.5)*0.54</f>
        <v>1927028.5560000001</v>
      </c>
      <c r="M25" s="68">
        <f>L25-K25</f>
        <v>1.8720000050961971E-2</v>
      </c>
    </row>
    <row r="26" spans="1:13">
      <c r="A26" s="13" t="s">
        <v>77</v>
      </c>
      <c r="B26" s="14" t="s">
        <v>49</v>
      </c>
      <c r="C26" s="14">
        <v>6</v>
      </c>
      <c r="D26" s="16">
        <f>9544-6000+244.677</f>
        <v>3788.6770000000001</v>
      </c>
      <c r="E26" s="14">
        <v>163</v>
      </c>
      <c r="F26" s="14">
        <v>1974</v>
      </c>
      <c r="G26" s="15">
        <f>C26*F26</f>
        <v>11844</v>
      </c>
      <c r="H26" s="15">
        <f>G26/E26</f>
        <v>72.662576687116569</v>
      </c>
      <c r="I26" s="16">
        <f>D26*12*1.302/1974</f>
        <v>29.986975404255322</v>
      </c>
      <c r="J26" s="17">
        <f>I26*H26</f>
        <v>2178.9308999263808</v>
      </c>
    </row>
    <row r="27" spans="1:13">
      <c r="A27" s="18"/>
      <c r="B27" s="5" t="s">
        <v>69</v>
      </c>
      <c r="C27" s="5">
        <v>1.5</v>
      </c>
      <c r="D27" s="5">
        <f>9544-6000+500</f>
        <v>4044</v>
      </c>
      <c r="E27" s="5">
        <v>163</v>
      </c>
      <c r="F27" s="5">
        <v>1974</v>
      </c>
      <c r="G27" s="6">
        <f t="shared" ref="G27:G31" si="14">C27*F27</f>
        <v>2961</v>
      </c>
      <c r="H27" s="6">
        <f t="shared" ref="H27:H28" si="15">G27/E27</f>
        <v>18.165644171779142</v>
      </c>
      <c r="I27" s="7">
        <f t="shared" ref="I27:I31" si="16">D27*12*1.302/1974</f>
        <v>32.007829787234044</v>
      </c>
      <c r="J27" s="19">
        <f t="shared" ref="J27:J30" si="17">I27*H27</f>
        <v>581.44284662576695</v>
      </c>
    </row>
    <row r="28" spans="1:13">
      <c r="A28" s="18"/>
      <c r="B28" s="5" t="s">
        <v>50</v>
      </c>
      <c r="C28" s="5">
        <v>3</v>
      </c>
      <c r="D28" s="5">
        <f>9544-5700</f>
        <v>3844</v>
      </c>
      <c r="E28" s="5">
        <v>163</v>
      </c>
      <c r="F28" s="5">
        <v>1974</v>
      </c>
      <c r="G28" s="6">
        <f t="shared" si="14"/>
        <v>5922</v>
      </c>
      <c r="H28" s="6">
        <f t="shared" si="15"/>
        <v>36.331288343558285</v>
      </c>
      <c r="I28" s="7">
        <f t="shared" si="16"/>
        <v>30.424851063829788</v>
      </c>
      <c r="J28" s="19">
        <f t="shared" si="17"/>
        <v>1105.3740368098161</v>
      </c>
    </row>
    <row r="29" spans="1:13">
      <c r="A29" s="18"/>
      <c r="B29" s="5" t="s">
        <v>102</v>
      </c>
      <c r="C29" s="5">
        <v>1.5</v>
      </c>
      <c r="D29" s="5">
        <f>9544-5500</f>
        <v>4044</v>
      </c>
      <c r="E29" s="5">
        <v>163</v>
      </c>
      <c r="F29" s="5">
        <v>1974</v>
      </c>
      <c r="G29" s="6">
        <f t="shared" si="14"/>
        <v>2961</v>
      </c>
      <c r="H29" s="6">
        <f>G29/E29</f>
        <v>18.165644171779142</v>
      </c>
      <c r="I29" s="7">
        <f t="shared" si="16"/>
        <v>32.007829787234044</v>
      </c>
      <c r="J29" s="19">
        <f t="shared" si="17"/>
        <v>581.44284662576695</v>
      </c>
    </row>
    <row r="30" spans="1:13">
      <c r="A30" s="18"/>
      <c r="B30" s="5" t="s">
        <v>51</v>
      </c>
      <c r="C30" s="5">
        <v>2</v>
      </c>
      <c r="D30" s="5">
        <f>9544-6000</f>
        <v>3544</v>
      </c>
      <c r="E30" s="5">
        <v>163</v>
      </c>
      <c r="F30" s="5">
        <v>1974</v>
      </c>
      <c r="G30" s="6">
        <f t="shared" si="14"/>
        <v>3948</v>
      </c>
      <c r="H30" s="6">
        <f t="shared" ref="H30:H32" si="18">G30/E30</f>
        <v>24.220858895705522</v>
      </c>
      <c r="I30" s="7">
        <f t="shared" si="16"/>
        <v>28.050382978723405</v>
      </c>
      <c r="J30" s="19">
        <f t="shared" si="17"/>
        <v>679.40436809815958</v>
      </c>
    </row>
    <row r="31" spans="1:13">
      <c r="A31" s="18"/>
      <c r="B31" s="5" t="s">
        <v>103</v>
      </c>
      <c r="C31" s="102"/>
      <c r="D31" s="5"/>
      <c r="E31" s="5">
        <v>163</v>
      </c>
      <c r="F31" s="5">
        <v>1974</v>
      </c>
      <c r="G31" s="6">
        <f t="shared" si="14"/>
        <v>0</v>
      </c>
      <c r="H31" s="6">
        <f t="shared" si="18"/>
        <v>0</v>
      </c>
      <c r="I31" s="7">
        <f t="shared" si="16"/>
        <v>0</v>
      </c>
      <c r="J31" s="19">
        <f>I31*H31</f>
        <v>0</v>
      </c>
    </row>
    <row r="32" spans="1:13">
      <c r="A32" s="18"/>
      <c r="B32" s="5"/>
      <c r="C32" s="102"/>
      <c r="D32" s="5"/>
      <c r="E32" s="5"/>
      <c r="F32" s="5"/>
      <c r="G32" s="6"/>
      <c r="H32" s="6"/>
      <c r="I32" s="7"/>
      <c r="J32" s="19">
        <f t="shared" ref="J32:J35" si="19">I32*H32</f>
        <v>0</v>
      </c>
    </row>
    <row r="33" spans="1:13" ht="15.75" thickBot="1">
      <c r="A33" s="20"/>
      <c r="B33" s="21"/>
      <c r="C33" s="21">
        <f>SUM(C26:C32)</f>
        <v>14</v>
      </c>
      <c r="D33" s="21"/>
      <c r="E33" s="21"/>
      <c r="F33" s="21"/>
      <c r="G33" s="22"/>
      <c r="H33" s="22"/>
      <c r="I33" s="23"/>
      <c r="J33" s="24">
        <f>SUM(J26:J32)</f>
        <v>5126.5949980858904</v>
      </c>
    </row>
    <row r="34" spans="1:13" ht="15.75" thickBot="1">
      <c r="A34" s="69"/>
      <c r="B34" s="70"/>
      <c r="C34" s="70"/>
      <c r="D34" s="70"/>
      <c r="E34" s="70"/>
      <c r="F34" s="70"/>
      <c r="G34" s="74"/>
      <c r="H34" s="100" t="s">
        <v>66</v>
      </c>
      <c r="I34" s="101"/>
      <c r="J34" s="72">
        <f>J33-J35</f>
        <v>0</v>
      </c>
      <c r="K34" s="68">
        <f>J34*122</f>
        <v>0</v>
      </c>
      <c r="L34" s="68"/>
      <c r="M34" s="68">
        <f>L34-K34</f>
        <v>0</v>
      </c>
    </row>
    <row r="35" spans="1:13" ht="15.75" thickBot="1">
      <c r="A35" s="69"/>
      <c r="B35" s="70"/>
      <c r="C35" s="70"/>
      <c r="D35" s="70"/>
      <c r="E35" s="70"/>
      <c r="F35" s="70"/>
      <c r="G35" s="74"/>
      <c r="H35" s="100" t="s">
        <v>63</v>
      </c>
      <c r="I35" s="101"/>
      <c r="J35" s="72">
        <f>J26+J27+J28+J29+J30+J31</f>
        <v>5126.5949980858904</v>
      </c>
      <c r="K35" s="68">
        <f>J35*E26</f>
        <v>835634.98468800017</v>
      </c>
      <c r="L35" s="68">
        <f>(1589918+480155+1560-32810.4-24607.8-24607.8)*0.42</f>
        <v>835634.94</v>
      </c>
      <c r="M35" s="68">
        <f>L35-K35</f>
        <v>-4.4688000227324665E-2</v>
      </c>
    </row>
    <row r="36" spans="1:13">
      <c r="A36" s="13" t="s">
        <v>78</v>
      </c>
      <c r="B36" s="14" t="s">
        <v>49</v>
      </c>
      <c r="C36" s="14">
        <v>16.5</v>
      </c>
      <c r="D36" s="14">
        <f>9544-6000+600</f>
        <v>4144</v>
      </c>
      <c r="E36" s="14">
        <v>335</v>
      </c>
      <c r="F36" s="14">
        <v>1974</v>
      </c>
      <c r="G36" s="15">
        <f>C36*F36</f>
        <v>32571</v>
      </c>
      <c r="H36" s="15">
        <f>G36/E36</f>
        <v>97.226865671641789</v>
      </c>
      <c r="I36" s="16">
        <f>D36*12*1.302/1974</f>
        <v>32.799319148936171</v>
      </c>
      <c r="J36" s="17">
        <f>I36*H36</f>
        <v>3188.9749970149255</v>
      </c>
    </row>
    <row r="37" spans="1:13">
      <c r="A37" s="18"/>
      <c r="B37" s="5" t="s">
        <v>69</v>
      </c>
      <c r="C37" s="5">
        <v>4</v>
      </c>
      <c r="D37" s="5">
        <f>9544-6000</f>
        <v>3544</v>
      </c>
      <c r="E37" s="5">
        <v>335</v>
      </c>
      <c r="F37" s="5">
        <v>1974</v>
      </c>
      <c r="G37" s="6">
        <f t="shared" ref="G37:G41" si="20">C37*F37</f>
        <v>7896</v>
      </c>
      <c r="H37" s="6">
        <f t="shared" ref="H37:H38" si="21">G37/E37</f>
        <v>23.570149253731344</v>
      </c>
      <c r="I37" s="7">
        <f t="shared" ref="I37:I41" si="22">D37*12*1.302/1974</f>
        <v>28.050382978723405</v>
      </c>
      <c r="J37" s="19">
        <f t="shared" ref="J37:J40" si="23">I37*H37</f>
        <v>661.15171343283589</v>
      </c>
    </row>
    <row r="38" spans="1:13">
      <c r="A38" s="18"/>
      <c r="B38" s="5" t="s">
        <v>50</v>
      </c>
      <c r="C38" s="5">
        <v>3</v>
      </c>
      <c r="D38" s="5">
        <f>9544-5700+600</f>
        <v>4444</v>
      </c>
      <c r="E38" s="5">
        <v>335</v>
      </c>
      <c r="F38" s="5">
        <v>1974</v>
      </c>
      <c r="G38" s="6">
        <f t="shared" si="20"/>
        <v>5922</v>
      </c>
      <c r="H38" s="6">
        <f t="shared" si="21"/>
        <v>17.677611940298508</v>
      </c>
      <c r="I38" s="7">
        <f t="shared" si="22"/>
        <v>35.17378723404255</v>
      </c>
      <c r="J38" s="19">
        <f t="shared" si="23"/>
        <v>621.78856119402985</v>
      </c>
    </row>
    <row r="39" spans="1:13">
      <c r="A39" s="18"/>
      <c r="B39" s="5" t="s">
        <v>102</v>
      </c>
      <c r="C39" s="5">
        <v>2.5</v>
      </c>
      <c r="D39" s="5">
        <f>9544-5500+500</f>
        <v>4544</v>
      </c>
      <c r="E39" s="5">
        <v>335</v>
      </c>
      <c r="F39" s="5">
        <v>1974</v>
      </c>
      <c r="G39" s="6">
        <f t="shared" si="20"/>
        <v>4935</v>
      </c>
      <c r="H39" s="6">
        <f>G39/E39</f>
        <v>14.73134328358209</v>
      </c>
      <c r="I39" s="7">
        <f t="shared" si="22"/>
        <v>35.965276595744683</v>
      </c>
      <c r="J39" s="19">
        <f t="shared" si="23"/>
        <v>529.81683582089556</v>
      </c>
    </row>
    <row r="40" spans="1:13">
      <c r="A40" s="18"/>
      <c r="B40" s="5" t="s">
        <v>51</v>
      </c>
      <c r="C40" s="5">
        <v>5.25</v>
      </c>
      <c r="D40" s="5">
        <f>9544-6000+200</f>
        <v>3744</v>
      </c>
      <c r="E40" s="5">
        <v>335</v>
      </c>
      <c r="F40" s="5">
        <v>1974</v>
      </c>
      <c r="G40" s="6">
        <f t="shared" si="20"/>
        <v>10363.5</v>
      </c>
      <c r="H40" s="6">
        <f t="shared" ref="H40:H42" si="24">G40/E40</f>
        <v>30.935820895522387</v>
      </c>
      <c r="I40" s="7">
        <f t="shared" si="22"/>
        <v>29.633361702127662</v>
      </c>
      <c r="J40" s="19">
        <f t="shared" si="23"/>
        <v>916.73237014925371</v>
      </c>
    </row>
    <row r="41" spans="1:13">
      <c r="A41" s="18"/>
      <c r="B41" s="5" t="s">
        <v>103</v>
      </c>
      <c r="C41" s="102">
        <v>1</v>
      </c>
      <c r="D41" s="5">
        <f>9544-5000+596.73</f>
        <v>5140.7299999999996</v>
      </c>
      <c r="E41" s="5">
        <v>335</v>
      </c>
      <c r="F41" s="5">
        <v>1974</v>
      </c>
      <c r="G41" s="6">
        <f t="shared" si="20"/>
        <v>1974</v>
      </c>
      <c r="H41" s="6">
        <f t="shared" si="24"/>
        <v>5.892537313432836</v>
      </c>
      <c r="I41" s="7">
        <f t="shared" si="22"/>
        <v>40.688331063829786</v>
      </c>
      <c r="J41" s="19">
        <f>I41*H41</f>
        <v>239.75750901492538</v>
      </c>
    </row>
    <row r="42" spans="1:13">
      <c r="A42" s="18"/>
      <c r="B42" s="5"/>
      <c r="C42" s="102"/>
      <c r="D42" s="5"/>
      <c r="E42" s="5"/>
      <c r="F42" s="5"/>
      <c r="G42" s="6"/>
      <c r="H42" s="6"/>
      <c r="I42" s="7"/>
      <c r="J42" s="19">
        <f t="shared" ref="J42:J45" si="25">I42*H42</f>
        <v>0</v>
      </c>
    </row>
    <row r="43" spans="1:13" ht="15.75" thickBot="1">
      <c r="A43" s="20"/>
      <c r="B43" s="21"/>
      <c r="C43" s="21">
        <f>SUM(C36:C42)</f>
        <v>32.25</v>
      </c>
      <c r="D43" s="21"/>
      <c r="E43" s="21"/>
      <c r="F43" s="21"/>
      <c r="G43" s="22"/>
      <c r="H43" s="22"/>
      <c r="I43" s="23"/>
      <c r="J43" s="24">
        <f>SUM(J36:J42)</f>
        <v>6158.2219866268661</v>
      </c>
    </row>
    <row r="44" spans="1:13" ht="15.75" thickBot="1">
      <c r="A44" s="69"/>
      <c r="B44" s="70"/>
      <c r="C44" s="70"/>
      <c r="D44" s="70"/>
      <c r="E44" s="70"/>
      <c r="F44" s="70"/>
      <c r="G44" s="74"/>
      <c r="H44" s="100" t="s">
        <v>66</v>
      </c>
      <c r="I44" s="101"/>
      <c r="J44" s="72">
        <f>J43-J45</f>
        <v>0</v>
      </c>
      <c r="K44" s="68">
        <f>J44*122</f>
        <v>0</v>
      </c>
      <c r="L44" s="68"/>
      <c r="M44" s="68">
        <f>L44-K44</f>
        <v>0</v>
      </c>
    </row>
    <row r="45" spans="1:13" ht="15.75" thickBot="1">
      <c r="A45" s="69"/>
      <c r="B45" s="70"/>
      <c r="C45" s="70"/>
      <c r="D45" s="70"/>
      <c r="E45" s="70"/>
      <c r="F45" s="70"/>
      <c r="G45" s="74"/>
      <c r="H45" s="100" t="s">
        <v>63</v>
      </c>
      <c r="I45" s="101"/>
      <c r="J45" s="72">
        <f>J36+J37+J38+J39+J40+J41</f>
        <v>6158.2219866268661</v>
      </c>
      <c r="K45" s="68">
        <f>J45*E36</f>
        <v>2063004.3655200002</v>
      </c>
      <c r="L45" s="68">
        <f>(3748930+1132177+7800-75581.1-62339.8-62339.8)*0.44</f>
        <v>2063004.3720000004</v>
      </c>
      <c r="M45" s="68">
        <f>L45-K45</f>
        <v>6.480000214651227E-3</v>
      </c>
    </row>
    <row r="46" spans="1:13">
      <c r="A46" s="13" t="s">
        <v>79</v>
      </c>
      <c r="B46" s="14" t="s">
        <v>49</v>
      </c>
      <c r="C46" s="103">
        <v>22.5</v>
      </c>
      <c r="D46" s="16">
        <f>9544-6000+106.4166</f>
        <v>3650.4166</v>
      </c>
      <c r="E46" s="14">
        <v>390</v>
      </c>
      <c r="F46" s="14">
        <v>1974</v>
      </c>
      <c r="G46" s="15">
        <f>C46*F46</f>
        <v>44415</v>
      </c>
      <c r="H46" s="15">
        <f>G46/E46</f>
        <v>113.88461538461539</v>
      </c>
      <c r="I46" s="16">
        <f>D46*12*1.302/1974</f>
        <v>28.892659046808511</v>
      </c>
      <c r="J46" s="17">
        <f>I46*H46</f>
        <v>3290.4293629846156</v>
      </c>
    </row>
    <row r="47" spans="1:13">
      <c r="A47" s="18"/>
      <c r="B47" s="5" t="s">
        <v>69</v>
      </c>
      <c r="C47" s="5">
        <v>3</v>
      </c>
      <c r="D47" s="5">
        <f>9544-6000</f>
        <v>3544</v>
      </c>
      <c r="E47" s="5">
        <v>390</v>
      </c>
      <c r="F47" s="5">
        <v>1974</v>
      </c>
      <c r="G47" s="6">
        <f t="shared" ref="G47:G51" si="26">C47*F47</f>
        <v>5922</v>
      </c>
      <c r="H47" s="6">
        <f t="shared" ref="H47:H48" si="27">G47/E47</f>
        <v>15.184615384615384</v>
      </c>
      <c r="I47" s="7">
        <f t="shared" ref="I47:I51" si="28">D47*12*1.302/1974</f>
        <v>28.050382978723405</v>
      </c>
      <c r="J47" s="19">
        <f t="shared" ref="J47:J50" si="29">I47*H47</f>
        <v>425.93427692307694</v>
      </c>
    </row>
    <row r="48" spans="1:13">
      <c r="A48" s="18"/>
      <c r="B48" s="5" t="s">
        <v>50</v>
      </c>
      <c r="C48" s="5">
        <v>3</v>
      </c>
      <c r="D48" s="7">
        <f>9544-5700+88.866</f>
        <v>3932.866</v>
      </c>
      <c r="E48" s="5">
        <v>390</v>
      </c>
      <c r="F48" s="5">
        <v>1974</v>
      </c>
      <c r="G48" s="6">
        <f t="shared" si="26"/>
        <v>5922</v>
      </c>
      <c r="H48" s="6">
        <f t="shared" si="27"/>
        <v>15.184615384615384</v>
      </c>
      <c r="I48" s="7">
        <f t="shared" si="28"/>
        <v>31.128216000000002</v>
      </c>
      <c r="J48" s="19">
        <f t="shared" si="29"/>
        <v>472.66998756923078</v>
      </c>
    </row>
    <row r="49" spans="1:13">
      <c r="A49" s="18"/>
      <c r="B49" s="5" t="s">
        <v>102</v>
      </c>
      <c r="C49" s="5">
        <v>2</v>
      </c>
      <c r="D49" s="5">
        <f>9544-6000</f>
        <v>3544</v>
      </c>
      <c r="E49" s="5">
        <v>390</v>
      </c>
      <c r="F49" s="5">
        <v>1974</v>
      </c>
      <c r="G49" s="6">
        <f t="shared" si="26"/>
        <v>3948</v>
      </c>
      <c r="H49" s="6">
        <f>G49/E49</f>
        <v>10.123076923076923</v>
      </c>
      <c r="I49" s="7">
        <f t="shared" si="28"/>
        <v>28.050382978723405</v>
      </c>
      <c r="J49" s="19">
        <f t="shared" si="29"/>
        <v>283.95618461538459</v>
      </c>
    </row>
    <row r="50" spans="1:13">
      <c r="A50" s="18"/>
      <c r="B50" s="5" t="s">
        <v>51</v>
      </c>
      <c r="C50" s="5">
        <v>2</v>
      </c>
      <c r="D50" s="5">
        <f>9544-6000</f>
        <v>3544</v>
      </c>
      <c r="E50" s="5">
        <v>390</v>
      </c>
      <c r="F50" s="5">
        <v>1974</v>
      </c>
      <c r="G50" s="6">
        <f t="shared" si="26"/>
        <v>3948</v>
      </c>
      <c r="H50" s="6">
        <f t="shared" ref="H50:H52" si="30">G50/E50</f>
        <v>10.123076923076923</v>
      </c>
      <c r="I50" s="7">
        <f t="shared" si="28"/>
        <v>28.050382978723405</v>
      </c>
      <c r="J50" s="19">
        <f t="shared" si="29"/>
        <v>283.95618461538459</v>
      </c>
    </row>
    <row r="51" spans="1:13">
      <c r="A51" s="18"/>
      <c r="B51" s="5" t="s">
        <v>103</v>
      </c>
      <c r="C51" s="102"/>
      <c r="D51" s="5"/>
      <c r="E51" s="5">
        <v>390</v>
      </c>
      <c r="F51" s="5">
        <v>1974</v>
      </c>
      <c r="G51" s="6">
        <f t="shared" si="26"/>
        <v>0</v>
      </c>
      <c r="H51" s="6">
        <f t="shared" si="30"/>
        <v>0</v>
      </c>
      <c r="I51" s="7">
        <f t="shared" si="28"/>
        <v>0</v>
      </c>
      <c r="J51" s="19">
        <f>I51*H51</f>
        <v>0</v>
      </c>
    </row>
    <row r="52" spans="1:13">
      <c r="A52" s="18"/>
      <c r="B52" s="5"/>
      <c r="C52" s="102"/>
      <c r="D52" s="5"/>
      <c r="E52" s="5"/>
      <c r="F52" s="5"/>
      <c r="G52" s="6"/>
      <c r="H52" s="6"/>
      <c r="I52" s="7"/>
      <c r="J52" s="19">
        <f t="shared" ref="J52:J55" si="31">I52*H52</f>
        <v>0</v>
      </c>
    </row>
    <row r="53" spans="1:13" ht="15.75" thickBot="1">
      <c r="A53" s="20"/>
      <c r="B53" s="21"/>
      <c r="C53" s="21">
        <f>SUM(C46:C52)</f>
        <v>32.5</v>
      </c>
      <c r="D53" s="21"/>
      <c r="E53" s="21"/>
      <c r="F53" s="21"/>
      <c r="G53" s="22"/>
      <c r="H53" s="22"/>
      <c r="I53" s="23"/>
      <c r="J53" s="24">
        <f>SUM(J46:J52)</f>
        <v>4756.9459967076928</v>
      </c>
    </row>
    <row r="54" spans="1:13" ht="15.75" thickBot="1">
      <c r="A54" s="69"/>
      <c r="B54" s="70"/>
      <c r="C54" s="70"/>
      <c r="D54" s="70"/>
      <c r="E54" s="70"/>
      <c r="F54" s="70"/>
      <c r="G54" s="74"/>
      <c r="H54" s="100" t="s">
        <v>66</v>
      </c>
      <c r="I54" s="101"/>
      <c r="J54" s="72">
        <f>J53-J55</f>
        <v>0</v>
      </c>
      <c r="K54" s="68">
        <f>J54*122</f>
        <v>0</v>
      </c>
      <c r="L54" s="68"/>
      <c r="M54" s="68">
        <f>L54-K54</f>
        <v>0</v>
      </c>
    </row>
    <row r="55" spans="1:13" ht="15.75" thickBot="1">
      <c r="A55" s="69"/>
      <c r="B55" s="70"/>
      <c r="C55" s="70"/>
      <c r="D55" s="70"/>
      <c r="E55" s="70"/>
      <c r="F55" s="70"/>
      <c r="G55" s="74"/>
      <c r="H55" s="100" t="s">
        <v>63</v>
      </c>
      <c r="I55" s="101"/>
      <c r="J55" s="72">
        <f>J46+J47+J48+J49+J50+J51</f>
        <v>4756.9459967076928</v>
      </c>
      <c r="K55" s="68">
        <f>J55*E46</f>
        <v>1855208.9387160002</v>
      </c>
      <c r="L55" s="68">
        <f>(3221071+972763-80385.5-80385.5)*0.46</f>
        <v>1855208.98</v>
      </c>
      <c r="M55" s="68">
        <f>L55-K55</f>
        <v>4.1283999802544713E-2</v>
      </c>
    </row>
    <row r="56" spans="1:13">
      <c r="A56" s="13" t="s">
        <v>80</v>
      </c>
      <c r="B56" s="14" t="s">
        <v>49</v>
      </c>
      <c r="C56" s="14">
        <v>14</v>
      </c>
      <c r="D56" s="16">
        <f>9544-6000+1000+127.645</f>
        <v>4671.6450000000004</v>
      </c>
      <c r="E56" s="14">
        <v>265</v>
      </c>
      <c r="F56" s="14">
        <v>1974</v>
      </c>
      <c r="G56" s="15">
        <f>C56*F56</f>
        <v>27636</v>
      </c>
      <c r="H56" s="15">
        <f>G56/E56</f>
        <v>104.28679245283018</v>
      </c>
      <c r="I56" s="16">
        <f>D56*12*1.302/1974</f>
        <v>36.975573191489367</v>
      </c>
      <c r="J56" s="17">
        <f>I56*H56</f>
        <v>3856.0639272452836</v>
      </c>
    </row>
    <row r="57" spans="1:13">
      <c r="A57" s="18"/>
      <c r="B57" s="5" t="s">
        <v>69</v>
      </c>
      <c r="C57" s="5">
        <v>2</v>
      </c>
      <c r="D57" s="5">
        <f>9544-6000+400</f>
        <v>3944</v>
      </c>
      <c r="E57" s="5">
        <v>265</v>
      </c>
      <c r="F57" s="5">
        <v>1974</v>
      </c>
      <c r="G57" s="6">
        <f t="shared" ref="G57:G61" si="32">C57*F57</f>
        <v>3948</v>
      </c>
      <c r="H57" s="6">
        <f t="shared" ref="H57:H58" si="33">G57/E57</f>
        <v>14.898113207547169</v>
      </c>
      <c r="I57" s="7">
        <f t="shared" ref="I57:I61" si="34">D57*12*1.302/1974</f>
        <v>31.216340425531918</v>
      </c>
      <c r="J57" s="19">
        <f t="shared" ref="J57:J60" si="35">I57*H57</f>
        <v>465.0645735849057</v>
      </c>
    </row>
    <row r="58" spans="1:13">
      <c r="A58" s="18"/>
      <c r="B58" s="5" t="s">
        <v>50</v>
      </c>
      <c r="C58" s="5">
        <v>3</v>
      </c>
      <c r="D58" s="5">
        <f>9544-5700+900</f>
        <v>4744</v>
      </c>
      <c r="E58" s="5">
        <v>265</v>
      </c>
      <c r="F58" s="5">
        <v>1974</v>
      </c>
      <c r="G58" s="6">
        <f t="shared" si="32"/>
        <v>5922</v>
      </c>
      <c r="H58" s="6">
        <f t="shared" si="33"/>
        <v>22.347169811320754</v>
      </c>
      <c r="I58" s="7">
        <f t="shared" si="34"/>
        <v>37.548255319148943</v>
      </c>
      <c r="J58" s="19">
        <f t="shared" si="35"/>
        <v>839.09723773584915</v>
      </c>
    </row>
    <row r="59" spans="1:13">
      <c r="A59" s="18"/>
      <c r="B59" s="5" t="s">
        <v>102</v>
      </c>
      <c r="C59" s="5">
        <v>1</v>
      </c>
      <c r="D59" s="5">
        <f>9544-5500+800</f>
        <v>4844</v>
      </c>
      <c r="E59" s="5">
        <v>265</v>
      </c>
      <c r="F59" s="5">
        <v>1974</v>
      </c>
      <c r="G59" s="6">
        <f t="shared" si="32"/>
        <v>1974</v>
      </c>
      <c r="H59" s="6">
        <f>G59/E59</f>
        <v>7.4490566037735846</v>
      </c>
      <c r="I59" s="7">
        <f t="shared" si="34"/>
        <v>38.339744680851062</v>
      </c>
      <c r="J59" s="19">
        <f t="shared" si="35"/>
        <v>285.5949283018868</v>
      </c>
    </row>
    <row r="60" spans="1:13">
      <c r="A60" s="18"/>
      <c r="B60" s="5" t="s">
        <v>51</v>
      </c>
      <c r="C60" s="5">
        <v>1.5</v>
      </c>
      <c r="D60" s="5">
        <f>9544-6000+400</f>
        <v>3944</v>
      </c>
      <c r="E60" s="5">
        <v>265</v>
      </c>
      <c r="F60" s="5">
        <v>1974</v>
      </c>
      <c r="G60" s="6">
        <f t="shared" si="32"/>
        <v>2961</v>
      </c>
      <c r="H60" s="6">
        <f t="shared" ref="H60:H62" si="36">G60/E60</f>
        <v>11.173584905660377</v>
      </c>
      <c r="I60" s="7">
        <f t="shared" si="34"/>
        <v>31.216340425531918</v>
      </c>
      <c r="J60" s="19">
        <f t="shared" si="35"/>
        <v>348.79843018867928</v>
      </c>
    </row>
    <row r="61" spans="1:13">
      <c r="A61" s="18"/>
      <c r="B61" s="5" t="s">
        <v>103</v>
      </c>
      <c r="C61" s="102">
        <v>1</v>
      </c>
      <c r="D61" s="5">
        <f>9544-5000+700</f>
        <v>5244</v>
      </c>
      <c r="E61" s="5">
        <v>265</v>
      </c>
      <c r="F61" s="5">
        <v>1974</v>
      </c>
      <c r="G61" s="6">
        <f t="shared" si="32"/>
        <v>1974</v>
      </c>
      <c r="H61" s="6">
        <f t="shared" si="36"/>
        <v>7.4490566037735846</v>
      </c>
      <c r="I61" s="7">
        <f t="shared" si="34"/>
        <v>41.505702127659582</v>
      </c>
      <c r="J61" s="19">
        <f>I61*H61</f>
        <v>309.17832452830191</v>
      </c>
    </row>
    <row r="62" spans="1:13">
      <c r="A62" s="18"/>
      <c r="B62" s="5"/>
      <c r="C62" s="102"/>
      <c r="D62" s="5"/>
      <c r="E62" s="5"/>
      <c r="F62" s="5"/>
      <c r="G62" s="6"/>
      <c r="H62" s="6"/>
      <c r="I62" s="7"/>
      <c r="J62" s="19">
        <f t="shared" ref="J62:J65" si="37">I62*H62</f>
        <v>0</v>
      </c>
    </row>
    <row r="63" spans="1:13" ht="15.75" thickBot="1">
      <c r="A63" s="20"/>
      <c r="B63" s="21"/>
      <c r="C63" s="21">
        <f>SUM(C56:C62)</f>
        <v>22.5</v>
      </c>
      <c r="D63" s="21"/>
      <c r="E63" s="21"/>
      <c r="F63" s="21"/>
      <c r="G63" s="22"/>
      <c r="H63" s="22"/>
      <c r="I63" s="23"/>
      <c r="J63" s="24">
        <f>SUM(J56:J62)</f>
        <v>6103.7974215849072</v>
      </c>
    </row>
    <row r="64" spans="1:13" ht="15.75" thickBot="1">
      <c r="A64" s="69"/>
      <c r="B64" s="70"/>
      <c r="C64" s="70"/>
      <c r="D64" s="70"/>
      <c r="E64" s="70"/>
      <c r="F64" s="70"/>
      <c r="G64" s="74"/>
      <c r="H64" s="100" t="s">
        <v>66</v>
      </c>
      <c r="I64" s="101"/>
      <c r="J64" s="72">
        <f>J63-J65</f>
        <v>0</v>
      </c>
      <c r="K64" s="68">
        <f>J64*122</f>
        <v>0</v>
      </c>
      <c r="L64" s="68"/>
      <c r="M64" s="68">
        <f>L64-K64</f>
        <v>0</v>
      </c>
    </row>
    <row r="65" spans="1:13" ht="15.75" thickBot="1">
      <c r="A65" s="69"/>
      <c r="B65" s="70"/>
      <c r="C65" s="70"/>
      <c r="D65" s="70"/>
      <c r="E65" s="70"/>
      <c r="F65" s="70"/>
      <c r="G65" s="74"/>
      <c r="H65" s="100" t="s">
        <v>63</v>
      </c>
      <c r="I65" s="101"/>
      <c r="J65" s="72">
        <f>J56+J57+J58+J59+J60+J61</f>
        <v>6103.7974215849072</v>
      </c>
      <c r="K65" s="68">
        <f>J65*E56</f>
        <v>1617506.3167200005</v>
      </c>
      <c r="L65" s="68">
        <f>(2701883+815964+3120-52731-49215.6-49215.6)*0.48</f>
        <v>1617506.3039999998</v>
      </c>
      <c r="M65" s="68">
        <f>L65-K65</f>
        <v>-1.2720000697299838E-2</v>
      </c>
    </row>
    <row r="66" spans="1:13">
      <c r="A66" s="13" t="s">
        <v>81</v>
      </c>
      <c r="B66" s="14" t="s">
        <v>49</v>
      </c>
      <c r="C66" s="14">
        <v>16.75</v>
      </c>
      <c r="D66" s="16">
        <f>9544-6000+2.177</f>
        <v>3546.1770000000001</v>
      </c>
      <c r="E66" s="14">
        <v>354</v>
      </c>
      <c r="F66" s="14">
        <v>1974</v>
      </c>
      <c r="G66" s="15">
        <f>C66*F66</f>
        <v>33064.5</v>
      </c>
      <c r="H66" s="15">
        <f>G66/E66</f>
        <v>93.402542372881356</v>
      </c>
      <c r="I66" s="16">
        <f>D66*12*1.302/1974</f>
        <v>28.067613702127662</v>
      </c>
      <c r="J66" s="17">
        <f>I66*H66</f>
        <v>2621.5864781186442</v>
      </c>
    </row>
    <row r="67" spans="1:13">
      <c r="A67" s="18"/>
      <c r="B67" s="5" t="s">
        <v>69</v>
      </c>
      <c r="C67" s="5">
        <v>2</v>
      </c>
      <c r="D67" s="5">
        <f>9544-7000</f>
        <v>2544</v>
      </c>
      <c r="E67" s="5">
        <v>354</v>
      </c>
      <c r="F67" s="5">
        <v>1974</v>
      </c>
      <c r="G67" s="6">
        <f t="shared" ref="G67:G71" si="38">C67*F67</f>
        <v>3948</v>
      </c>
      <c r="H67" s="6">
        <f t="shared" ref="H67:H68" si="39">G67/E67</f>
        <v>11.152542372881356</v>
      </c>
      <c r="I67" s="7">
        <f t="shared" ref="I67:I71" si="40">D67*12*1.302/1974</f>
        <v>20.135489361702128</v>
      </c>
      <c r="J67" s="19">
        <f t="shared" ref="J67:J70" si="41">I67*H67</f>
        <v>224.56189830508475</v>
      </c>
    </row>
    <row r="68" spans="1:13">
      <c r="A68" s="18"/>
      <c r="B68" s="5" t="s">
        <v>50</v>
      </c>
      <c r="C68" s="5">
        <v>6</v>
      </c>
      <c r="D68" s="5">
        <f>9544-5700</f>
        <v>3844</v>
      </c>
      <c r="E68" s="5">
        <v>354</v>
      </c>
      <c r="F68" s="5">
        <v>1974</v>
      </c>
      <c r="G68" s="6">
        <f t="shared" si="38"/>
        <v>11844</v>
      </c>
      <c r="H68" s="6">
        <f t="shared" si="39"/>
        <v>33.457627118644069</v>
      </c>
      <c r="I68" s="7">
        <f t="shared" si="40"/>
        <v>30.424851063829788</v>
      </c>
      <c r="J68" s="19">
        <f t="shared" si="41"/>
        <v>1017.9433220338984</v>
      </c>
    </row>
    <row r="69" spans="1:13">
      <c r="A69" s="18"/>
      <c r="B69" s="5" t="s">
        <v>102</v>
      </c>
      <c r="C69" s="5">
        <v>3</v>
      </c>
      <c r="D69" s="5">
        <f>9544-6000+30</f>
        <v>3574</v>
      </c>
      <c r="E69" s="5">
        <v>354</v>
      </c>
      <c r="F69" s="5">
        <v>1974</v>
      </c>
      <c r="G69" s="6">
        <f t="shared" si="38"/>
        <v>5922</v>
      </c>
      <c r="H69" s="6">
        <f>G69/E69</f>
        <v>16.728813559322035</v>
      </c>
      <c r="I69" s="7">
        <f t="shared" si="40"/>
        <v>28.287829787234042</v>
      </c>
      <c r="J69" s="19">
        <f t="shared" si="41"/>
        <v>473.22183050847457</v>
      </c>
    </row>
    <row r="70" spans="1:13">
      <c r="A70" s="18"/>
      <c r="B70" s="5" t="s">
        <v>51</v>
      </c>
      <c r="C70" s="5">
        <v>6</v>
      </c>
      <c r="D70" s="5">
        <f>9544-6000-30</f>
        <v>3514</v>
      </c>
      <c r="E70" s="5">
        <v>354</v>
      </c>
      <c r="F70" s="5">
        <v>1974</v>
      </c>
      <c r="G70" s="6">
        <f t="shared" si="38"/>
        <v>11844</v>
      </c>
      <c r="H70" s="6">
        <f t="shared" ref="H70:H72" si="42">G70/E70</f>
        <v>33.457627118644069</v>
      </c>
      <c r="I70" s="7">
        <f t="shared" si="40"/>
        <v>27.812936170212769</v>
      </c>
      <c r="J70" s="19">
        <f t="shared" si="41"/>
        <v>930.55484745762726</v>
      </c>
    </row>
    <row r="71" spans="1:13">
      <c r="A71" s="18"/>
      <c r="B71" s="5" t="s">
        <v>103</v>
      </c>
      <c r="C71" s="102"/>
      <c r="D71" s="5"/>
      <c r="E71" s="5">
        <v>354</v>
      </c>
      <c r="F71" s="5">
        <v>1974</v>
      </c>
      <c r="G71" s="6">
        <f t="shared" si="38"/>
        <v>0</v>
      </c>
      <c r="H71" s="6">
        <f t="shared" si="42"/>
        <v>0</v>
      </c>
      <c r="I71" s="7">
        <f t="shared" si="40"/>
        <v>0</v>
      </c>
      <c r="J71" s="19">
        <f>I71*H71</f>
        <v>0</v>
      </c>
    </row>
    <row r="72" spans="1:13">
      <c r="A72" s="18"/>
      <c r="B72" s="5"/>
      <c r="C72" s="102"/>
      <c r="D72" s="5"/>
      <c r="E72" s="5"/>
      <c r="F72" s="5"/>
      <c r="G72" s="6"/>
      <c r="H72" s="6"/>
      <c r="I72" s="7"/>
      <c r="J72" s="19">
        <f t="shared" ref="J72:J75" si="43">I72*H72</f>
        <v>0</v>
      </c>
    </row>
    <row r="73" spans="1:13" ht="15.75" thickBot="1">
      <c r="A73" s="20"/>
      <c r="B73" s="21"/>
      <c r="C73" s="21">
        <f>SUM(C66:C72)</f>
        <v>33.75</v>
      </c>
      <c r="D73" s="21"/>
      <c r="E73" s="21"/>
      <c r="F73" s="21"/>
      <c r="G73" s="22"/>
      <c r="H73" s="22"/>
      <c r="I73" s="23"/>
      <c r="J73" s="24">
        <f>SUM(J66:J72)</f>
        <v>5267.8683764237294</v>
      </c>
    </row>
    <row r="74" spans="1:13" ht="15.75" thickBot="1">
      <c r="A74" s="69"/>
      <c r="B74" s="70"/>
      <c r="C74" s="70"/>
      <c r="D74" s="70"/>
      <c r="E74" s="70"/>
      <c r="F74" s="70"/>
      <c r="G74" s="74"/>
      <c r="H74" s="100" t="s">
        <v>66</v>
      </c>
      <c r="I74" s="101"/>
      <c r="J74" s="72">
        <f>J73-J75</f>
        <v>0</v>
      </c>
      <c r="K74" s="68">
        <f>J74*122</f>
        <v>0</v>
      </c>
      <c r="L74" s="68"/>
      <c r="M74" s="68">
        <f>L74-K74</f>
        <v>0</v>
      </c>
    </row>
    <row r="75" spans="1:13" ht="15.75" thickBot="1">
      <c r="A75" s="69"/>
      <c r="B75" s="70"/>
      <c r="C75" s="70"/>
      <c r="D75" s="70"/>
      <c r="E75" s="70"/>
      <c r="F75" s="70"/>
      <c r="G75" s="74"/>
      <c r="H75" s="100" t="s">
        <v>63</v>
      </c>
      <c r="I75" s="101"/>
      <c r="J75" s="72">
        <f>J66+J67+J68+J69+J70+J71</f>
        <v>5267.8683764237294</v>
      </c>
      <c r="K75" s="68">
        <f>J75*E66</f>
        <v>1864825.4052540001</v>
      </c>
      <c r="L75" s="68">
        <f>(3830400+1156781+3120-79096.5-64800.5-64800.5)*0.39</f>
        <v>1864825.365</v>
      </c>
      <c r="M75" s="68">
        <f>L75-K75</f>
        <v>-4.025400010868907E-2</v>
      </c>
    </row>
    <row r="76" spans="1:13">
      <c r="A76" s="13" t="s">
        <v>82</v>
      </c>
      <c r="B76" s="14" t="s">
        <v>49</v>
      </c>
      <c r="C76" s="14">
        <v>7.25</v>
      </c>
      <c r="D76" s="16">
        <f>9544-6000+624.91</f>
        <v>4168.91</v>
      </c>
      <c r="E76" s="14">
        <v>93</v>
      </c>
      <c r="F76" s="14">
        <v>1974</v>
      </c>
      <c r="G76" s="15">
        <f>C76*F76</f>
        <v>14311.5</v>
      </c>
      <c r="H76" s="15">
        <f>G76/E76</f>
        <v>153.88709677419354</v>
      </c>
      <c r="I76" s="16">
        <f>D76*12*1.302/1974</f>
        <v>32.996479148936167</v>
      </c>
      <c r="J76" s="17">
        <f>I76*H76</f>
        <v>5077.7323799999995</v>
      </c>
    </row>
    <row r="77" spans="1:13">
      <c r="A77" s="18"/>
      <c r="B77" s="5" t="s">
        <v>69</v>
      </c>
      <c r="C77" s="5">
        <v>2</v>
      </c>
      <c r="D77" s="5">
        <f>9544-6000</f>
        <v>3544</v>
      </c>
      <c r="E77" s="5">
        <v>93</v>
      </c>
      <c r="F77" s="5">
        <v>1974</v>
      </c>
      <c r="G77" s="6">
        <f t="shared" ref="G77:G81" si="44">C77*F77</f>
        <v>3948</v>
      </c>
      <c r="H77" s="6">
        <f t="shared" ref="H77:H78" si="45">G77/E77</f>
        <v>42.451612903225808</v>
      </c>
      <c r="I77" s="7">
        <f t="shared" ref="I77:I81" si="46">D77*12*1.302/1974</f>
        <v>28.050382978723405</v>
      </c>
      <c r="J77" s="19">
        <f t="shared" ref="J77:J80" si="47">I77*H77</f>
        <v>1190.7840000000001</v>
      </c>
    </row>
    <row r="78" spans="1:13">
      <c r="A78" s="18"/>
      <c r="B78" s="5" t="s">
        <v>50</v>
      </c>
      <c r="C78" s="5">
        <v>2.5</v>
      </c>
      <c r="D78" s="5">
        <f>9544-5700+500</f>
        <v>4344</v>
      </c>
      <c r="E78" s="5">
        <v>93</v>
      </c>
      <c r="F78" s="5">
        <v>1974</v>
      </c>
      <c r="G78" s="6">
        <f t="shared" si="44"/>
        <v>4935</v>
      </c>
      <c r="H78" s="6">
        <f t="shared" si="45"/>
        <v>53.064516129032256</v>
      </c>
      <c r="I78" s="7">
        <f t="shared" si="46"/>
        <v>34.382297872340423</v>
      </c>
      <c r="J78" s="19">
        <f t="shared" si="47"/>
        <v>1824.4799999999998</v>
      </c>
    </row>
    <row r="79" spans="1:13">
      <c r="A79" s="18"/>
      <c r="B79" s="5" t="s">
        <v>102</v>
      </c>
      <c r="C79" s="5">
        <v>1</v>
      </c>
      <c r="D79" s="5">
        <f>9544-5500</f>
        <v>4044</v>
      </c>
      <c r="E79" s="5">
        <v>93</v>
      </c>
      <c r="F79" s="5">
        <v>1974</v>
      </c>
      <c r="G79" s="6">
        <f t="shared" si="44"/>
        <v>1974</v>
      </c>
      <c r="H79" s="6">
        <f>G79/E79</f>
        <v>21.225806451612904</v>
      </c>
      <c r="I79" s="7">
        <f t="shared" si="46"/>
        <v>32.007829787234044</v>
      </c>
      <c r="J79" s="19">
        <f t="shared" si="47"/>
        <v>679.39200000000005</v>
      </c>
    </row>
    <row r="80" spans="1:13">
      <c r="A80" s="18"/>
      <c r="B80" s="5" t="s">
        <v>51</v>
      </c>
      <c r="C80" s="5">
        <v>1</v>
      </c>
      <c r="D80" s="5">
        <f>9544-6000</f>
        <v>3544</v>
      </c>
      <c r="E80" s="5">
        <v>93</v>
      </c>
      <c r="F80" s="5">
        <v>1974</v>
      </c>
      <c r="G80" s="6">
        <f t="shared" si="44"/>
        <v>1974</v>
      </c>
      <c r="H80" s="6">
        <f t="shared" ref="H80:H82" si="48">G80/E80</f>
        <v>21.225806451612904</v>
      </c>
      <c r="I80" s="7">
        <f t="shared" si="46"/>
        <v>28.050382978723405</v>
      </c>
      <c r="J80" s="19">
        <f t="shared" si="47"/>
        <v>595.39200000000005</v>
      </c>
    </row>
    <row r="81" spans="1:13">
      <c r="A81" s="18"/>
      <c r="B81" s="5" t="s">
        <v>103</v>
      </c>
      <c r="C81" s="102"/>
      <c r="D81" s="5"/>
      <c r="E81" s="5">
        <v>93</v>
      </c>
      <c r="F81" s="5">
        <v>1974</v>
      </c>
      <c r="G81" s="6">
        <f t="shared" si="44"/>
        <v>0</v>
      </c>
      <c r="H81" s="6">
        <f t="shared" si="48"/>
        <v>0</v>
      </c>
      <c r="I81" s="7">
        <f t="shared" si="46"/>
        <v>0</v>
      </c>
      <c r="J81" s="19">
        <f>I81*H81</f>
        <v>0</v>
      </c>
    </row>
    <row r="82" spans="1:13">
      <c r="A82" s="18"/>
      <c r="B82" s="5"/>
      <c r="C82" s="102"/>
      <c r="D82" s="5"/>
      <c r="E82" s="5"/>
      <c r="F82" s="5"/>
      <c r="G82" s="6"/>
      <c r="H82" s="6"/>
      <c r="I82" s="7"/>
      <c r="J82" s="19">
        <f t="shared" ref="J82:J85" si="49">I82*H82</f>
        <v>0</v>
      </c>
    </row>
    <row r="83" spans="1:13" ht="15.75" thickBot="1">
      <c r="A83" s="20"/>
      <c r="B83" s="21"/>
      <c r="C83" s="21">
        <f>SUM(C76:C82)</f>
        <v>13.75</v>
      </c>
      <c r="D83" s="21"/>
      <c r="E83" s="21"/>
      <c r="F83" s="21"/>
      <c r="G83" s="22"/>
      <c r="H83" s="22"/>
      <c r="I83" s="23"/>
      <c r="J83" s="24">
        <f>SUM(J76:J82)</f>
        <v>9367.7803799999983</v>
      </c>
    </row>
    <row r="84" spans="1:13" ht="15.75" thickBot="1">
      <c r="A84" s="69"/>
      <c r="B84" s="70"/>
      <c r="C84" s="70"/>
      <c r="D84" s="70"/>
      <c r="E84" s="70"/>
      <c r="F84" s="70"/>
      <c r="G84" s="74"/>
      <c r="H84" s="100" t="s">
        <v>66</v>
      </c>
      <c r="I84" s="101"/>
      <c r="J84" s="72">
        <f>J83-J85</f>
        <v>0</v>
      </c>
      <c r="K84" s="68">
        <f>J84*122</f>
        <v>0</v>
      </c>
      <c r="L84" s="68"/>
      <c r="M84" s="68">
        <f>L84-K84</f>
        <v>0</v>
      </c>
    </row>
    <row r="85" spans="1:13" ht="15.75" thickBot="1">
      <c r="A85" s="69"/>
      <c r="B85" s="70"/>
      <c r="C85" s="70"/>
      <c r="D85" s="70"/>
      <c r="E85" s="70"/>
      <c r="F85" s="70"/>
      <c r="G85" s="74"/>
      <c r="H85" s="100" t="s">
        <v>63</v>
      </c>
      <c r="I85" s="101"/>
      <c r="J85" s="72">
        <f>J76+J77+J78+J79+J80+J81</f>
        <v>9367.7803799999983</v>
      </c>
      <c r="K85" s="68">
        <f>J85*E76</f>
        <v>871203.57533999986</v>
      </c>
      <c r="L85" s="68">
        <f>(1674519+505705-27668.6-27668.6)*0.41</f>
        <v>871203.58799999987</v>
      </c>
      <c r="M85" s="68">
        <f>L85-K85</f>
        <v>1.2660000007599592E-2</v>
      </c>
    </row>
    <row r="86" spans="1:13">
      <c r="A86" s="13" t="s">
        <v>83</v>
      </c>
      <c r="B86" s="14" t="s">
        <v>49</v>
      </c>
      <c r="C86" s="14">
        <v>5.25</v>
      </c>
      <c r="D86" s="16">
        <f>9544-6000+1600+105.715</f>
        <v>5249.7150000000001</v>
      </c>
      <c r="E86" s="14">
        <v>106</v>
      </c>
      <c r="F86" s="14">
        <v>1974</v>
      </c>
      <c r="G86" s="15">
        <f>C86*F86</f>
        <v>10363.5</v>
      </c>
      <c r="H86" s="15">
        <f>G86/E86</f>
        <v>97.768867924528308</v>
      </c>
      <c r="I86" s="16">
        <f>D86*12*1.302/1974</f>
        <v>41.550935744680849</v>
      </c>
      <c r="J86" s="17">
        <f>I86*H86</f>
        <v>4062.3879489622641</v>
      </c>
    </row>
    <row r="87" spans="1:13">
      <c r="A87" s="18"/>
      <c r="B87" s="5" t="s">
        <v>69</v>
      </c>
      <c r="C87" s="5">
        <v>2</v>
      </c>
      <c r="D87" s="5">
        <f>9544-6000+1160</f>
        <v>4704</v>
      </c>
      <c r="E87" s="5">
        <v>106</v>
      </c>
      <c r="F87" s="5">
        <v>1974</v>
      </c>
      <c r="G87" s="6">
        <f t="shared" ref="G87:G91" si="50">C87*F87</f>
        <v>3948</v>
      </c>
      <c r="H87" s="6">
        <f t="shared" ref="H87:H88" si="51">G87/E87</f>
        <v>37.245283018867923</v>
      </c>
      <c r="I87" s="7">
        <f t="shared" ref="I87:I91" si="52">D87*12*1.302/1974</f>
        <v>37.23165957446809</v>
      </c>
      <c r="J87" s="19">
        <f t="shared" ref="J87:J90" si="53">I87*H87</f>
        <v>1386.7036981132076</v>
      </c>
    </row>
    <row r="88" spans="1:13">
      <c r="A88" s="18"/>
      <c r="B88" s="5" t="s">
        <v>50</v>
      </c>
      <c r="C88" s="5">
        <v>3</v>
      </c>
      <c r="D88" s="5">
        <f>9544-5700+1600</f>
        <v>5444</v>
      </c>
      <c r="E88" s="5">
        <v>106</v>
      </c>
      <c r="F88" s="5">
        <v>1974</v>
      </c>
      <c r="G88" s="6">
        <f t="shared" si="50"/>
        <v>5922</v>
      </c>
      <c r="H88" s="6">
        <f t="shared" si="51"/>
        <v>55.867924528301884</v>
      </c>
      <c r="I88" s="7">
        <f t="shared" si="52"/>
        <v>43.088680851063828</v>
      </c>
      <c r="J88" s="19">
        <f t="shared" si="53"/>
        <v>2407.2751698113207</v>
      </c>
    </row>
    <row r="89" spans="1:13">
      <c r="A89" s="18"/>
      <c r="B89" s="5" t="s">
        <v>102</v>
      </c>
      <c r="C89" s="5">
        <v>1</v>
      </c>
      <c r="D89" s="5">
        <f>9544-5500+1500</f>
        <v>5544</v>
      </c>
      <c r="E89" s="5">
        <v>106</v>
      </c>
      <c r="F89" s="5">
        <v>1974</v>
      </c>
      <c r="G89" s="6">
        <f t="shared" si="50"/>
        <v>1974</v>
      </c>
      <c r="H89" s="6">
        <f>G89/E89</f>
        <v>18.622641509433961</v>
      </c>
      <c r="I89" s="7">
        <f t="shared" si="52"/>
        <v>43.880170212765961</v>
      </c>
      <c r="J89" s="19">
        <f t="shared" si="53"/>
        <v>817.16467924528308</v>
      </c>
    </row>
    <row r="90" spans="1:13">
      <c r="A90" s="18"/>
      <c r="B90" s="5" t="s">
        <v>51</v>
      </c>
      <c r="C90" s="5">
        <v>1.5</v>
      </c>
      <c r="D90" s="5">
        <f>9544-6000+1150</f>
        <v>4694</v>
      </c>
      <c r="E90" s="5">
        <v>106</v>
      </c>
      <c r="F90" s="5">
        <v>1974</v>
      </c>
      <c r="G90" s="6">
        <f t="shared" si="50"/>
        <v>2961</v>
      </c>
      <c r="H90" s="6">
        <f t="shared" ref="H90:H92" si="54">G90/E90</f>
        <v>27.933962264150942</v>
      </c>
      <c r="I90" s="7">
        <f t="shared" si="52"/>
        <v>37.152510638297869</v>
      </c>
      <c r="J90" s="19">
        <f t="shared" si="53"/>
        <v>1037.8168301886792</v>
      </c>
    </row>
    <row r="91" spans="1:13">
      <c r="A91" s="18"/>
      <c r="B91" s="5" t="s">
        <v>103</v>
      </c>
      <c r="C91" s="102"/>
      <c r="D91" s="5"/>
      <c r="E91" s="5">
        <v>106</v>
      </c>
      <c r="F91" s="5">
        <v>1974</v>
      </c>
      <c r="G91" s="6">
        <f t="shared" si="50"/>
        <v>0</v>
      </c>
      <c r="H91" s="6">
        <f t="shared" si="54"/>
        <v>0</v>
      </c>
      <c r="I91" s="7">
        <f t="shared" si="52"/>
        <v>0</v>
      </c>
      <c r="J91" s="19">
        <f>I91*H91</f>
        <v>0</v>
      </c>
    </row>
    <row r="92" spans="1:13">
      <c r="A92" s="18"/>
      <c r="B92" s="5"/>
      <c r="C92" s="102"/>
      <c r="D92" s="5"/>
      <c r="E92" s="5"/>
      <c r="F92" s="5"/>
      <c r="G92" s="6"/>
      <c r="H92" s="6"/>
      <c r="I92" s="7"/>
      <c r="J92" s="19">
        <f t="shared" ref="J92:J95" si="55">I92*H92</f>
        <v>0</v>
      </c>
    </row>
    <row r="93" spans="1:13" ht="15.75" thickBot="1">
      <c r="A93" s="20"/>
      <c r="B93" s="21"/>
      <c r="C93" s="21">
        <f>SUM(C86:C92)</f>
        <v>12.75</v>
      </c>
      <c r="D93" s="21"/>
      <c r="E93" s="21"/>
      <c r="F93" s="21"/>
      <c r="G93" s="22"/>
      <c r="H93" s="22"/>
      <c r="I93" s="23"/>
      <c r="J93" s="24">
        <f>SUM(J86:J92)</f>
        <v>9711.3483263207563</v>
      </c>
    </row>
    <row r="94" spans="1:13" ht="15.75" thickBot="1">
      <c r="A94" s="69"/>
      <c r="B94" s="70"/>
      <c r="C94" s="70"/>
      <c r="D94" s="70"/>
      <c r="E94" s="70"/>
      <c r="F94" s="70"/>
      <c r="G94" s="74"/>
      <c r="H94" s="100" t="s">
        <v>66</v>
      </c>
      <c r="I94" s="101"/>
      <c r="J94" s="72">
        <f>J93-J95</f>
        <v>0</v>
      </c>
      <c r="K94" s="68">
        <f>J94*122</f>
        <v>0</v>
      </c>
      <c r="L94" s="68"/>
      <c r="M94" s="68">
        <f>L94-K94</f>
        <v>0</v>
      </c>
    </row>
    <row r="95" spans="1:13" ht="15.75" thickBot="1">
      <c r="A95" s="69"/>
      <c r="B95" s="70"/>
      <c r="C95" s="70"/>
      <c r="D95" s="70"/>
      <c r="E95" s="70"/>
      <c r="F95" s="70"/>
      <c r="G95" s="74"/>
      <c r="H95" s="100" t="s">
        <v>63</v>
      </c>
      <c r="I95" s="101"/>
      <c r="J95" s="72">
        <f>J86+J87+J88+J89+J90+J91</f>
        <v>9711.3483263207563</v>
      </c>
      <c r="K95" s="68">
        <f>J95*E86</f>
        <v>1029402.9225900002</v>
      </c>
      <c r="L95" s="68">
        <f>(1551946+468688-20506.5-20506.5)*0.52</f>
        <v>1029402.92</v>
      </c>
      <c r="M95" s="68">
        <f>L95-K95</f>
        <v>-2.5900001637637615E-3</v>
      </c>
    </row>
    <row r="97" spans="1:13" ht="18.75">
      <c r="A97" s="73" t="s">
        <v>85</v>
      </c>
    </row>
    <row r="98" spans="1:13" ht="117" customHeight="1">
      <c r="A98" s="4" t="s">
        <v>2</v>
      </c>
      <c r="B98" s="4" t="s">
        <v>4</v>
      </c>
      <c r="C98" s="4" t="s">
        <v>0</v>
      </c>
      <c r="D98" s="4" t="s">
        <v>13</v>
      </c>
      <c r="E98" s="4" t="s">
        <v>3</v>
      </c>
      <c r="F98" s="4" t="s">
        <v>1</v>
      </c>
      <c r="G98" s="4" t="s">
        <v>5</v>
      </c>
      <c r="H98" s="4" t="s">
        <v>7</v>
      </c>
      <c r="I98" s="4" t="s">
        <v>9</v>
      </c>
      <c r="J98" s="4" t="s">
        <v>11</v>
      </c>
      <c r="K98" s="2" t="s">
        <v>33</v>
      </c>
      <c r="L98" s="2" t="s">
        <v>34</v>
      </c>
      <c r="M98" s="2"/>
    </row>
    <row r="99" spans="1:13" ht="15.75" thickBot="1">
      <c r="A99" s="9">
        <v>1</v>
      </c>
      <c r="B99" s="10">
        <v>2</v>
      </c>
      <c r="C99" s="10">
        <v>3</v>
      </c>
      <c r="D99" s="10">
        <v>4</v>
      </c>
      <c r="E99" s="10">
        <v>5</v>
      </c>
      <c r="F99" s="10">
        <v>6</v>
      </c>
      <c r="G99" s="10" t="s">
        <v>6</v>
      </c>
      <c r="H99" s="9" t="s">
        <v>8</v>
      </c>
      <c r="I99" s="10" t="s">
        <v>10</v>
      </c>
      <c r="J99" s="10" t="s">
        <v>12</v>
      </c>
    </row>
    <row r="100" spans="1:13">
      <c r="A100" s="13" t="s">
        <v>71</v>
      </c>
      <c r="B100" s="14" t="s">
        <v>49</v>
      </c>
      <c r="C100" s="14">
        <v>5.75</v>
      </c>
      <c r="D100" s="14">
        <f>9544-6000+900</f>
        <v>4444</v>
      </c>
      <c r="E100" s="14">
        <v>211</v>
      </c>
      <c r="F100" s="14">
        <v>1974</v>
      </c>
      <c r="G100" s="15">
        <f>C100*F100</f>
        <v>11350.5</v>
      </c>
      <c r="H100" s="15">
        <f>G100/E100</f>
        <v>53.793838862559241</v>
      </c>
      <c r="I100" s="16">
        <f>D100*12*1.302/1974</f>
        <v>35.17378723404255</v>
      </c>
      <c r="J100" s="17">
        <f>I100*H100</f>
        <v>1892.1330426540283</v>
      </c>
    </row>
    <row r="101" spans="1:13">
      <c r="A101" s="18"/>
      <c r="B101" s="5" t="s">
        <v>69</v>
      </c>
      <c r="C101" s="5">
        <v>1.5</v>
      </c>
      <c r="D101" s="5">
        <f>9544-6000+500</f>
        <v>4044</v>
      </c>
      <c r="E101" s="5">
        <v>211</v>
      </c>
      <c r="F101" s="5">
        <v>1974</v>
      </c>
      <c r="G101" s="6">
        <f t="shared" ref="G101:G105" si="56">C101*F101</f>
        <v>2961</v>
      </c>
      <c r="H101" s="6">
        <f t="shared" ref="H101:H102" si="57">G101/E101</f>
        <v>14.033175355450236</v>
      </c>
      <c r="I101" s="7">
        <f t="shared" ref="I101:I105" si="58">D101*12*1.302/1974</f>
        <v>32.007829787234044</v>
      </c>
      <c r="J101" s="19">
        <f t="shared" ref="J101:J104" si="59">I101*H101</f>
        <v>449.17148815165876</v>
      </c>
    </row>
    <row r="102" spans="1:13">
      <c r="A102" s="18"/>
      <c r="B102" s="5" t="s">
        <v>50</v>
      </c>
      <c r="C102" s="5">
        <v>3</v>
      </c>
      <c r="D102" s="5">
        <f>9544-5700</f>
        <v>3844</v>
      </c>
      <c r="E102" s="5">
        <v>211</v>
      </c>
      <c r="F102" s="5">
        <v>1974</v>
      </c>
      <c r="G102" s="6">
        <f t="shared" si="56"/>
        <v>5922</v>
      </c>
      <c r="H102" s="6">
        <f t="shared" si="57"/>
        <v>28.066350710900473</v>
      </c>
      <c r="I102" s="7">
        <f t="shared" si="58"/>
        <v>30.424851063829788</v>
      </c>
      <c r="J102" s="19">
        <f t="shared" si="59"/>
        <v>853.91454028436021</v>
      </c>
    </row>
    <row r="103" spans="1:13">
      <c r="A103" s="18"/>
      <c r="B103" s="5" t="s">
        <v>102</v>
      </c>
      <c r="C103" s="5">
        <v>2</v>
      </c>
      <c r="D103" s="5">
        <f>9544-5500</f>
        <v>4044</v>
      </c>
      <c r="E103" s="5">
        <v>211</v>
      </c>
      <c r="F103" s="5">
        <v>1974</v>
      </c>
      <c r="G103" s="6">
        <f t="shared" si="56"/>
        <v>3948</v>
      </c>
      <c r="H103" s="6">
        <f>G103/E103</f>
        <v>18.710900473933648</v>
      </c>
      <c r="I103" s="7">
        <f t="shared" si="58"/>
        <v>32.007829787234044</v>
      </c>
      <c r="J103" s="19">
        <f t="shared" si="59"/>
        <v>598.89531753554502</v>
      </c>
    </row>
    <row r="104" spans="1:13">
      <c r="A104" s="18"/>
      <c r="B104" s="5" t="s">
        <v>51</v>
      </c>
      <c r="C104" s="5">
        <v>1</v>
      </c>
      <c r="D104" s="5">
        <f>9544-6000+500</f>
        <v>4044</v>
      </c>
      <c r="E104" s="5">
        <v>211</v>
      </c>
      <c r="F104" s="5">
        <v>1974</v>
      </c>
      <c r="G104" s="6">
        <f t="shared" si="56"/>
        <v>1974</v>
      </c>
      <c r="H104" s="6">
        <f t="shared" ref="H104:H105" si="60">G104/E104</f>
        <v>9.3554502369668242</v>
      </c>
      <c r="I104" s="7">
        <f t="shared" si="58"/>
        <v>32.007829787234044</v>
      </c>
      <c r="J104" s="19">
        <f t="shared" si="59"/>
        <v>299.44765876777251</v>
      </c>
    </row>
    <row r="105" spans="1:13">
      <c r="A105" s="18"/>
      <c r="B105" s="5" t="s">
        <v>103</v>
      </c>
      <c r="C105" s="102">
        <v>1</v>
      </c>
      <c r="D105" s="7">
        <f>9544-4000+68.585</f>
        <v>5612.585</v>
      </c>
      <c r="E105" s="5">
        <v>211</v>
      </c>
      <c r="F105" s="5">
        <v>1974</v>
      </c>
      <c r="G105" s="6">
        <f t="shared" si="56"/>
        <v>1974</v>
      </c>
      <c r="H105" s="6">
        <f t="shared" si="60"/>
        <v>9.3554502369668242</v>
      </c>
      <c r="I105" s="7">
        <f t="shared" si="58"/>
        <v>44.423013191489368</v>
      </c>
      <c r="J105" s="19">
        <f>I105*H105</f>
        <v>415.59728928909954</v>
      </c>
    </row>
    <row r="106" spans="1:13">
      <c r="A106" s="18"/>
      <c r="B106" s="5"/>
      <c r="C106" s="102"/>
      <c r="D106" s="5"/>
      <c r="E106" s="5"/>
      <c r="F106" s="5"/>
      <c r="G106" s="6"/>
      <c r="H106" s="6"/>
      <c r="I106" s="7"/>
      <c r="J106" s="19">
        <f t="shared" ref="J106:J109" si="61">I106*H106</f>
        <v>0</v>
      </c>
    </row>
    <row r="107" spans="1:13" ht="15.75" thickBot="1">
      <c r="A107" s="20"/>
      <c r="B107" s="21"/>
      <c r="C107" s="21">
        <f>SUM(C100:C106)</f>
        <v>14.25</v>
      </c>
      <c r="D107" s="21"/>
      <c r="E107" s="21"/>
      <c r="F107" s="21"/>
      <c r="G107" s="22"/>
      <c r="H107" s="22"/>
      <c r="I107" s="23"/>
      <c r="J107" s="24">
        <f>SUM(J100:J106)</f>
        <v>4509.1593366824645</v>
      </c>
    </row>
    <row r="108" spans="1:13" ht="15.75" thickBot="1">
      <c r="A108" s="69"/>
      <c r="B108" s="70"/>
      <c r="C108" s="70"/>
      <c r="D108" s="70"/>
      <c r="E108" s="70"/>
      <c r="F108" s="70"/>
      <c r="G108" s="74"/>
      <c r="H108" s="100" t="s">
        <v>66</v>
      </c>
      <c r="I108" s="101"/>
      <c r="J108" s="72">
        <f>J107-J109</f>
        <v>0</v>
      </c>
      <c r="K108" s="68">
        <f>J108*122</f>
        <v>0</v>
      </c>
      <c r="L108" s="68"/>
      <c r="M108" s="68">
        <f>L108-K108</f>
        <v>0</v>
      </c>
    </row>
    <row r="109" spans="1:13" ht="15.75" thickBot="1">
      <c r="A109" s="69"/>
      <c r="B109" s="70"/>
      <c r="C109" s="70"/>
      <c r="D109" s="70"/>
      <c r="E109" s="70"/>
      <c r="F109" s="70"/>
      <c r="G109" s="74"/>
      <c r="H109" s="100" t="s">
        <v>63</v>
      </c>
      <c r="I109" s="101"/>
      <c r="J109" s="72">
        <f>J100+J101+J102+J103+J104+J105</f>
        <v>4509.1593366824645</v>
      </c>
      <c r="K109" s="68">
        <f>J109*E100</f>
        <v>951432.62004000007</v>
      </c>
      <c r="L109" s="68">
        <f>(1625244+490824+3120-25428.1-25428.1)*0.46</f>
        <v>951432.62799999991</v>
      </c>
      <c r="M109" s="68">
        <f>L109-K109</f>
        <v>7.959999842569232E-3</v>
      </c>
    </row>
    <row r="110" spans="1:13">
      <c r="A110" s="13" t="s">
        <v>76</v>
      </c>
      <c r="B110" s="14" t="s">
        <v>49</v>
      </c>
      <c r="C110" s="14">
        <v>12</v>
      </c>
      <c r="D110" s="16">
        <f>9544-6000</f>
        <v>3544</v>
      </c>
      <c r="E110" s="14">
        <v>219</v>
      </c>
      <c r="F110" s="14">
        <v>1974</v>
      </c>
      <c r="G110" s="15">
        <f>C110*F110</f>
        <v>23688</v>
      </c>
      <c r="H110" s="15">
        <f>G110/E110</f>
        <v>108.16438356164383</v>
      </c>
      <c r="I110" s="16">
        <f>D110*12*1.302/1974</f>
        <v>28.050382978723405</v>
      </c>
      <c r="J110" s="17">
        <f>I110*H110</f>
        <v>3034.0523835616436</v>
      </c>
    </row>
    <row r="111" spans="1:13">
      <c r="A111" s="18"/>
      <c r="B111" s="5" t="s">
        <v>69</v>
      </c>
      <c r="C111" s="5">
        <v>4</v>
      </c>
      <c r="D111" s="5">
        <f>9544-6000</f>
        <v>3544</v>
      </c>
      <c r="E111" s="5">
        <v>219</v>
      </c>
      <c r="F111" s="5">
        <v>1974</v>
      </c>
      <c r="G111" s="6">
        <f t="shared" ref="G111:G115" si="62">C111*F111</f>
        <v>7896</v>
      </c>
      <c r="H111" s="6">
        <f t="shared" ref="H111:H112" si="63">G111/E111</f>
        <v>36.054794520547944</v>
      </c>
      <c r="I111" s="7">
        <f t="shared" ref="I111:I115" si="64">D111*12*1.302/1974</f>
        <v>28.050382978723405</v>
      </c>
      <c r="J111" s="19">
        <f t="shared" ref="J111:J114" si="65">I111*H111</f>
        <v>1011.350794520548</v>
      </c>
    </row>
    <row r="112" spans="1:13">
      <c r="A112" s="18"/>
      <c r="B112" s="5" t="s">
        <v>50</v>
      </c>
      <c r="C112" s="5">
        <v>6</v>
      </c>
      <c r="D112" s="7">
        <f>9544-6000+369.546</f>
        <v>3913.5459999999998</v>
      </c>
      <c r="E112" s="5">
        <v>219</v>
      </c>
      <c r="F112" s="5">
        <v>1974</v>
      </c>
      <c r="G112" s="6">
        <f t="shared" si="62"/>
        <v>11844</v>
      </c>
      <c r="H112" s="6">
        <f t="shared" si="63"/>
        <v>54.082191780821915</v>
      </c>
      <c r="I112" s="7">
        <f t="shared" si="64"/>
        <v>30.975300255319148</v>
      </c>
      <c r="J112" s="19">
        <f t="shared" si="65"/>
        <v>1675.2121288767121</v>
      </c>
    </row>
    <row r="113" spans="1:13">
      <c r="A113" s="18"/>
      <c r="B113" s="5" t="s">
        <v>102</v>
      </c>
      <c r="C113" s="5">
        <v>1</v>
      </c>
      <c r="D113" s="5">
        <f>9544-6000</f>
        <v>3544</v>
      </c>
      <c r="E113" s="5">
        <v>219</v>
      </c>
      <c r="F113" s="5">
        <v>1974</v>
      </c>
      <c r="G113" s="6">
        <f t="shared" si="62"/>
        <v>1974</v>
      </c>
      <c r="H113" s="6">
        <f>G113/E113</f>
        <v>9.0136986301369859</v>
      </c>
      <c r="I113" s="7">
        <f t="shared" si="64"/>
        <v>28.050382978723405</v>
      </c>
      <c r="J113" s="19">
        <f t="shared" si="65"/>
        <v>252.837698630137</v>
      </c>
    </row>
    <row r="114" spans="1:13">
      <c r="A114" s="18"/>
      <c r="B114" s="5" t="s">
        <v>51</v>
      </c>
      <c r="C114" s="5">
        <v>3</v>
      </c>
      <c r="D114" s="5">
        <f>9544-7000</f>
        <v>2544</v>
      </c>
      <c r="E114" s="5">
        <v>219</v>
      </c>
      <c r="F114" s="5">
        <v>1974</v>
      </c>
      <c r="G114" s="6">
        <f t="shared" si="62"/>
        <v>5922</v>
      </c>
      <c r="H114" s="6">
        <f t="shared" ref="H114:H116" si="66">G114/E114</f>
        <v>27.041095890410958</v>
      </c>
      <c r="I114" s="7">
        <f t="shared" si="64"/>
        <v>20.135489361702128</v>
      </c>
      <c r="J114" s="19">
        <f t="shared" si="65"/>
        <v>544.48569863013699</v>
      </c>
    </row>
    <row r="115" spans="1:13">
      <c r="A115" s="18"/>
      <c r="B115" s="5" t="s">
        <v>103</v>
      </c>
      <c r="C115" s="102"/>
      <c r="D115" s="5"/>
      <c r="E115" s="5">
        <v>219</v>
      </c>
      <c r="F115" s="5">
        <v>1974</v>
      </c>
      <c r="G115" s="6">
        <f t="shared" si="62"/>
        <v>0</v>
      </c>
      <c r="H115" s="6">
        <f t="shared" si="66"/>
        <v>0</v>
      </c>
      <c r="I115" s="7">
        <f t="shared" si="64"/>
        <v>0</v>
      </c>
      <c r="J115" s="19">
        <f>I115*H115</f>
        <v>0</v>
      </c>
    </row>
    <row r="116" spans="1:13">
      <c r="A116" s="18"/>
      <c r="B116" s="5"/>
      <c r="C116" s="102"/>
      <c r="D116" s="5"/>
      <c r="E116" s="5"/>
      <c r="F116" s="5"/>
      <c r="G116" s="6"/>
      <c r="H116" s="6"/>
      <c r="I116" s="7"/>
      <c r="J116" s="19">
        <f t="shared" ref="J116:J119" si="67">I116*H116</f>
        <v>0</v>
      </c>
    </row>
    <row r="117" spans="1:13" ht="15.75" thickBot="1">
      <c r="A117" s="20"/>
      <c r="B117" s="21"/>
      <c r="C117" s="21">
        <f>SUM(C110:C116)</f>
        <v>26</v>
      </c>
      <c r="D117" s="21"/>
      <c r="E117" s="21"/>
      <c r="F117" s="21"/>
      <c r="G117" s="22"/>
      <c r="H117" s="22"/>
      <c r="I117" s="23"/>
      <c r="J117" s="24">
        <f>SUM(J110:J116)</f>
        <v>6517.9387042191775</v>
      </c>
    </row>
    <row r="118" spans="1:13" ht="15.75" thickBot="1">
      <c r="A118" s="69"/>
      <c r="B118" s="70"/>
      <c r="C118" s="70"/>
      <c r="D118" s="70"/>
      <c r="E118" s="70"/>
      <c r="F118" s="70"/>
      <c r="G118" s="74"/>
      <c r="H118" s="100" t="s">
        <v>66</v>
      </c>
      <c r="I118" s="101"/>
      <c r="J118" s="72">
        <f>J117-J119</f>
        <v>0</v>
      </c>
      <c r="K118" s="68">
        <f>J118*122</f>
        <v>0</v>
      </c>
      <c r="L118" s="68"/>
      <c r="M118" s="68">
        <f>L118-K118</f>
        <v>0</v>
      </c>
    </row>
    <row r="119" spans="1:13" ht="15.75" thickBot="1">
      <c r="A119" s="69"/>
      <c r="B119" s="70"/>
      <c r="C119" s="70"/>
      <c r="D119" s="70"/>
      <c r="E119" s="70"/>
      <c r="F119" s="70"/>
      <c r="G119" s="74"/>
      <c r="H119" s="100" t="s">
        <v>63</v>
      </c>
      <c r="I119" s="101"/>
      <c r="J119" s="72">
        <f>J110+J111+J112+J113+J114+J115</f>
        <v>6517.9387042191775</v>
      </c>
      <c r="K119" s="68">
        <f>J119*E110</f>
        <v>1427428.576224</v>
      </c>
      <c r="L119" s="68">
        <f>(2853158+861654-60933.6-42653.5-42653.5)*0.4</f>
        <v>1427428.56</v>
      </c>
      <c r="M119" s="68">
        <f>L119-K119</f>
        <v>-1.6223999904468656E-2</v>
      </c>
    </row>
    <row r="120" spans="1:13">
      <c r="A120" s="13" t="s">
        <v>77</v>
      </c>
      <c r="B120" s="14" t="s">
        <v>49</v>
      </c>
      <c r="C120" s="14">
        <v>6</v>
      </c>
      <c r="D120" s="16">
        <f>9544-6000+872.012</f>
        <v>4416.0119999999997</v>
      </c>
      <c r="E120" s="14">
        <v>188</v>
      </c>
      <c r="F120" s="14">
        <v>1974</v>
      </c>
      <c r="G120" s="15">
        <f>C120*F120</f>
        <v>11844</v>
      </c>
      <c r="H120" s="15">
        <f>G120/E120</f>
        <v>63</v>
      </c>
      <c r="I120" s="16">
        <f>D120*12*1.302/1974</f>
        <v>34.95226519148936</v>
      </c>
      <c r="J120" s="17">
        <f>I120*H120</f>
        <v>2201.9927070638296</v>
      </c>
    </row>
    <row r="121" spans="1:13">
      <c r="A121" s="18"/>
      <c r="B121" s="5" t="s">
        <v>69</v>
      </c>
      <c r="C121" s="5">
        <v>1.5</v>
      </c>
      <c r="D121" s="5">
        <f>9544-6000+700</f>
        <v>4244</v>
      </c>
      <c r="E121" s="5">
        <v>188</v>
      </c>
      <c r="F121" s="5">
        <v>1974</v>
      </c>
      <c r="G121" s="6">
        <f t="shared" ref="G121:G125" si="68">C121*F121</f>
        <v>2961</v>
      </c>
      <c r="H121" s="6">
        <f t="shared" ref="H121:H122" si="69">G121/E121</f>
        <v>15.75</v>
      </c>
      <c r="I121" s="7">
        <f t="shared" ref="I121:I125" si="70">D121*12*1.302/1974</f>
        <v>33.590808510638304</v>
      </c>
      <c r="J121" s="19">
        <f t="shared" ref="J121:J124" si="71">I121*H121</f>
        <v>529.05523404255325</v>
      </c>
    </row>
    <row r="122" spans="1:13">
      <c r="A122" s="18"/>
      <c r="B122" s="5" t="s">
        <v>50</v>
      </c>
      <c r="C122" s="5">
        <v>3</v>
      </c>
      <c r="D122" s="5">
        <f>9544-5700+800</f>
        <v>4644</v>
      </c>
      <c r="E122" s="5">
        <v>188</v>
      </c>
      <c r="F122" s="5">
        <v>1974</v>
      </c>
      <c r="G122" s="6">
        <f t="shared" si="68"/>
        <v>5922</v>
      </c>
      <c r="H122" s="6">
        <f t="shared" si="69"/>
        <v>31.5</v>
      </c>
      <c r="I122" s="7">
        <f t="shared" si="70"/>
        <v>36.75676595744681</v>
      </c>
      <c r="J122" s="19">
        <f t="shared" si="71"/>
        <v>1157.8381276595744</v>
      </c>
    </row>
    <row r="123" spans="1:13">
      <c r="A123" s="18"/>
      <c r="B123" s="5" t="s">
        <v>102</v>
      </c>
      <c r="C123" s="5">
        <v>1.5</v>
      </c>
      <c r="D123" s="5">
        <f>9544-5500+700</f>
        <v>4744</v>
      </c>
      <c r="E123" s="5">
        <v>188</v>
      </c>
      <c r="F123" s="5">
        <v>1974</v>
      </c>
      <c r="G123" s="6">
        <f t="shared" si="68"/>
        <v>2961</v>
      </c>
      <c r="H123" s="6">
        <f>G123/E123</f>
        <v>15.75</v>
      </c>
      <c r="I123" s="7">
        <f t="shared" si="70"/>
        <v>37.548255319148943</v>
      </c>
      <c r="J123" s="19">
        <f t="shared" si="71"/>
        <v>591.38502127659581</v>
      </c>
    </row>
    <row r="124" spans="1:13">
      <c r="A124" s="18"/>
      <c r="B124" s="5" t="s">
        <v>51</v>
      </c>
      <c r="C124" s="5">
        <v>2</v>
      </c>
      <c r="D124" s="5">
        <f>9544-6000+700</f>
        <v>4244</v>
      </c>
      <c r="E124" s="5">
        <v>188</v>
      </c>
      <c r="F124" s="5">
        <v>1974</v>
      </c>
      <c r="G124" s="6">
        <f t="shared" si="68"/>
        <v>3948</v>
      </c>
      <c r="H124" s="6">
        <f t="shared" ref="H124:H126" si="72">G124/E124</f>
        <v>21</v>
      </c>
      <c r="I124" s="7">
        <f t="shared" si="70"/>
        <v>33.590808510638304</v>
      </c>
      <c r="J124" s="19">
        <f t="shared" si="71"/>
        <v>705.40697872340434</v>
      </c>
    </row>
    <row r="125" spans="1:13">
      <c r="A125" s="18"/>
      <c r="B125" s="5" t="s">
        <v>103</v>
      </c>
      <c r="C125" s="102"/>
      <c r="D125" s="5"/>
      <c r="E125" s="5">
        <v>188</v>
      </c>
      <c r="F125" s="5">
        <v>1974</v>
      </c>
      <c r="G125" s="6">
        <f t="shared" si="68"/>
        <v>0</v>
      </c>
      <c r="H125" s="6">
        <f t="shared" si="72"/>
        <v>0</v>
      </c>
      <c r="I125" s="7">
        <f t="shared" si="70"/>
        <v>0</v>
      </c>
      <c r="J125" s="19">
        <f>I125*H125</f>
        <v>0</v>
      </c>
    </row>
    <row r="126" spans="1:13">
      <c r="A126" s="18"/>
      <c r="B126" s="5"/>
      <c r="C126" s="102"/>
      <c r="D126" s="5"/>
      <c r="E126" s="5"/>
      <c r="F126" s="5"/>
      <c r="G126" s="6"/>
      <c r="H126" s="6"/>
      <c r="I126" s="7"/>
      <c r="J126" s="19">
        <f t="shared" ref="J126:J129" si="73">I126*H126</f>
        <v>0</v>
      </c>
    </row>
    <row r="127" spans="1:13" ht="15.75" thickBot="1">
      <c r="A127" s="20"/>
      <c r="B127" s="21"/>
      <c r="C127" s="21">
        <f>SUM(C120:C126)</f>
        <v>14</v>
      </c>
      <c r="D127" s="21"/>
      <c r="E127" s="21"/>
      <c r="F127" s="21"/>
      <c r="G127" s="22"/>
      <c r="H127" s="22"/>
      <c r="I127" s="23"/>
      <c r="J127" s="24">
        <f>SUM(J120:J126)</f>
        <v>5185.6780687659575</v>
      </c>
    </row>
    <row r="128" spans="1:13" ht="15.75" thickBot="1">
      <c r="A128" s="69"/>
      <c r="B128" s="70"/>
      <c r="C128" s="70"/>
      <c r="D128" s="70"/>
      <c r="E128" s="70"/>
      <c r="F128" s="70"/>
      <c r="G128" s="74"/>
      <c r="H128" s="100" t="s">
        <v>66</v>
      </c>
      <c r="I128" s="101"/>
      <c r="J128" s="72">
        <f>J127-J129</f>
        <v>0</v>
      </c>
      <c r="K128" s="68">
        <f>J128*122</f>
        <v>0</v>
      </c>
      <c r="L128" s="68"/>
      <c r="M128" s="68">
        <f>L128-K128</f>
        <v>0</v>
      </c>
    </row>
    <row r="129" spans="1:13" ht="15.75" thickBot="1">
      <c r="A129" s="69"/>
      <c r="B129" s="70"/>
      <c r="C129" s="70"/>
      <c r="D129" s="70"/>
      <c r="E129" s="70"/>
      <c r="F129" s="70"/>
      <c r="G129" s="74"/>
      <c r="H129" s="100" t="s">
        <v>63</v>
      </c>
      <c r="I129" s="101"/>
      <c r="J129" s="72">
        <f>J120+J121+J122+J123+J124+J125</f>
        <v>5185.6780687659575</v>
      </c>
      <c r="K129" s="68">
        <f>J129*E120</f>
        <v>974907.47692799999</v>
      </c>
      <c r="L129" s="68">
        <f>(1589918+480155+1560-32810.4-24607.8-24607.8)*0.49</f>
        <v>974907.42999999993</v>
      </c>
      <c r="M129" s="68">
        <f>L129-K129</f>
        <v>-4.6928000054322183E-2</v>
      </c>
    </row>
    <row r="130" spans="1:13">
      <c r="A130" s="13" t="s">
        <v>78</v>
      </c>
      <c r="B130" s="14" t="s">
        <v>49</v>
      </c>
      <c r="C130" s="14">
        <v>16.5</v>
      </c>
      <c r="D130" s="16">
        <f>9544-6000+954.5716</f>
        <v>4498.5716000000002</v>
      </c>
      <c r="E130" s="14">
        <v>370</v>
      </c>
      <c r="F130" s="14">
        <v>1974</v>
      </c>
      <c r="G130" s="15">
        <f>C130*F130</f>
        <v>32571</v>
      </c>
      <c r="H130" s="15">
        <f>G130/E130</f>
        <v>88.029729729729723</v>
      </c>
      <c r="I130" s="16">
        <f>D130*12*1.302/1974</f>
        <v>35.6057156425532</v>
      </c>
      <c r="J130" s="17">
        <f>I130*H130</f>
        <v>3134.361524847568</v>
      </c>
    </row>
    <row r="131" spans="1:13">
      <c r="A131" s="18"/>
      <c r="B131" s="5" t="s">
        <v>69</v>
      </c>
      <c r="C131" s="5">
        <v>4</v>
      </c>
      <c r="D131" s="5">
        <f>9544-6000+600</f>
        <v>4144</v>
      </c>
      <c r="E131" s="5">
        <v>370</v>
      </c>
      <c r="F131" s="5">
        <v>1974</v>
      </c>
      <c r="G131" s="6">
        <f t="shared" ref="G131:G135" si="74">C131*F131</f>
        <v>7896</v>
      </c>
      <c r="H131" s="6">
        <f t="shared" ref="H131:H132" si="75">G131/E131</f>
        <v>21.340540540540541</v>
      </c>
      <c r="I131" s="7">
        <f t="shared" ref="I131:I135" si="76">D131*12*1.302/1974</f>
        <v>32.799319148936171</v>
      </c>
      <c r="J131" s="19">
        <f t="shared" ref="J131:J134" si="77">I131*H131</f>
        <v>699.95519999999999</v>
      </c>
    </row>
    <row r="132" spans="1:13">
      <c r="A132" s="18"/>
      <c r="B132" s="5" t="s">
        <v>50</v>
      </c>
      <c r="C132" s="5">
        <v>3</v>
      </c>
      <c r="D132" s="5">
        <f>9544-5700+800</f>
        <v>4644</v>
      </c>
      <c r="E132" s="5">
        <v>370</v>
      </c>
      <c r="F132" s="5">
        <v>1974</v>
      </c>
      <c r="G132" s="6">
        <f t="shared" si="74"/>
        <v>5922</v>
      </c>
      <c r="H132" s="6">
        <f t="shared" si="75"/>
        <v>16.005405405405405</v>
      </c>
      <c r="I132" s="7">
        <f t="shared" si="76"/>
        <v>36.75676595744681</v>
      </c>
      <c r="J132" s="19">
        <f t="shared" si="77"/>
        <v>588.3069405405405</v>
      </c>
    </row>
    <row r="133" spans="1:13">
      <c r="A133" s="18"/>
      <c r="B133" s="5" t="s">
        <v>102</v>
      </c>
      <c r="C133" s="5">
        <v>2.5</v>
      </c>
      <c r="D133" s="5">
        <f>9544-5500+600</f>
        <v>4644</v>
      </c>
      <c r="E133" s="5">
        <v>370</v>
      </c>
      <c r="F133" s="5">
        <v>1974</v>
      </c>
      <c r="G133" s="6">
        <f t="shared" si="74"/>
        <v>4935</v>
      </c>
      <c r="H133" s="6">
        <f>G133/E133</f>
        <v>13.337837837837839</v>
      </c>
      <c r="I133" s="7">
        <f t="shared" si="76"/>
        <v>36.75676595744681</v>
      </c>
      <c r="J133" s="19">
        <f t="shared" si="77"/>
        <v>490.25578378378384</v>
      </c>
    </row>
    <row r="134" spans="1:13">
      <c r="A134" s="18"/>
      <c r="B134" s="5" t="s">
        <v>51</v>
      </c>
      <c r="C134" s="5">
        <v>5.25</v>
      </c>
      <c r="D134" s="5">
        <f>9544-6000+600</f>
        <v>4144</v>
      </c>
      <c r="E134" s="5">
        <v>370</v>
      </c>
      <c r="F134" s="5">
        <v>1974</v>
      </c>
      <c r="G134" s="6">
        <f t="shared" si="74"/>
        <v>10363.5</v>
      </c>
      <c r="H134" s="6">
        <f t="shared" ref="H134:H136" si="78">G134/E134</f>
        <v>28.00945945945946</v>
      </c>
      <c r="I134" s="7">
        <f t="shared" si="76"/>
        <v>32.799319148936171</v>
      </c>
      <c r="J134" s="19">
        <f t="shared" si="77"/>
        <v>918.69120000000009</v>
      </c>
    </row>
    <row r="135" spans="1:13">
      <c r="A135" s="18"/>
      <c r="B135" s="5" t="s">
        <v>103</v>
      </c>
      <c r="C135" s="102">
        <v>1</v>
      </c>
      <c r="D135" s="5">
        <f>9544-5000+1400</f>
        <v>5944</v>
      </c>
      <c r="E135" s="5">
        <v>370</v>
      </c>
      <c r="F135" s="5">
        <v>1974</v>
      </c>
      <c r="G135" s="6">
        <f t="shared" si="74"/>
        <v>1974</v>
      </c>
      <c r="H135" s="6">
        <f t="shared" si="78"/>
        <v>5.3351351351351353</v>
      </c>
      <c r="I135" s="7">
        <f t="shared" si="76"/>
        <v>47.046127659574466</v>
      </c>
      <c r="J135" s="19">
        <f>I135*H135</f>
        <v>250.99744864864866</v>
      </c>
    </row>
    <row r="136" spans="1:13">
      <c r="A136" s="18"/>
      <c r="B136" s="5"/>
      <c r="C136" s="102"/>
      <c r="D136" s="5"/>
      <c r="E136" s="5"/>
      <c r="F136" s="5"/>
      <c r="G136" s="6"/>
      <c r="H136" s="6"/>
      <c r="I136" s="7"/>
      <c r="J136" s="19">
        <f t="shared" ref="J136:J139" si="79">I136*H136</f>
        <v>0</v>
      </c>
    </row>
    <row r="137" spans="1:13" ht="15.75" thickBot="1">
      <c r="A137" s="20"/>
      <c r="B137" s="21"/>
      <c r="C137" s="21">
        <f>SUM(C130:C136)</f>
        <v>32.25</v>
      </c>
      <c r="D137" s="21"/>
      <c r="E137" s="21"/>
      <c r="F137" s="21"/>
      <c r="G137" s="22"/>
      <c r="H137" s="22"/>
      <c r="I137" s="23"/>
      <c r="J137" s="24">
        <f>SUM(J130:J136)</f>
        <v>6082.5680978205419</v>
      </c>
    </row>
    <row r="138" spans="1:13" ht="15.75" thickBot="1">
      <c r="A138" s="69"/>
      <c r="B138" s="70"/>
      <c r="C138" s="70"/>
      <c r="D138" s="70"/>
      <c r="E138" s="70"/>
      <c r="F138" s="70"/>
      <c r="G138" s="74"/>
      <c r="H138" s="100" t="s">
        <v>66</v>
      </c>
      <c r="I138" s="101"/>
      <c r="J138" s="72">
        <f>J137-J139</f>
        <v>0</v>
      </c>
      <c r="K138" s="68">
        <f>J138*122</f>
        <v>0</v>
      </c>
      <c r="L138" s="68"/>
      <c r="M138" s="68">
        <f>L138-K138</f>
        <v>0</v>
      </c>
    </row>
    <row r="139" spans="1:13" ht="15.75" thickBot="1">
      <c r="A139" s="69"/>
      <c r="B139" s="70"/>
      <c r="C139" s="70"/>
      <c r="D139" s="70"/>
      <c r="E139" s="70"/>
      <c r="F139" s="70"/>
      <c r="G139" s="74"/>
      <c r="H139" s="100" t="s">
        <v>63</v>
      </c>
      <c r="I139" s="101"/>
      <c r="J139" s="72">
        <f>J130+J131+J132+J133+J134+J135</f>
        <v>6082.5680978205419</v>
      </c>
      <c r="K139" s="68">
        <f>J139*E130</f>
        <v>2250550.1961936005</v>
      </c>
      <c r="L139" s="68">
        <f>(3748930+1132177+7800-75581.1-62339.8-62339.8)*0.48</f>
        <v>2250550.2240000004</v>
      </c>
      <c r="M139" s="68">
        <f>L139-K139</f>
        <v>2.780639985576272E-2</v>
      </c>
    </row>
    <row r="140" spans="1:13">
      <c r="A140" s="13" t="s">
        <v>79</v>
      </c>
      <c r="B140" s="14" t="s">
        <v>49</v>
      </c>
      <c r="C140" s="103">
        <v>22.5</v>
      </c>
      <c r="D140" s="16">
        <f>9544-6000-150+35.2</f>
        <v>3429.2</v>
      </c>
      <c r="E140" s="14">
        <v>370</v>
      </c>
      <c r="F140" s="14">
        <v>1974</v>
      </c>
      <c r="G140" s="15">
        <f>C140*F140</f>
        <v>44415</v>
      </c>
      <c r="H140" s="15">
        <f>G140/E140</f>
        <v>120.04054054054055</v>
      </c>
      <c r="I140" s="16">
        <f>D140*12*1.302/1974</f>
        <v>27.141753191489357</v>
      </c>
      <c r="J140" s="17">
        <f>I140*H140</f>
        <v>3258.1107243243241</v>
      </c>
    </row>
    <row r="141" spans="1:13">
      <c r="A141" s="18"/>
      <c r="B141" s="5" t="s">
        <v>69</v>
      </c>
      <c r="C141" s="5">
        <v>3</v>
      </c>
      <c r="D141" s="5">
        <f>9544-6000-300</f>
        <v>3244</v>
      </c>
      <c r="E141" s="5">
        <v>370</v>
      </c>
      <c r="F141" s="5">
        <v>1974</v>
      </c>
      <c r="G141" s="6">
        <f t="shared" ref="G141:G145" si="80">C141*F141</f>
        <v>5922</v>
      </c>
      <c r="H141" s="6">
        <f t="shared" ref="H141:H142" si="81">G141/E141</f>
        <v>16.005405405405405</v>
      </c>
      <c r="I141" s="7">
        <f t="shared" ref="I141:I145" si="82">D141*12*1.302/1974</f>
        <v>25.675914893617023</v>
      </c>
      <c r="J141" s="19">
        <f t="shared" ref="J141:J144" si="83">I141*H141</f>
        <v>410.95342702702703</v>
      </c>
    </row>
    <row r="142" spans="1:13">
      <c r="A142" s="18"/>
      <c r="B142" s="5" t="s">
        <v>50</v>
      </c>
      <c r="C142" s="5">
        <v>3</v>
      </c>
      <c r="D142" s="5">
        <f>9544-5700-200</f>
        <v>3644</v>
      </c>
      <c r="E142" s="5">
        <v>370</v>
      </c>
      <c r="F142" s="5">
        <v>1974</v>
      </c>
      <c r="G142" s="6">
        <f t="shared" si="80"/>
        <v>5922</v>
      </c>
      <c r="H142" s="6">
        <f t="shared" si="81"/>
        <v>16.005405405405405</v>
      </c>
      <c r="I142" s="7">
        <f t="shared" si="82"/>
        <v>28.841872340425532</v>
      </c>
      <c r="J142" s="19">
        <f t="shared" si="83"/>
        <v>461.62585945945943</v>
      </c>
    </row>
    <row r="143" spans="1:13">
      <c r="A143" s="18"/>
      <c r="B143" s="5" t="s">
        <v>102</v>
      </c>
      <c r="C143" s="5">
        <v>2</v>
      </c>
      <c r="D143" s="5">
        <f>9544-6000-200</f>
        <v>3344</v>
      </c>
      <c r="E143" s="5">
        <v>370</v>
      </c>
      <c r="F143" s="5">
        <v>1974</v>
      </c>
      <c r="G143" s="6">
        <f t="shared" si="80"/>
        <v>3948</v>
      </c>
      <c r="H143" s="6">
        <f>G143/E143</f>
        <v>10.670270270270271</v>
      </c>
      <c r="I143" s="7">
        <f t="shared" si="82"/>
        <v>26.467404255319149</v>
      </c>
      <c r="J143" s="19">
        <f t="shared" si="83"/>
        <v>282.41435675675677</v>
      </c>
    </row>
    <row r="144" spans="1:13">
      <c r="A144" s="18"/>
      <c r="B144" s="5" t="s">
        <v>51</v>
      </c>
      <c r="C144" s="5">
        <v>2</v>
      </c>
      <c r="D144" s="5">
        <f>9544-6000-300</f>
        <v>3244</v>
      </c>
      <c r="E144" s="5">
        <v>370</v>
      </c>
      <c r="F144" s="5">
        <v>1974</v>
      </c>
      <c r="G144" s="6">
        <f t="shared" si="80"/>
        <v>3948</v>
      </c>
      <c r="H144" s="6">
        <f t="shared" ref="H144:H146" si="84">G144/E144</f>
        <v>10.670270270270271</v>
      </c>
      <c r="I144" s="7">
        <f t="shared" si="82"/>
        <v>25.675914893617023</v>
      </c>
      <c r="J144" s="19">
        <f t="shared" si="83"/>
        <v>273.96895135135139</v>
      </c>
    </row>
    <row r="145" spans="1:13">
      <c r="A145" s="18"/>
      <c r="B145" s="5" t="s">
        <v>103</v>
      </c>
      <c r="C145" s="102"/>
      <c r="D145" s="5"/>
      <c r="E145" s="5">
        <v>370</v>
      </c>
      <c r="F145" s="5">
        <v>1974</v>
      </c>
      <c r="G145" s="6">
        <f t="shared" si="80"/>
        <v>0</v>
      </c>
      <c r="H145" s="6">
        <f t="shared" si="84"/>
        <v>0</v>
      </c>
      <c r="I145" s="7">
        <f t="shared" si="82"/>
        <v>0</v>
      </c>
      <c r="J145" s="19">
        <f>I145*H145</f>
        <v>0</v>
      </c>
    </row>
    <row r="146" spans="1:13">
      <c r="A146" s="18"/>
      <c r="B146" s="5"/>
      <c r="C146" s="102"/>
      <c r="D146" s="5"/>
      <c r="E146" s="5"/>
      <c r="F146" s="5"/>
      <c r="G146" s="6"/>
      <c r="H146" s="6"/>
      <c r="I146" s="7"/>
      <c r="J146" s="19">
        <f t="shared" ref="J146:J149" si="85">I146*H146</f>
        <v>0</v>
      </c>
    </row>
    <row r="147" spans="1:13" ht="15.75" thickBot="1">
      <c r="A147" s="20"/>
      <c r="B147" s="21"/>
      <c r="C147" s="21">
        <f>SUM(C140:C146)</f>
        <v>32.5</v>
      </c>
      <c r="D147" s="21"/>
      <c r="E147" s="21"/>
      <c r="F147" s="21"/>
      <c r="G147" s="22"/>
      <c r="H147" s="22"/>
      <c r="I147" s="23"/>
      <c r="J147" s="24">
        <f>SUM(J140:J146)</f>
        <v>4687.0733189189186</v>
      </c>
    </row>
    <row r="148" spans="1:13" ht="15.75" thickBot="1">
      <c r="A148" s="69"/>
      <c r="B148" s="70"/>
      <c r="C148" s="70"/>
      <c r="D148" s="70"/>
      <c r="E148" s="70"/>
      <c r="F148" s="70"/>
      <c r="G148" s="74"/>
      <c r="H148" s="100" t="s">
        <v>66</v>
      </c>
      <c r="I148" s="101"/>
      <c r="J148" s="72">
        <f>J147-J149</f>
        <v>0</v>
      </c>
      <c r="K148" s="68">
        <f>J148*122</f>
        <v>0</v>
      </c>
      <c r="L148" s="68"/>
      <c r="M148" s="68">
        <f>L148-K148</f>
        <v>0</v>
      </c>
    </row>
    <row r="149" spans="1:13" ht="15.75" thickBot="1">
      <c r="A149" s="69"/>
      <c r="B149" s="70"/>
      <c r="C149" s="70"/>
      <c r="D149" s="70"/>
      <c r="E149" s="70"/>
      <c r="F149" s="70"/>
      <c r="G149" s="74"/>
      <c r="H149" s="100" t="s">
        <v>63</v>
      </c>
      <c r="I149" s="101"/>
      <c r="J149" s="72">
        <f>J140+J141+J142+J143+J144+J145</f>
        <v>4687.0733189189186</v>
      </c>
      <c r="K149" s="68">
        <f>J149*E140</f>
        <v>1734217.1279999998</v>
      </c>
      <c r="L149" s="68">
        <f>(3221071+972763-80385.5-80385.5)*0.43</f>
        <v>1734217.09</v>
      </c>
      <c r="M149" s="68">
        <f>L149-K149</f>
        <v>-3.7999999709427357E-2</v>
      </c>
    </row>
    <row r="150" spans="1:13">
      <c r="A150" s="13" t="s">
        <v>80</v>
      </c>
      <c r="B150" s="14" t="s">
        <v>49</v>
      </c>
      <c r="C150" s="14">
        <v>14</v>
      </c>
      <c r="D150" s="16">
        <f>9544-6000+789.984</f>
        <v>4333.9840000000004</v>
      </c>
      <c r="E150" s="14">
        <v>244</v>
      </c>
      <c r="F150" s="14">
        <v>1974</v>
      </c>
      <c r="G150" s="15">
        <f>C150*F150</f>
        <v>27636</v>
      </c>
      <c r="H150" s="15">
        <f>G150/E150</f>
        <v>113.26229508196721</v>
      </c>
      <c r="I150" s="16">
        <f>D150*12*1.302/1974</f>
        <v>34.303022297872339</v>
      </c>
      <c r="J150" s="17">
        <f>I150*H150</f>
        <v>3885.2390337049178</v>
      </c>
    </row>
    <row r="151" spans="1:13">
      <c r="A151" s="18"/>
      <c r="B151" s="5" t="s">
        <v>69</v>
      </c>
      <c r="C151" s="5">
        <v>2</v>
      </c>
      <c r="D151" s="5">
        <f>9544-6000</f>
        <v>3544</v>
      </c>
      <c r="E151" s="5">
        <v>244</v>
      </c>
      <c r="F151" s="5">
        <v>1974</v>
      </c>
      <c r="G151" s="6">
        <f t="shared" ref="G151:G155" si="86">C151*F151</f>
        <v>3948</v>
      </c>
      <c r="H151" s="6">
        <f t="shared" ref="H151:H152" si="87">G151/E151</f>
        <v>16.180327868852459</v>
      </c>
      <c r="I151" s="7">
        <f t="shared" ref="I151:I155" si="88">D151*12*1.302/1974</f>
        <v>28.050382978723405</v>
      </c>
      <c r="J151" s="19">
        <f t="shared" ref="J151:J154" si="89">I151*H151</f>
        <v>453.86439344262294</v>
      </c>
    </row>
    <row r="152" spans="1:13">
      <c r="A152" s="18"/>
      <c r="B152" s="5" t="s">
        <v>50</v>
      </c>
      <c r="C152" s="5">
        <v>3</v>
      </c>
      <c r="D152" s="5">
        <f>9544-5700+300</f>
        <v>4144</v>
      </c>
      <c r="E152" s="5">
        <v>244</v>
      </c>
      <c r="F152" s="5">
        <v>1974</v>
      </c>
      <c r="G152" s="6">
        <f t="shared" si="86"/>
        <v>5922</v>
      </c>
      <c r="H152" s="6">
        <f t="shared" si="87"/>
        <v>24.270491803278688</v>
      </c>
      <c r="I152" s="7">
        <f t="shared" si="88"/>
        <v>32.799319148936171</v>
      </c>
      <c r="J152" s="19">
        <f t="shared" si="89"/>
        <v>796.05560655737702</v>
      </c>
    </row>
    <row r="153" spans="1:13">
      <c r="A153" s="18"/>
      <c r="B153" s="5" t="s">
        <v>102</v>
      </c>
      <c r="C153" s="5">
        <v>1</v>
      </c>
      <c r="D153" s="5">
        <f>9544-5500</f>
        <v>4044</v>
      </c>
      <c r="E153" s="5">
        <v>244</v>
      </c>
      <c r="F153" s="5">
        <v>1974</v>
      </c>
      <c r="G153" s="6">
        <f t="shared" si="86"/>
        <v>1974</v>
      </c>
      <c r="H153" s="6">
        <f>G153/E153</f>
        <v>8.0901639344262293</v>
      </c>
      <c r="I153" s="7">
        <f t="shared" si="88"/>
        <v>32.007829787234044</v>
      </c>
      <c r="J153" s="19">
        <f t="shared" si="89"/>
        <v>258.94859016393445</v>
      </c>
    </row>
    <row r="154" spans="1:13">
      <c r="A154" s="18"/>
      <c r="B154" s="5" t="s">
        <v>51</v>
      </c>
      <c r="C154" s="5">
        <v>1.5</v>
      </c>
      <c r="D154" s="5">
        <f>9544-6000</f>
        <v>3544</v>
      </c>
      <c r="E154" s="5">
        <v>244</v>
      </c>
      <c r="F154" s="5">
        <v>1974</v>
      </c>
      <c r="G154" s="6">
        <f t="shared" si="86"/>
        <v>2961</v>
      </c>
      <c r="H154" s="6">
        <f t="shared" ref="H154:H156" si="90">G154/E154</f>
        <v>12.135245901639344</v>
      </c>
      <c r="I154" s="7">
        <f t="shared" si="88"/>
        <v>28.050382978723405</v>
      </c>
      <c r="J154" s="19">
        <f t="shared" si="89"/>
        <v>340.39829508196721</v>
      </c>
    </row>
    <row r="155" spans="1:13">
      <c r="A155" s="18"/>
      <c r="B155" s="5" t="s">
        <v>103</v>
      </c>
      <c r="C155" s="102">
        <v>1</v>
      </c>
      <c r="D155" s="5">
        <f>9544-5000+800</f>
        <v>5344</v>
      </c>
      <c r="E155" s="5">
        <v>244</v>
      </c>
      <c r="F155" s="5">
        <v>1974</v>
      </c>
      <c r="G155" s="6">
        <f t="shared" si="86"/>
        <v>1974</v>
      </c>
      <c r="H155" s="6">
        <f t="shared" si="90"/>
        <v>8.0901639344262293</v>
      </c>
      <c r="I155" s="7">
        <f t="shared" si="88"/>
        <v>42.297191489361701</v>
      </c>
      <c r="J155" s="19">
        <f>I155*H155</f>
        <v>342.19121311475408</v>
      </c>
    </row>
    <row r="156" spans="1:13">
      <c r="A156" s="18"/>
      <c r="B156" s="5"/>
      <c r="C156" s="102"/>
      <c r="D156" s="5"/>
      <c r="E156" s="5"/>
      <c r="F156" s="5"/>
      <c r="G156" s="6"/>
      <c r="H156" s="6"/>
      <c r="I156" s="7"/>
      <c r="J156" s="19">
        <f t="shared" ref="J156:J159" si="91">I156*H156</f>
        <v>0</v>
      </c>
    </row>
    <row r="157" spans="1:13" ht="15.75" thickBot="1">
      <c r="A157" s="20"/>
      <c r="B157" s="21"/>
      <c r="C157" s="21">
        <f>SUM(C150:C156)</f>
        <v>22.5</v>
      </c>
      <c r="D157" s="21"/>
      <c r="E157" s="21"/>
      <c r="F157" s="21"/>
      <c r="G157" s="22"/>
      <c r="H157" s="22"/>
      <c r="I157" s="23"/>
      <c r="J157" s="24">
        <f>SUM(J150:J156)</f>
        <v>6076.6971320655739</v>
      </c>
    </row>
    <row r="158" spans="1:13" ht="15.75" thickBot="1">
      <c r="A158" s="69"/>
      <c r="B158" s="70"/>
      <c r="C158" s="70"/>
      <c r="D158" s="70"/>
      <c r="E158" s="70"/>
      <c r="F158" s="70"/>
      <c r="G158" s="74"/>
      <c r="H158" s="100" t="s">
        <v>66</v>
      </c>
      <c r="I158" s="101"/>
      <c r="J158" s="72">
        <f>J157-J159</f>
        <v>0</v>
      </c>
      <c r="K158" s="68">
        <f>J158*122</f>
        <v>0</v>
      </c>
      <c r="L158" s="68"/>
      <c r="M158" s="68">
        <f>L158-K158</f>
        <v>0</v>
      </c>
    </row>
    <row r="159" spans="1:13" ht="15.75" thickBot="1">
      <c r="A159" s="69"/>
      <c r="B159" s="70"/>
      <c r="C159" s="70"/>
      <c r="D159" s="70"/>
      <c r="E159" s="70"/>
      <c r="F159" s="70"/>
      <c r="G159" s="74"/>
      <c r="H159" s="100" t="s">
        <v>63</v>
      </c>
      <c r="I159" s="101"/>
      <c r="J159" s="72">
        <f>J150+J151+J152+J153+J154+J155</f>
        <v>6076.6971320655739</v>
      </c>
      <c r="K159" s="68">
        <f>J159*E150</f>
        <v>1482714.1002239999</v>
      </c>
      <c r="L159" s="68">
        <f>(2701883+815964+3120-52731-49215.6-49215.6)*0.44</f>
        <v>1482714.112</v>
      </c>
      <c r="M159" s="68">
        <f>L159-K159</f>
        <v>1.1776000028476119E-2</v>
      </c>
    </row>
    <row r="160" spans="1:13">
      <c r="A160" s="13" t="s">
        <v>81</v>
      </c>
      <c r="B160" s="14" t="s">
        <v>49</v>
      </c>
      <c r="C160" s="14">
        <v>16.75</v>
      </c>
      <c r="D160" s="16">
        <f>9544-6000+650.165</f>
        <v>4194.165</v>
      </c>
      <c r="E160" s="14">
        <v>433</v>
      </c>
      <c r="F160" s="14">
        <v>1974</v>
      </c>
      <c r="G160" s="15">
        <f>C160*F160</f>
        <v>33064.5</v>
      </c>
      <c r="H160" s="15">
        <f>G160/E160</f>
        <v>76.361431870669747</v>
      </c>
      <c r="I160" s="16">
        <f>D160*12*1.302/1974</f>
        <v>33.19636978723404</v>
      </c>
      <c r="J160" s="17">
        <f>I160*H160</f>
        <v>2534.9223298614315</v>
      </c>
    </row>
    <row r="161" spans="1:13">
      <c r="A161" s="18"/>
      <c r="B161" s="5" t="s">
        <v>69</v>
      </c>
      <c r="C161" s="5">
        <v>2</v>
      </c>
      <c r="D161" s="5">
        <f>9544-6000+700</f>
        <v>4244</v>
      </c>
      <c r="E161" s="5">
        <v>433</v>
      </c>
      <c r="F161" s="5">
        <v>1974</v>
      </c>
      <c r="G161" s="6">
        <f t="shared" ref="G161:G165" si="92">C161*F161</f>
        <v>3948</v>
      </c>
      <c r="H161" s="6">
        <f t="shared" ref="H161:H162" si="93">G161/E161</f>
        <v>9.1177829099307157</v>
      </c>
      <c r="I161" s="7">
        <f t="shared" ref="I161:I165" si="94">D161*12*1.302/1974</f>
        <v>33.590808510638304</v>
      </c>
      <c r="J161" s="19">
        <f t="shared" ref="J161:J164" si="95">I161*H161</f>
        <v>306.27369976905317</v>
      </c>
    </row>
    <row r="162" spans="1:13">
      <c r="A162" s="18"/>
      <c r="B162" s="5" t="s">
        <v>50</v>
      </c>
      <c r="C162" s="5">
        <v>6</v>
      </c>
      <c r="D162" s="5">
        <f>9544-5700+800</f>
        <v>4644</v>
      </c>
      <c r="E162" s="5">
        <v>433</v>
      </c>
      <c r="F162" s="5">
        <v>1974</v>
      </c>
      <c r="G162" s="6">
        <f t="shared" si="92"/>
        <v>11844</v>
      </c>
      <c r="H162" s="6">
        <f t="shared" si="93"/>
        <v>27.353348729792149</v>
      </c>
      <c r="I162" s="7">
        <f t="shared" si="94"/>
        <v>36.75676595744681</v>
      </c>
      <c r="J162" s="19">
        <f t="shared" si="95"/>
        <v>1005.420637413395</v>
      </c>
    </row>
    <row r="163" spans="1:13">
      <c r="A163" s="18"/>
      <c r="B163" s="5" t="s">
        <v>102</v>
      </c>
      <c r="C163" s="5">
        <v>3</v>
      </c>
      <c r="D163" s="5">
        <f>9544-5500+900</f>
        <v>4944</v>
      </c>
      <c r="E163" s="5">
        <v>433</v>
      </c>
      <c r="F163" s="5">
        <v>1974</v>
      </c>
      <c r="G163" s="6">
        <f t="shared" si="92"/>
        <v>5922</v>
      </c>
      <c r="H163" s="6">
        <f>G163/E163</f>
        <v>13.676674364896074</v>
      </c>
      <c r="I163" s="7">
        <f t="shared" si="94"/>
        <v>39.131234042553189</v>
      </c>
      <c r="J163" s="19">
        <f t="shared" si="95"/>
        <v>535.18514549653582</v>
      </c>
    </row>
    <row r="164" spans="1:13">
      <c r="A164" s="18"/>
      <c r="B164" s="5" t="s">
        <v>51</v>
      </c>
      <c r="C164" s="5">
        <v>6</v>
      </c>
      <c r="D164" s="5">
        <f>9544-6000+700</f>
        <v>4244</v>
      </c>
      <c r="E164" s="5">
        <v>433</v>
      </c>
      <c r="F164" s="5">
        <v>1974</v>
      </c>
      <c r="G164" s="6">
        <f t="shared" si="92"/>
        <v>11844</v>
      </c>
      <c r="H164" s="6">
        <f t="shared" ref="H164:H166" si="96">G164/E164</f>
        <v>27.353348729792149</v>
      </c>
      <c r="I164" s="7">
        <f t="shared" si="94"/>
        <v>33.590808510638304</v>
      </c>
      <c r="J164" s="19">
        <f t="shared" si="95"/>
        <v>918.82109930715956</v>
      </c>
    </row>
    <row r="165" spans="1:13">
      <c r="A165" s="18"/>
      <c r="B165" s="5" t="s">
        <v>103</v>
      </c>
      <c r="C165" s="102"/>
      <c r="D165" s="5"/>
      <c r="E165" s="5">
        <v>433</v>
      </c>
      <c r="F165" s="5">
        <v>1974</v>
      </c>
      <c r="G165" s="6">
        <f t="shared" si="92"/>
        <v>0</v>
      </c>
      <c r="H165" s="6">
        <f t="shared" si="96"/>
        <v>0</v>
      </c>
      <c r="I165" s="7">
        <f t="shared" si="94"/>
        <v>0</v>
      </c>
      <c r="J165" s="19">
        <f>I165*H165</f>
        <v>0</v>
      </c>
    </row>
    <row r="166" spans="1:13">
      <c r="A166" s="18"/>
      <c r="B166" s="5"/>
      <c r="C166" s="102"/>
      <c r="D166" s="5"/>
      <c r="E166" s="5"/>
      <c r="F166" s="5"/>
      <c r="G166" s="6"/>
      <c r="H166" s="6"/>
      <c r="I166" s="7"/>
      <c r="J166" s="19">
        <f t="shared" ref="J166:J169" si="97">I166*H166</f>
        <v>0</v>
      </c>
    </row>
    <row r="167" spans="1:13" ht="15.75" thickBot="1">
      <c r="A167" s="20"/>
      <c r="B167" s="21"/>
      <c r="C167" s="21">
        <f>SUM(C160:C166)</f>
        <v>33.75</v>
      </c>
      <c r="D167" s="21"/>
      <c r="E167" s="21"/>
      <c r="F167" s="21"/>
      <c r="G167" s="22"/>
      <c r="H167" s="22"/>
      <c r="I167" s="23"/>
      <c r="J167" s="24">
        <f>SUM(J160:J166)</f>
        <v>5300.6229118475758</v>
      </c>
    </row>
    <row r="168" spans="1:13" ht="15.75" thickBot="1">
      <c r="A168" s="69"/>
      <c r="B168" s="70"/>
      <c r="C168" s="70"/>
      <c r="D168" s="70"/>
      <c r="E168" s="70"/>
      <c r="F168" s="70"/>
      <c r="G168" s="74"/>
      <c r="H168" s="100" t="s">
        <v>66</v>
      </c>
      <c r="I168" s="101"/>
      <c r="J168" s="72">
        <f>J167-J169</f>
        <v>0</v>
      </c>
      <c r="K168" s="68">
        <f>J168*122</f>
        <v>0</v>
      </c>
      <c r="L168" s="68"/>
      <c r="M168" s="68">
        <f>L168-K168</f>
        <v>0</v>
      </c>
    </row>
    <row r="169" spans="1:13" ht="15.75" thickBot="1">
      <c r="A169" s="69"/>
      <c r="B169" s="70"/>
      <c r="C169" s="70"/>
      <c r="D169" s="70"/>
      <c r="E169" s="70"/>
      <c r="F169" s="70"/>
      <c r="G169" s="74"/>
      <c r="H169" s="100" t="s">
        <v>63</v>
      </c>
      <c r="I169" s="101"/>
      <c r="J169" s="72">
        <f>J160+J161+J162+J163+J164+J165</f>
        <v>5300.6229118475758</v>
      </c>
      <c r="K169" s="68">
        <f>J169*E160</f>
        <v>2295169.7208300005</v>
      </c>
      <c r="L169" s="68">
        <f>(3830400+1156781+3120-79096.5-64800.5-64800.5)*0.48</f>
        <v>2295169.6799999997</v>
      </c>
      <c r="M169" s="68">
        <f>L169-K169</f>
        <v>-4.0830000769346952E-2</v>
      </c>
    </row>
    <row r="170" spans="1:13">
      <c r="A170" s="13" t="s">
        <v>82</v>
      </c>
      <c r="B170" s="14" t="s">
        <v>49</v>
      </c>
      <c r="C170" s="14">
        <v>7.25</v>
      </c>
      <c r="D170" s="16">
        <f>9544-6000+947.677</f>
        <v>4491.6769999999997</v>
      </c>
      <c r="E170" s="14">
        <v>103</v>
      </c>
      <c r="F170" s="14">
        <v>1974</v>
      </c>
      <c r="G170" s="15">
        <f>C170*F170</f>
        <v>14311.5</v>
      </c>
      <c r="H170" s="15">
        <f>G170/E170</f>
        <v>138.94660194174756</v>
      </c>
      <c r="I170" s="16">
        <f>D170*12*1.302/1974</f>
        <v>35.551145617021277</v>
      </c>
      <c r="J170" s="17">
        <f>I170*H170</f>
        <v>4939.7108786213585</v>
      </c>
    </row>
    <row r="171" spans="1:13">
      <c r="A171" s="18"/>
      <c r="B171" s="5" t="s">
        <v>69</v>
      </c>
      <c r="C171" s="5">
        <v>2</v>
      </c>
      <c r="D171" s="5">
        <f>9544-6000+700</f>
        <v>4244</v>
      </c>
      <c r="E171" s="5">
        <v>103</v>
      </c>
      <c r="F171" s="5">
        <v>1974</v>
      </c>
      <c r="G171" s="6">
        <f t="shared" ref="G171:G175" si="98">C171*F171</f>
        <v>3948</v>
      </c>
      <c r="H171" s="6">
        <f t="shared" ref="H171:H172" si="99">G171/E171</f>
        <v>38.33009708737864</v>
      </c>
      <c r="I171" s="7">
        <f t="shared" ref="I171:I175" si="100">D171*12*1.302/1974</f>
        <v>33.590808510638304</v>
      </c>
      <c r="J171" s="19">
        <f t="shared" ref="J171:J174" si="101">I171*H171</f>
        <v>1287.5389514563108</v>
      </c>
    </row>
    <row r="172" spans="1:13">
      <c r="A172" s="18"/>
      <c r="B172" s="5" t="s">
        <v>50</v>
      </c>
      <c r="C172" s="5">
        <v>2.5</v>
      </c>
      <c r="D172" s="5">
        <f>9544-5700+700</f>
        <v>4544</v>
      </c>
      <c r="E172" s="5">
        <v>103</v>
      </c>
      <c r="F172" s="5">
        <v>1974</v>
      </c>
      <c r="G172" s="6">
        <f t="shared" si="98"/>
        <v>4935</v>
      </c>
      <c r="H172" s="6">
        <f t="shared" si="99"/>
        <v>47.912621359223301</v>
      </c>
      <c r="I172" s="7">
        <f t="shared" si="100"/>
        <v>35.965276595744683</v>
      </c>
      <c r="J172" s="19">
        <f t="shared" si="101"/>
        <v>1723.1906796116507</v>
      </c>
    </row>
    <row r="173" spans="1:13">
      <c r="A173" s="18"/>
      <c r="B173" s="5" t="s">
        <v>102</v>
      </c>
      <c r="C173" s="5">
        <v>1</v>
      </c>
      <c r="D173" s="5">
        <f>9544-5500+500</f>
        <v>4544</v>
      </c>
      <c r="E173" s="5">
        <v>103</v>
      </c>
      <c r="F173" s="5">
        <v>1974</v>
      </c>
      <c r="G173" s="6">
        <f t="shared" si="98"/>
        <v>1974</v>
      </c>
      <c r="H173" s="6">
        <f>G173/E173</f>
        <v>19.16504854368932</v>
      </c>
      <c r="I173" s="7">
        <f t="shared" si="100"/>
        <v>35.965276595744683</v>
      </c>
      <c r="J173" s="19">
        <f t="shared" si="101"/>
        <v>689.27627184466019</v>
      </c>
    </row>
    <row r="174" spans="1:13">
      <c r="A174" s="18"/>
      <c r="B174" s="5" t="s">
        <v>51</v>
      </c>
      <c r="C174" s="5">
        <v>1</v>
      </c>
      <c r="D174" s="5">
        <f>9544-6000+700</f>
        <v>4244</v>
      </c>
      <c r="E174" s="5">
        <v>103</v>
      </c>
      <c r="F174" s="5">
        <v>1974</v>
      </c>
      <c r="G174" s="6">
        <f t="shared" si="98"/>
        <v>1974</v>
      </c>
      <c r="H174" s="6">
        <f t="shared" ref="H174:H176" si="102">G174/E174</f>
        <v>19.16504854368932</v>
      </c>
      <c r="I174" s="7">
        <f t="shared" si="100"/>
        <v>33.590808510638304</v>
      </c>
      <c r="J174" s="19">
        <f t="shared" si="101"/>
        <v>643.76947572815538</v>
      </c>
    </row>
    <row r="175" spans="1:13">
      <c r="A175" s="18"/>
      <c r="B175" s="5" t="s">
        <v>103</v>
      </c>
      <c r="C175" s="102"/>
      <c r="D175" s="5"/>
      <c r="E175" s="5">
        <v>103</v>
      </c>
      <c r="F175" s="5">
        <v>1974</v>
      </c>
      <c r="G175" s="6">
        <f t="shared" si="98"/>
        <v>0</v>
      </c>
      <c r="H175" s="6">
        <f t="shared" si="102"/>
        <v>0</v>
      </c>
      <c r="I175" s="7">
        <f t="shared" si="100"/>
        <v>0</v>
      </c>
      <c r="J175" s="19">
        <f>I175*H175</f>
        <v>0</v>
      </c>
    </row>
    <row r="176" spans="1:13">
      <c r="A176" s="18"/>
      <c r="B176" s="5"/>
      <c r="C176" s="102"/>
      <c r="D176" s="5"/>
      <c r="E176" s="5"/>
      <c r="F176" s="5"/>
      <c r="G176" s="6"/>
      <c r="H176" s="6"/>
      <c r="I176" s="7"/>
      <c r="J176" s="19">
        <f t="shared" ref="J176:J179" si="103">I176*H176</f>
        <v>0</v>
      </c>
    </row>
    <row r="177" spans="1:13" ht="15.75" thickBot="1">
      <c r="A177" s="20"/>
      <c r="B177" s="21"/>
      <c r="C177" s="21">
        <f>SUM(C170:C176)</f>
        <v>13.75</v>
      </c>
      <c r="D177" s="21"/>
      <c r="E177" s="21"/>
      <c r="F177" s="21"/>
      <c r="G177" s="22"/>
      <c r="H177" s="22"/>
      <c r="I177" s="23"/>
      <c r="J177" s="24">
        <f>SUM(J170:J176)</f>
        <v>9283.4862572621369</v>
      </c>
    </row>
    <row r="178" spans="1:13" ht="15.75" thickBot="1">
      <c r="A178" s="69"/>
      <c r="B178" s="70"/>
      <c r="C178" s="70"/>
      <c r="D178" s="70"/>
      <c r="E178" s="70"/>
      <c r="F178" s="70"/>
      <c r="G178" s="74"/>
      <c r="H178" s="100" t="s">
        <v>66</v>
      </c>
      <c r="I178" s="101"/>
      <c r="J178" s="72">
        <f>J177-J179</f>
        <v>0</v>
      </c>
      <c r="K178" s="68">
        <f>J178*122</f>
        <v>0</v>
      </c>
      <c r="L178" s="68"/>
      <c r="M178" s="68">
        <f>L178-K178</f>
        <v>0</v>
      </c>
    </row>
    <row r="179" spans="1:13" ht="15.75" thickBot="1">
      <c r="A179" s="69"/>
      <c r="B179" s="70"/>
      <c r="C179" s="70"/>
      <c r="D179" s="70"/>
      <c r="E179" s="70"/>
      <c r="F179" s="70"/>
      <c r="G179" s="74"/>
      <c r="H179" s="100" t="s">
        <v>63</v>
      </c>
      <c r="I179" s="101"/>
      <c r="J179" s="72">
        <f>J170+J171+J172+J173+J174+J175</f>
        <v>9283.4862572621369</v>
      </c>
      <c r="K179" s="68">
        <f>J179*E170</f>
        <v>956199.0844980001</v>
      </c>
      <c r="L179" s="68">
        <f>(1674519+505705-27668.6-27668.6)*0.45</f>
        <v>956199.05999999994</v>
      </c>
      <c r="M179" s="68">
        <f>L179-K179</f>
        <v>-2.4498000158928335E-2</v>
      </c>
    </row>
    <row r="180" spans="1:13">
      <c r="A180" s="13" t="s">
        <v>83</v>
      </c>
      <c r="B180" s="14" t="s">
        <v>49</v>
      </c>
      <c r="C180" s="14">
        <v>5.25</v>
      </c>
      <c r="D180" s="16">
        <f>9544-6000+1358.447</f>
        <v>4902.4470000000001</v>
      </c>
      <c r="E180" s="14">
        <v>115</v>
      </c>
      <c r="F180" s="14">
        <v>1974</v>
      </c>
      <c r="G180" s="15">
        <f>C180*F180</f>
        <v>10363.5</v>
      </c>
      <c r="H180" s="15">
        <f>G180/E180</f>
        <v>90.117391304347819</v>
      </c>
      <c r="I180" s="16">
        <f>D180*12*1.302/1974</f>
        <v>38.802346468085105</v>
      </c>
      <c r="J180" s="17">
        <f>I180*H180</f>
        <v>3496.766240191304</v>
      </c>
    </row>
    <row r="181" spans="1:13">
      <c r="A181" s="18"/>
      <c r="B181" s="5" t="s">
        <v>69</v>
      </c>
      <c r="C181" s="5">
        <v>2</v>
      </c>
      <c r="D181" s="5">
        <f>9544-6000+1000</f>
        <v>4544</v>
      </c>
      <c r="E181" s="5">
        <v>115</v>
      </c>
      <c r="F181" s="5">
        <v>1974</v>
      </c>
      <c r="G181" s="6">
        <f t="shared" ref="G181:G185" si="104">C181*F181</f>
        <v>3948</v>
      </c>
      <c r="H181" s="6">
        <f t="shared" ref="H181:H182" si="105">G181/E181</f>
        <v>34.330434782608698</v>
      </c>
      <c r="I181" s="7">
        <f t="shared" ref="I181:I185" si="106">D181*12*1.302/1974</f>
        <v>35.965276595744683</v>
      </c>
      <c r="J181" s="19">
        <f t="shared" ref="J181:J184" si="107">I181*H181</f>
        <v>1234.7035826086958</v>
      </c>
    </row>
    <row r="182" spans="1:13">
      <c r="A182" s="18"/>
      <c r="B182" s="5" t="s">
        <v>50</v>
      </c>
      <c r="C182" s="5">
        <v>3</v>
      </c>
      <c r="D182" s="5">
        <f>9544-5700+900</f>
        <v>4744</v>
      </c>
      <c r="E182" s="5">
        <v>115</v>
      </c>
      <c r="F182" s="5">
        <v>1974</v>
      </c>
      <c r="G182" s="6">
        <f t="shared" si="104"/>
        <v>5922</v>
      </c>
      <c r="H182" s="6">
        <f t="shared" si="105"/>
        <v>51.495652173913044</v>
      </c>
      <c r="I182" s="7">
        <f t="shared" si="106"/>
        <v>37.548255319148943</v>
      </c>
      <c r="J182" s="19">
        <f t="shared" si="107"/>
        <v>1933.5718956521744</v>
      </c>
    </row>
    <row r="183" spans="1:13">
      <c r="A183" s="18"/>
      <c r="B183" s="5" t="s">
        <v>102</v>
      </c>
      <c r="C183" s="5">
        <v>1</v>
      </c>
      <c r="D183" s="5">
        <f>9544-5500+900</f>
        <v>4944</v>
      </c>
      <c r="E183" s="5">
        <v>115</v>
      </c>
      <c r="F183" s="5">
        <v>1974</v>
      </c>
      <c r="G183" s="6">
        <f t="shared" si="104"/>
        <v>1974</v>
      </c>
      <c r="H183" s="6">
        <f>G183/E183</f>
        <v>17.165217391304349</v>
      </c>
      <c r="I183" s="7">
        <f t="shared" si="106"/>
        <v>39.131234042553189</v>
      </c>
      <c r="J183" s="19">
        <f t="shared" si="107"/>
        <v>671.69613913043474</v>
      </c>
    </row>
    <row r="184" spans="1:13">
      <c r="A184" s="18"/>
      <c r="B184" s="5" t="s">
        <v>51</v>
      </c>
      <c r="C184" s="5">
        <v>1.5</v>
      </c>
      <c r="D184" s="5">
        <f>9544-6000+1000</f>
        <v>4544</v>
      </c>
      <c r="E184" s="5">
        <v>115</v>
      </c>
      <c r="F184" s="5">
        <v>1974</v>
      </c>
      <c r="G184" s="6">
        <f t="shared" si="104"/>
        <v>2961</v>
      </c>
      <c r="H184" s="6">
        <f t="shared" ref="H184:H186" si="108">G184/E184</f>
        <v>25.747826086956522</v>
      </c>
      <c r="I184" s="7">
        <f t="shared" si="106"/>
        <v>35.965276595744683</v>
      </c>
      <c r="J184" s="19">
        <f t="shared" si="107"/>
        <v>926.02768695652185</v>
      </c>
    </row>
    <row r="185" spans="1:13">
      <c r="A185" s="18"/>
      <c r="B185" s="5" t="s">
        <v>103</v>
      </c>
      <c r="C185" s="102"/>
      <c r="D185" s="5"/>
      <c r="E185" s="5">
        <v>115</v>
      </c>
      <c r="F185" s="5">
        <v>1974</v>
      </c>
      <c r="G185" s="6">
        <f t="shared" si="104"/>
        <v>0</v>
      </c>
      <c r="H185" s="6">
        <f t="shared" si="108"/>
        <v>0</v>
      </c>
      <c r="I185" s="7">
        <f t="shared" si="106"/>
        <v>0</v>
      </c>
      <c r="J185" s="19">
        <f>I185*H185</f>
        <v>0</v>
      </c>
    </row>
    <row r="186" spans="1:13">
      <c r="A186" s="18"/>
      <c r="B186" s="5"/>
      <c r="C186" s="102"/>
      <c r="D186" s="5"/>
      <c r="E186" s="5"/>
      <c r="F186" s="5"/>
      <c r="G186" s="6"/>
      <c r="H186" s="6"/>
      <c r="I186" s="7"/>
      <c r="J186" s="19">
        <f t="shared" ref="J186:J189" si="109">I186*H186</f>
        <v>0</v>
      </c>
    </row>
    <row r="187" spans="1:13" ht="15.75" thickBot="1">
      <c r="A187" s="20"/>
      <c r="B187" s="21"/>
      <c r="C187" s="21">
        <f>SUM(C180:C186)</f>
        <v>12.75</v>
      </c>
      <c r="D187" s="21"/>
      <c r="E187" s="21"/>
      <c r="F187" s="21"/>
      <c r="G187" s="22"/>
      <c r="H187" s="22"/>
      <c r="I187" s="23"/>
      <c r="J187" s="24">
        <f>SUM(J180:J186)</f>
        <v>8262.7655445391301</v>
      </c>
    </row>
    <row r="188" spans="1:13" ht="15.75" thickBot="1">
      <c r="A188" s="69"/>
      <c r="B188" s="70"/>
      <c r="C188" s="70"/>
      <c r="D188" s="70"/>
      <c r="E188" s="70"/>
      <c r="F188" s="70"/>
      <c r="G188" s="74"/>
      <c r="H188" s="100" t="s">
        <v>66</v>
      </c>
      <c r="I188" s="101"/>
      <c r="J188" s="72">
        <f>J187-J189</f>
        <v>0</v>
      </c>
      <c r="K188" s="68">
        <f>J188*122</f>
        <v>0</v>
      </c>
      <c r="L188" s="68"/>
      <c r="M188" s="68">
        <f>L188-K188</f>
        <v>0</v>
      </c>
    </row>
    <row r="189" spans="1:13" ht="15.75" thickBot="1">
      <c r="A189" s="69"/>
      <c r="B189" s="70"/>
      <c r="C189" s="70"/>
      <c r="D189" s="70"/>
      <c r="E189" s="70"/>
      <c r="F189" s="70"/>
      <c r="G189" s="74"/>
      <c r="H189" s="100" t="s">
        <v>63</v>
      </c>
      <c r="I189" s="101"/>
      <c r="J189" s="72">
        <f>J180+J181+J182+J183+J184+J185</f>
        <v>8262.7655445391301</v>
      </c>
      <c r="K189" s="68">
        <f>J189*E180</f>
        <v>950218.03762199997</v>
      </c>
      <c r="L189" s="68">
        <f>(1551946+468688-20506.5-20506.5)*0.48</f>
        <v>950218.08</v>
      </c>
      <c r="M189" s="68">
        <f>L189-K189</f>
        <v>4.2377999983727932E-2</v>
      </c>
    </row>
    <row r="191" spans="1:13" ht="18.75">
      <c r="A191" s="73" t="s">
        <v>104</v>
      </c>
    </row>
    <row r="192" spans="1:13" ht="117" customHeight="1">
      <c r="A192" s="4" t="s">
        <v>2</v>
      </c>
      <c r="B192" s="4" t="s">
        <v>4</v>
      </c>
      <c r="C192" s="4" t="s">
        <v>0</v>
      </c>
      <c r="D192" s="4" t="s">
        <v>13</v>
      </c>
      <c r="E192" s="4" t="s">
        <v>3</v>
      </c>
      <c r="F192" s="4" t="s">
        <v>1</v>
      </c>
      <c r="G192" s="4" t="s">
        <v>5</v>
      </c>
      <c r="H192" s="4" t="s">
        <v>7</v>
      </c>
      <c r="I192" s="4" t="s">
        <v>9</v>
      </c>
      <c r="J192" s="4" t="s">
        <v>11</v>
      </c>
      <c r="K192" s="2" t="s">
        <v>33</v>
      </c>
      <c r="L192" s="2" t="s">
        <v>34</v>
      </c>
      <c r="M192" s="2"/>
    </row>
    <row r="193" spans="1:13" ht="15.75" thickBot="1">
      <c r="A193" s="9">
        <v>1</v>
      </c>
      <c r="B193" s="10">
        <v>2</v>
      </c>
      <c r="C193" s="10">
        <v>3</v>
      </c>
      <c r="D193" s="10">
        <v>4</v>
      </c>
      <c r="E193" s="10">
        <v>5</v>
      </c>
      <c r="F193" s="10">
        <v>6</v>
      </c>
      <c r="G193" s="10" t="s">
        <v>6</v>
      </c>
      <c r="H193" s="9" t="s">
        <v>8</v>
      </c>
      <c r="I193" s="10" t="s">
        <v>10</v>
      </c>
      <c r="J193" s="10" t="s">
        <v>12</v>
      </c>
    </row>
    <row r="194" spans="1:13">
      <c r="A194" s="13" t="s">
        <v>71</v>
      </c>
      <c r="B194" s="14" t="s">
        <v>49</v>
      </c>
      <c r="C194" s="14">
        <v>5.75</v>
      </c>
      <c r="D194" s="16">
        <f>9544-9000+500+27.207</f>
        <v>1071.2070000000001</v>
      </c>
      <c r="E194" s="14">
        <v>61</v>
      </c>
      <c r="F194" s="14">
        <v>1974</v>
      </c>
      <c r="G194" s="15">
        <f>C194*F194</f>
        <v>11350.5</v>
      </c>
      <c r="H194" s="15">
        <f>G194/E194</f>
        <v>186.07377049180329</v>
      </c>
      <c r="I194" s="16">
        <f>D194*12*1.302/1974</f>
        <v>8.4784894468085117</v>
      </c>
      <c r="J194" s="17">
        <f>I194*H194</f>
        <v>1577.6244994426231</v>
      </c>
    </row>
    <row r="195" spans="1:13">
      <c r="A195" s="18"/>
      <c r="B195" s="5" t="s">
        <v>69</v>
      </c>
      <c r="C195" s="5">
        <v>1.5</v>
      </c>
      <c r="D195" s="5">
        <f>9544-9000+500</f>
        <v>1044</v>
      </c>
      <c r="E195" s="5">
        <v>61</v>
      </c>
      <c r="F195" s="5">
        <v>1974</v>
      </c>
      <c r="G195" s="6">
        <f t="shared" ref="G195:G199" si="110">C195*F195</f>
        <v>2961</v>
      </c>
      <c r="H195" s="6">
        <f t="shared" ref="H195:H196" si="111">G195/E195</f>
        <v>48.540983606557376</v>
      </c>
      <c r="I195" s="7">
        <f t="shared" ref="I195:I199" si="112">D195*12*1.302/1974</f>
        <v>8.2631489361702126</v>
      </c>
      <c r="J195" s="19">
        <f t="shared" ref="J195:J198" si="113">I195*H195</f>
        <v>401.10137704918031</v>
      </c>
    </row>
    <row r="196" spans="1:13">
      <c r="A196" s="18"/>
      <c r="B196" s="5" t="s">
        <v>50</v>
      </c>
      <c r="C196" s="5">
        <v>3</v>
      </c>
      <c r="D196" s="5">
        <f>9544-8000</f>
        <v>1544</v>
      </c>
      <c r="E196" s="5">
        <v>61</v>
      </c>
      <c r="F196" s="5">
        <v>1974</v>
      </c>
      <c r="G196" s="6">
        <f t="shared" si="110"/>
        <v>5922</v>
      </c>
      <c r="H196" s="6">
        <f t="shared" si="111"/>
        <v>97.081967213114751</v>
      </c>
      <c r="I196" s="7">
        <f t="shared" si="112"/>
        <v>12.220595744680852</v>
      </c>
      <c r="J196" s="19">
        <f t="shared" si="113"/>
        <v>1186.399475409836</v>
      </c>
    </row>
    <row r="197" spans="1:13">
      <c r="A197" s="18"/>
      <c r="B197" s="5" t="s">
        <v>102</v>
      </c>
      <c r="C197" s="5">
        <v>2</v>
      </c>
      <c r="D197" s="5">
        <f>9544-8000</f>
        <v>1544</v>
      </c>
      <c r="E197" s="5">
        <v>61</v>
      </c>
      <c r="F197" s="5">
        <v>1974</v>
      </c>
      <c r="G197" s="6">
        <f t="shared" si="110"/>
        <v>3948</v>
      </c>
      <c r="H197" s="6">
        <f>G197/E197</f>
        <v>64.721311475409834</v>
      </c>
      <c r="I197" s="7">
        <f t="shared" si="112"/>
        <v>12.220595744680852</v>
      </c>
      <c r="J197" s="19">
        <f t="shared" si="113"/>
        <v>790.9329836065574</v>
      </c>
    </row>
    <row r="198" spans="1:13">
      <c r="A198" s="18"/>
      <c r="B198" s="5" t="s">
        <v>51</v>
      </c>
      <c r="C198" s="5">
        <v>1</v>
      </c>
      <c r="D198" s="5">
        <f>9544-8000</f>
        <v>1544</v>
      </c>
      <c r="E198" s="5">
        <v>61</v>
      </c>
      <c r="F198" s="5">
        <v>1974</v>
      </c>
      <c r="G198" s="6">
        <f t="shared" si="110"/>
        <v>1974</v>
      </c>
      <c r="H198" s="6">
        <f t="shared" ref="H198:H199" si="114">G198/E198</f>
        <v>32.360655737704917</v>
      </c>
      <c r="I198" s="7">
        <f t="shared" si="112"/>
        <v>12.220595744680852</v>
      </c>
      <c r="J198" s="19">
        <f t="shared" si="113"/>
        <v>395.4664918032787</v>
      </c>
    </row>
    <row r="199" spans="1:13">
      <c r="A199" s="18"/>
      <c r="B199" s="5" t="s">
        <v>103</v>
      </c>
      <c r="C199" s="102">
        <v>1</v>
      </c>
      <c r="D199" s="5">
        <f>9544-8000</f>
        <v>1544</v>
      </c>
      <c r="E199" s="5">
        <v>61</v>
      </c>
      <c r="F199" s="5">
        <v>1974</v>
      </c>
      <c r="G199" s="6">
        <f t="shared" si="110"/>
        <v>1974</v>
      </c>
      <c r="H199" s="6">
        <f t="shared" si="114"/>
        <v>32.360655737704917</v>
      </c>
      <c r="I199" s="7">
        <f t="shared" si="112"/>
        <v>12.220595744680852</v>
      </c>
      <c r="J199" s="19">
        <f>I199*H199</f>
        <v>395.4664918032787</v>
      </c>
    </row>
    <row r="200" spans="1:13">
      <c r="A200" s="18"/>
      <c r="B200" s="5"/>
      <c r="C200" s="102"/>
      <c r="D200" s="5"/>
      <c r="E200" s="5"/>
      <c r="F200" s="5"/>
      <c r="G200" s="6"/>
      <c r="H200" s="6"/>
      <c r="I200" s="7"/>
      <c r="J200" s="19">
        <f t="shared" ref="J200:J203" si="115">I200*H200</f>
        <v>0</v>
      </c>
    </row>
    <row r="201" spans="1:13" ht="15.75" thickBot="1">
      <c r="A201" s="20"/>
      <c r="B201" s="21"/>
      <c r="C201" s="21">
        <f>SUM(C194:C200)</f>
        <v>14.25</v>
      </c>
      <c r="D201" s="21"/>
      <c r="E201" s="21"/>
      <c r="F201" s="21"/>
      <c r="G201" s="22"/>
      <c r="H201" s="22"/>
      <c r="I201" s="23"/>
      <c r="J201" s="24">
        <f>SUM(J194:J200)</f>
        <v>4746.9913191147534</v>
      </c>
    </row>
    <row r="202" spans="1:13" ht="15.75" thickBot="1">
      <c r="A202" s="69"/>
      <c r="B202" s="70"/>
      <c r="C202" s="70"/>
      <c r="D202" s="70"/>
      <c r="E202" s="70"/>
      <c r="F202" s="70"/>
      <c r="G202" s="74"/>
      <c r="H202" s="100" t="s">
        <v>66</v>
      </c>
      <c r="I202" s="101"/>
      <c r="J202" s="72">
        <f>J201-J203</f>
        <v>0</v>
      </c>
      <c r="K202" s="68">
        <f>J202*122</f>
        <v>0</v>
      </c>
      <c r="L202" s="68"/>
      <c r="M202" s="68">
        <f>L202-K202</f>
        <v>0</v>
      </c>
    </row>
    <row r="203" spans="1:13" ht="15.75" thickBot="1">
      <c r="A203" s="69"/>
      <c r="B203" s="70"/>
      <c r="C203" s="70"/>
      <c r="D203" s="70"/>
      <c r="E203" s="70"/>
      <c r="F203" s="70"/>
      <c r="G203" s="74"/>
      <c r="H203" s="100" t="s">
        <v>63</v>
      </c>
      <c r="I203" s="101"/>
      <c r="J203" s="72">
        <f>J194+J195+J196+J197+J198+J199</f>
        <v>4746.9913191147534</v>
      </c>
      <c r="K203" s="68">
        <f>J203*E194</f>
        <v>289566.47046599997</v>
      </c>
      <c r="L203" s="68">
        <f>(1625244+490824+3120-25428.1-25428.1)*0.14</f>
        <v>289566.45199999999</v>
      </c>
      <c r="M203" s="68">
        <f>L203-K203</f>
        <v>-1.8465999979525805E-2</v>
      </c>
    </row>
    <row r="204" spans="1:13">
      <c r="A204" s="13" t="s">
        <v>76</v>
      </c>
      <c r="B204" s="14" t="s">
        <v>49</v>
      </c>
      <c r="C204" s="14">
        <v>12</v>
      </c>
      <c r="D204" s="16">
        <f>9544-9000-5+3.349</f>
        <v>542.34900000000005</v>
      </c>
      <c r="E204" s="14">
        <v>34</v>
      </c>
      <c r="F204" s="14">
        <v>1974</v>
      </c>
      <c r="G204" s="15">
        <f>C204*F204</f>
        <v>23688</v>
      </c>
      <c r="H204" s="15">
        <f>G204/E204</f>
        <v>696.70588235294122</v>
      </c>
      <c r="I204" s="16">
        <f>D204*12*1.302/1974</f>
        <v>4.2926346382978728</v>
      </c>
      <c r="J204" s="17">
        <f>I204*H204</f>
        <v>2990.7038032941182</v>
      </c>
    </row>
    <row r="205" spans="1:13">
      <c r="A205" s="18"/>
      <c r="B205" s="5" t="s">
        <v>69</v>
      </c>
      <c r="C205" s="5">
        <v>4</v>
      </c>
      <c r="D205" s="5">
        <f>9544-9000-60</f>
        <v>484</v>
      </c>
      <c r="E205" s="5">
        <v>34</v>
      </c>
      <c r="F205" s="5">
        <v>1974</v>
      </c>
      <c r="G205" s="6">
        <f t="shared" ref="G205:G209" si="116">C205*F205</f>
        <v>7896</v>
      </c>
      <c r="H205" s="6">
        <f t="shared" ref="H205:H206" si="117">G205/E205</f>
        <v>232.23529411764707</v>
      </c>
      <c r="I205" s="7">
        <f t="shared" ref="I205:I209" si="118">D205*12*1.302/1974</f>
        <v>3.8308085106382981</v>
      </c>
      <c r="J205" s="19">
        <f t="shared" ref="J205:J208" si="119">I205*H205</f>
        <v>889.64894117647066</v>
      </c>
    </row>
    <row r="206" spans="1:13">
      <c r="A206" s="18"/>
      <c r="B206" s="5" t="s">
        <v>50</v>
      </c>
      <c r="C206" s="5">
        <v>6</v>
      </c>
      <c r="D206" s="5">
        <f>9544-9000</f>
        <v>544</v>
      </c>
      <c r="E206" s="5">
        <v>34</v>
      </c>
      <c r="F206" s="5">
        <v>1974</v>
      </c>
      <c r="G206" s="6">
        <f t="shared" si="116"/>
        <v>11844</v>
      </c>
      <c r="H206" s="6">
        <f t="shared" si="117"/>
        <v>348.35294117647061</v>
      </c>
      <c r="I206" s="7">
        <f t="shared" si="118"/>
        <v>4.3057021276595746</v>
      </c>
      <c r="J206" s="19">
        <f t="shared" si="119"/>
        <v>1499.9040000000002</v>
      </c>
    </row>
    <row r="207" spans="1:13">
      <c r="A207" s="18"/>
      <c r="B207" s="5" t="s">
        <v>102</v>
      </c>
      <c r="C207" s="5">
        <v>1</v>
      </c>
      <c r="D207" s="5">
        <f>9544-9000</f>
        <v>544</v>
      </c>
      <c r="E207" s="5">
        <v>34</v>
      </c>
      <c r="F207" s="5">
        <v>1974</v>
      </c>
      <c r="G207" s="6">
        <f t="shared" si="116"/>
        <v>1974</v>
      </c>
      <c r="H207" s="6">
        <f>G207/E207</f>
        <v>58.058823529411768</v>
      </c>
      <c r="I207" s="7">
        <f t="shared" si="118"/>
        <v>4.3057021276595746</v>
      </c>
      <c r="J207" s="19">
        <f t="shared" si="119"/>
        <v>249.98400000000001</v>
      </c>
    </row>
    <row r="208" spans="1:13">
      <c r="A208" s="18"/>
      <c r="B208" s="5" t="s">
        <v>51</v>
      </c>
      <c r="C208" s="5">
        <v>3</v>
      </c>
      <c r="D208" s="5">
        <f>9544-9000-60</f>
        <v>484</v>
      </c>
      <c r="E208" s="5">
        <v>34</v>
      </c>
      <c r="F208" s="5">
        <v>1974</v>
      </c>
      <c r="G208" s="6">
        <f t="shared" si="116"/>
        <v>5922</v>
      </c>
      <c r="H208" s="6">
        <f t="shared" ref="H208:H210" si="120">G208/E208</f>
        <v>174.1764705882353</v>
      </c>
      <c r="I208" s="7">
        <f t="shared" si="118"/>
        <v>3.8308085106382981</v>
      </c>
      <c r="J208" s="19">
        <f t="shared" si="119"/>
        <v>667.23670588235302</v>
      </c>
    </row>
    <row r="209" spans="1:13">
      <c r="A209" s="18"/>
      <c r="B209" s="5" t="s">
        <v>103</v>
      </c>
      <c r="C209" s="102"/>
      <c r="D209" s="5"/>
      <c r="E209" s="5">
        <v>34</v>
      </c>
      <c r="F209" s="5">
        <v>1974</v>
      </c>
      <c r="G209" s="6">
        <f t="shared" si="116"/>
        <v>0</v>
      </c>
      <c r="H209" s="6">
        <f t="shared" si="120"/>
        <v>0</v>
      </c>
      <c r="I209" s="7">
        <f t="shared" si="118"/>
        <v>0</v>
      </c>
      <c r="J209" s="19">
        <f>I209*H209</f>
        <v>0</v>
      </c>
    </row>
    <row r="210" spans="1:13">
      <c r="A210" s="18"/>
      <c r="B210" s="5"/>
      <c r="C210" s="102"/>
      <c r="D210" s="5"/>
      <c r="E210" s="5"/>
      <c r="F210" s="5"/>
      <c r="G210" s="6"/>
      <c r="H210" s="6"/>
      <c r="I210" s="7"/>
      <c r="J210" s="19">
        <f t="shared" ref="J210:J213" si="121">I210*H210</f>
        <v>0</v>
      </c>
    </row>
    <row r="211" spans="1:13" ht="15.75" thickBot="1">
      <c r="A211" s="20"/>
      <c r="B211" s="21"/>
      <c r="C211" s="21">
        <f>SUM(C204:C210)</f>
        <v>26</v>
      </c>
      <c r="D211" s="21"/>
      <c r="E211" s="21"/>
      <c r="F211" s="21"/>
      <c r="G211" s="22"/>
      <c r="H211" s="22"/>
      <c r="I211" s="23"/>
      <c r="J211" s="24">
        <f>SUM(J204:J210)</f>
        <v>6297.4774503529425</v>
      </c>
    </row>
    <row r="212" spans="1:13" ht="15.75" thickBot="1">
      <c r="A212" s="69"/>
      <c r="B212" s="70"/>
      <c r="C212" s="70"/>
      <c r="D212" s="70"/>
      <c r="E212" s="70"/>
      <c r="F212" s="70"/>
      <c r="G212" s="74"/>
      <c r="H212" s="100" t="s">
        <v>66</v>
      </c>
      <c r="I212" s="101"/>
      <c r="J212" s="72">
        <f>J211-J213</f>
        <v>0</v>
      </c>
      <c r="K212" s="68">
        <f>J212*122</f>
        <v>0</v>
      </c>
      <c r="L212" s="68"/>
      <c r="M212" s="68">
        <f>L212-K212</f>
        <v>0</v>
      </c>
    </row>
    <row r="213" spans="1:13" ht="15.75" thickBot="1">
      <c r="A213" s="69"/>
      <c r="B213" s="70"/>
      <c r="C213" s="70"/>
      <c r="D213" s="70"/>
      <c r="E213" s="70"/>
      <c r="F213" s="70"/>
      <c r="G213" s="74"/>
      <c r="H213" s="100" t="s">
        <v>63</v>
      </c>
      <c r="I213" s="101"/>
      <c r="J213" s="72">
        <f>J204+J205+J206+J207+J208+J209</f>
        <v>6297.4774503529425</v>
      </c>
      <c r="K213" s="68">
        <f>J213*E204</f>
        <v>214114.23331200005</v>
      </c>
      <c r="L213" s="68">
        <f>(2853158+861654-60933.6-42653.5-42653.5)*0.06</f>
        <v>214114.28399999999</v>
      </c>
      <c r="M213" s="68">
        <f>L213-K213</f>
        <v>5.0687999930232763E-2</v>
      </c>
    </row>
    <row r="214" spans="1:13">
      <c r="A214" s="13" t="s">
        <v>77</v>
      </c>
      <c r="B214" s="14" t="s">
        <v>49</v>
      </c>
      <c r="C214" s="14">
        <v>6</v>
      </c>
      <c r="D214" s="16">
        <f>9544-9000+224.145</f>
        <v>768.14499999999998</v>
      </c>
      <c r="E214" s="14">
        <v>35</v>
      </c>
      <c r="F214" s="14">
        <v>1974</v>
      </c>
      <c r="G214" s="15">
        <f>C214*F214</f>
        <v>11844</v>
      </c>
      <c r="H214" s="15">
        <f>G214/E214</f>
        <v>338.4</v>
      </c>
      <c r="I214" s="16">
        <f>D214*12*1.302/1974</f>
        <v>6.0797859574468083</v>
      </c>
      <c r="J214" s="17">
        <f>I214*H214</f>
        <v>2057.3995679999998</v>
      </c>
    </row>
    <row r="215" spans="1:13">
      <c r="A215" s="18"/>
      <c r="B215" s="5" t="s">
        <v>69</v>
      </c>
      <c r="C215" s="5">
        <v>1.5</v>
      </c>
      <c r="D215" s="5">
        <f>9544-9000+200</f>
        <v>744</v>
      </c>
      <c r="E215" s="5">
        <v>35</v>
      </c>
      <c r="F215" s="5">
        <v>1974</v>
      </c>
      <c r="G215" s="6">
        <f t="shared" ref="G215:G219" si="122">C215*F215</f>
        <v>2961</v>
      </c>
      <c r="H215" s="6">
        <f t="shared" ref="H215:H216" si="123">G215/E215</f>
        <v>84.6</v>
      </c>
      <c r="I215" s="7">
        <f t="shared" ref="I215:I219" si="124">D215*12*1.302/1974</f>
        <v>5.88868085106383</v>
      </c>
      <c r="J215" s="19">
        <f t="shared" ref="J215:J218" si="125">I215*H215</f>
        <v>498.18239999999997</v>
      </c>
    </row>
    <row r="216" spans="1:13">
      <c r="A216" s="18"/>
      <c r="B216" s="5" t="s">
        <v>50</v>
      </c>
      <c r="C216" s="5">
        <v>3</v>
      </c>
      <c r="D216" s="5">
        <f>9544-8500</f>
        <v>1044</v>
      </c>
      <c r="E216" s="5">
        <v>35</v>
      </c>
      <c r="F216" s="5">
        <v>1974</v>
      </c>
      <c r="G216" s="6">
        <f t="shared" si="122"/>
        <v>5922</v>
      </c>
      <c r="H216" s="6">
        <f t="shared" si="123"/>
        <v>169.2</v>
      </c>
      <c r="I216" s="7">
        <f t="shared" si="124"/>
        <v>8.2631489361702126</v>
      </c>
      <c r="J216" s="19">
        <f t="shared" si="125"/>
        <v>1398.1247999999998</v>
      </c>
    </row>
    <row r="217" spans="1:13">
      <c r="A217" s="18"/>
      <c r="B217" s="5" t="s">
        <v>102</v>
      </c>
      <c r="C217" s="5">
        <v>1.5</v>
      </c>
      <c r="D217" s="5">
        <f>9544-9000+200</f>
        <v>744</v>
      </c>
      <c r="E217" s="5">
        <v>35</v>
      </c>
      <c r="F217" s="5">
        <v>1974</v>
      </c>
      <c r="G217" s="6">
        <f t="shared" si="122"/>
        <v>2961</v>
      </c>
      <c r="H217" s="6">
        <f>G217/E217</f>
        <v>84.6</v>
      </c>
      <c r="I217" s="7">
        <f t="shared" si="124"/>
        <v>5.88868085106383</v>
      </c>
      <c r="J217" s="19">
        <f t="shared" si="125"/>
        <v>498.18239999999997</v>
      </c>
    </row>
    <row r="218" spans="1:13">
      <c r="A218" s="18"/>
      <c r="B218" s="5" t="s">
        <v>51</v>
      </c>
      <c r="C218" s="5">
        <v>2</v>
      </c>
      <c r="D218" s="5">
        <f>9544-9000+200</f>
        <v>744</v>
      </c>
      <c r="E218" s="5">
        <v>35</v>
      </c>
      <c r="F218" s="5">
        <v>1974</v>
      </c>
      <c r="G218" s="6">
        <f t="shared" si="122"/>
        <v>3948</v>
      </c>
      <c r="H218" s="6">
        <f t="shared" ref="H218:H220" si="126">G218/E218</f>
        <v>112.8</v>
      </c>
      <c r="I218" s="7">
        <f t="shared" si="124"/>
        <v>5.88868085106383</v>
      </c>
      <c r="J218" s="19">
        <f t="shared" si="125"/>
        <v>664.2432</v>
      </c>
    </row>
    <row r="219" spans="1:13">
      <c r="A219" s="18"/>
      <c r="B219" s="5" t="s">
        <v>103</v>
      </c>
      <c r="C219" s="102"/>
      <c r="D219" s="5"/>
      <c r="E219" s="5">
        <v>35</v>
      </c>
      <c r="F219" s="5">
        <v>1974</v>
      </c>
      <c r="G219" s="6">
        <f t="shared" si="122"/>
        <v>0</v>
      </c>
      <c r="H219" s="6">
        <f t="shared" si="126"/>
        <v>0</v>
      </c>
      <c r="I219" s="7">
        <f t="shared" si="124"/>
        <v>0</v>
      </c>
      <c r="J219" s="19">
        <f>I219*H219</f>
        <v>0</v>
      </c>
    </row>
    <row r="220" spans="1:13">
      <c r="A220" s="18"/>
      <c r="B220" s="5"/>
      <c r="C220" s="102"/>
      <c r="D220" s="5"/>
      <c r="E220" s="5"/>
      <c r="F220" s="5"/>
      <c r="G220" s="6"/>
      <c r="H220" s="6"/>
      <c r="I220" s="7"/>
      <c r="J220" s="19">
        <f t="shared" ref="J220:J223" si="127">I220*H220</f>
        <v>0</v>
      </c>
    </row>
    <row r="221" spans="1:13" ht="15.75" thickBot="1">
      <c r="A221" s="20"/>
      <c r="B221" s="21"/>
      <c r="C221" s="21">
        <f>SUM(C214:C220)</f>
        <v>14</v>
      </c>
      <c r="D221" s="21"/>
      <c r="E221" s="21"/>
      <c r="F221" s="21"/>
      <c r="G221" s="22"/>
      <c r="H221" s="22"/>
      <c r="I221" s="23"/>
      <c r="J221" s="24">
        <f>SUM(J214:J220)</f>
        <v>5116.1323679999996</v>
      </c>
    </row>
    <row r="222" spans="1:13" ht="15.75" thickBot="1">
      <c r="A222" s="69"/>
      <c r="B222" s="70"/>
      <c r="C222" s="70"/>
      <c r="D222" s="70"/>
      <c r="E222" s="70"/>
      <c r="F222" s="70"/>
      <c r="G222" s="74"/>
      <c r="H222" s="100" t="s">
        <v>66</v>
      </c>
      <c r="I222" s="101"/>
      <c r="J222" s="72">
        <f>J221-J223</f>
        <v>0</v>
      </c>
      <c r="K222" s="68">
        <f>J222*122</f>
        <v>0</v>
      </c>
      <c r="L222" s="68"/>
      <c r="M222" s="68">
        <f>L222-K222</f>
        <v>0</v>
      </c>
    </row>
    <row r="223" spans="1:13" ht="15.75" thickBot="1">
      <c r="A223" s="69"/>
      <c r="B223" s="70"/>
      <c r="C223" s="70"/>
      <c r="D223" s="70"/>
      <c r="E223" s="70"/>
      <c r="F223" s="70"/>
      <c r="G223" s="74"/>
      <c r="H223" s="100" t="s">
        <v>63</v>
      </c>
      <c r="I223" s="101"/>
      <c r="J223" s="72">
        <f>J214+J215+J216+J217+J218+J219</f>
        <v>5116.1323679999996</v>
      </c>
      <c r="K223" s="68">
        <f>J223*E214</f>
        <v>179064.63287999999</v>
      </c>
      <c r="L223" s="68">
        <f>(1589918+480155+1560-32810.4-24607.8-24607.8)*0.09</f>
        <v>179064.63</v>
      </c>
      <c r="M223" s="68">
        <f>L223-K223</f>
        <v>-2.8799999854527414E-3</v>
      </c>
    </row>
    <row r="224" spans="1:13">
      <c r="A224" s="13" t="s">
        <v>78</v>
      </c>
      <c r="B224" s="14" t="s">
        <v>49</v>
      </c>
      <c r="C224" s="14">
        <v>16.5</v>
      </c>
      <c r="D224" s="16">
        <f>9544-8000-800+106.873</f>
        <v>850.87300000000005</v>
      </c>
      <c r="E224" s="14">
        <v>60</v>
      </c>
      <c r="F224" s="14">
        <v>1974</v>
      </c>
      <c r="G224" s="15">
        <f>C224*F224</f>
        <v>32571</v>
      </c>
      <c r="H224" s="15">
        <f>G224/E224</f>
        <v>542.85</v>
      </c>
      <c r="I224" s="16">
        <f>D224*12*1.302/1974</f>
        <v>6.734569276595745</v>
      </c>
      <c r="J224" s="17">
        <f>I224*H224</f>
        <v>3655.8609318000003</v>
      </c>
    </row>
    <row r="225" spans="1:13">
      <c r="A225" s="18"/>
      <c r="B225" s="5" t="s">
        <v>69</v>
      </c>
      <c r="C225" s="5">
        <v>4</v>
      </c>
      <c r="D225" s="5">
        <f>9544-8000-1000</f>
        <v>544</v>
      </c>
      <c r="E225" s="5">
        <v>60</v>
      </c>
      <c r="F225" s="5">
        <v>1974</v>
      </c>
      <c r="G225" s="6">
        <f t="shared" ref="G225:G229" si="128">C225*F225</f>
        <v>7896</v>
      </c>
      <c r="H225" s="6">
        <f t="shared" ref="H225:H226" si="129">G225/E225</f>
        <v>131.6</v>
      </c>
      <c r="I225" s="7">
        <f t="shared" ref="I225:I229" si="130">D225*12*1.302/1974</f>
        <v>4.3057021276595746</v>
      </c>
      <c r="J225" s="19">
        <f t="shared" ref="J225:J228" si="131">I225*H225</f>
        <v>566.63040000000001</v>
      </c>
    </row>
    <row r="226" spans="1:13">
      <c r="A226" s="18"/>
      <c r="B226" s="5" t="s">
        <v>50</v>
      </c>
      <c r="C226" s="5">
        <v>3</v>
      </c>
      <c r="D226" s="5">
        <f>9544-8000-1000+300</f>
        <v>844</v>
      </c>
      <c r="E226" s="5">
        <v>60</v>
      </c>
      <c r="F226" s="5">
        <v>1974</v>
      </c>
      <c r="G226" s="6">
        <f t="shared" si="128"/>
        <v>5922</v>
      </c>
      <c r="H226" s="6">
        <f t="shared" si="129"/>
        <v>98.7</v>
      </c>
      <c r="I226" s="7">
        <f t="shared" si="130"/>
        <v>6.6801702127659581</v>
      </c>
      <c r="J226" s="19">
        <f t="shared" si="131"/>
        <v>659.33280000000013</v>
      </c>
    </row>
    <row r="227" spans="1:13">
      <c r="A227" s="18"/>
      <c r="B227" s="5" t="s">
        <v>102</v>
      </c>
      <c r="C227" s="5">
        <v>2.5</v>
      </c>
      <c r="D227" s="5">
        <f>9544-8000-1000</f>
        <v>544</v>
      </c>
      <c r="E227" s="5">
        <v>60</v>
      </c>
      <c r="F227" s="5">
        <v>1974</v>
      </c>
      <c r="G227" s="6">
        <f t="shared" si="128"/>
        <v>4935</v>
      </c>
      <c r="H227" s="6">
        <f>G227/E227</f>
        <v>82.25</v>
      </c>
      <c r="I227" s="7">
        <f t="shared" si="130"/>
        <v>4.3057021276595746</v>
      </c>
      <c r="J227" s="19">
        <f t="shared" si="131"/>
        <v>354.14400000000001</v>
      </c>
    </row>
    <row r="228" spans="1:13">
      <c r="A228" s="18"/>
      <c r="B228" s="5" t="s">
        <v>51</v>
      </c>
      <c r="C228" s="5">
        <v>5.25</v>
      </c>
      <c r="D228" s="5">
        <f>9544-8000-1000</f>
        <v>544</v>
      </c>
      <c r="E228" s="5">
        <v>60</v>
      </c>
      <c r="F228" s="5">
        <v>1974</v>
      </c>
      <c r="G228" s="6">
        <f t="shared" si="128"/>
        <v>10363.5</v>
      </c>
      <c r="H228" s="6">
        <f t="shared" ref="H228:H230" si="132">G228/E228</f>
        <v>172.72499999999999</v>
      </c>
      <c r="I228" s="7">
        <f t="shared" si="130"/>
        <v>4.3057021276595746</v>
      </c>
      <c r="J228" s="19">
        <f t="shared" si="131"/>
        <v>743.70240000000001</v>
      </c>
    </row>
    <row r="229" spans="1:13">
      <c r="A229" s="18"/>
      <c r="B229" s="5" t="s">
        <v>103</v>
      </c>
      <c r="C229" s="102">
        <v>1</v>
      </c>
      <c r="D229" s="5">
        <f>9544-8000-500</f>
        <v>1044</v>
      </c>
      <c r="E229" s="5">
        <v>60</v>
      </c>
      <c r="F229" s="5">
        <v>1974</v>
      </c>
      <c r="G229" s="6">
        <f t="shared" si="128"/>
        <v>1974</v>
      </c>
      <c r="H229" s="6">
        <f t="shared" si="132"/>
        <v>32.9</v>
      </c>
      <c r="I229" s="7">
        <f t="shared" si="130"/>
        <v>8.2631489361702126</v>
      </c>
      <c r="J229" s="19">
        <f>I229*H229</f>
        <v>271.85759999999999</v>
      </c>
    </row>
    <row r="230" spans="1:13">
      <c r="A230" s="18"/>
      <c r="B230" s="5"/>
      <c r="C230" s="102"/>
      <c r="D230" s="5"/>
      <c r="E230" s="5"/>
      <c r="F230" s="5"/>
      <c r="G230" s="6"/>
      <c r="H230" s="6"/>
      <c r="I230" s="7"/>
      <c r="J230" s="19">
        <f t="shared" ref="J230:J233" si="133">I230*H230</f>
        <v>0</v>
      </c>
    </row>
    <row r="231" spans="1:13" ht="15.75" thickBot="1">
      <c r="A231" s="20"/>
      <c r="B231" s="21"/>
      <c r="C231" s="21">
        <f>SUM(C224:C230)</f>
        <v>32.25</v>
      </c>
      <c r="D231" s="21"/>
      <c r="E231" s="21"/>
      <c r="F231" s="21"/>
      <c r="G231" s="22"/>
      <c r="H231" s="22"/>
      <c r="I231" s="23"/>
      <c r="J231" s="24">
        <f>SUM(J224:J230)</f>
        <v>6251.5281318000007</v>
      </c>
    </row>
    <row r="232" spans="1:13" ht="15.75" thickBot="1">
      <c r="A232" s="69"/>
      <c r="B232" s="70"/>
      <c r="C232" s="70"/>
      <c r="D232" s="70"/>
      <c r="E232" s="70"/>
      <c r="F232" s="70"/>
      <c r="G232" s="74"/>
      <c r="H232" s="100" t="s">
        <v>66</v>
      </c>
      <c r="I232" s="101"/>
      <c r="J232" s="72">
        <f>J231-J233</f>
        <v>0</v>
      </c>
      <c r="K232" s="68">
        <f>J232*122</f>
        <v>0</v>
      </c>
      <c r="L232" s="68"/>
      <c r="M232" s="68">
        <f>L232-K232</f>
        <v>0</v>
      </c>
    </row>
    <row r="233" spans="1:13" ht="15.75" thickBot="1">
      <c r="A233" s="69"/>
      <c r="B233" s="70"/>
      <c r="C233" s="70"/>
      <c r="D233" s="70"/>
      <c r="E233" s="70"/>
      <c r="F233" s="70"/>
      <c r="G233" s="74"/>
      <c r="H233" s="100" t="s">
        <v>63</v>
      </c>
      <c r="I233" s="101"/>
      <c r="J233" s="72">
        <f>J224+J225+J226+J227+J228+J229</f>
        <v>6251.5281318000007</v>
      </c>
      <c r="K233" s="68">
        <f>J233*E224</f>
        <v>375091.68790800002</v>
      </c>
      <c r="L233" s="68">
        <f>(3748930+1132177+7800-75581.1-62339.8-62339.8)*0.08</f>
        <v>375091.70400000009</v>
      </c>
      <c r="M233" s="68">
        <f>L233-K233</f>
        <v>1.6092000063508749E-2</v>
      </c>
    </row>
    <row r="234" spans="1:13">
      <c r="A234" s="13" t="s">
        <v>79</v>
      </c>
      <c r="B234" s="14" t="s">
        <v>49</v>
      </c>
      <c r="C234" s="103">
        <v>22.5</v>
      </c>
      <c r="D234" s="16">
        <f>9544-8000-500-180+45.0924</f>
        <v>909.0924</v>
      </c>
      <c r="E234" s="14">
        <v>92</v>
      </c>
      <c r="F234" s="14">
        <v>1974</v>
      </c>
      <c r="G234" s="15">
        <f>C234*F234</f>
        <v>44415</v>
      </c>
      <c r="H234" s="15">
        <f>G234/E234</f>
        <v>482.77173913043481</v>
      </c>
      <c r="I234" s="16">
        <f>D234*12*1.302/1974</f>
        <v>7.1953696340425539</v>
      </c>
      <c r="J234" s="17">
        <f>I234*H234</f>
        <v>3473.7211119130438</v>
      </c>
    </row>
    <row r="235" spans="1:13">
      <c r="A235" s="18"/>
      <c r="B235" s="5" t="s">
        <v>69</v>
      </c>
      <c r="C235" s="5">
        <v>3</v>
      </c>
      <c r="D235" s="5">
        <f>9544-8000-500-300</f>
        <v>744</v>
      </c>
      <c r="E235" s="5">
        <v>92</v>
      </c>
      <c r="F235" s="5">
        <v>1974</v>
      </c>
      <c r="G235" s="6">
        <f t="shared" ref="G235:G239" si="134">C235*F235</f>
        <v>5922</v>
      </c>
      <c r="H235" s="6">
        <f t="shared" ref="H235:H236" si="135">G235/E235</f>
        <v>64.369565217391298</v>
      </c>
      <c r="I235" s="7">
        <f t="shared" ref="I235:I239" si="136">D235*12*1.302/1974</f>
        <v>5.88868085106383</v>
      </c>
      <c r="J235" s="19">
        <f t="shared" ref="J235:J238" si="137">I235*H235</f>
        <v>379.05182608695651</v>
      </c>
    </row>
    <row r="236" spans="1:13">
      <c r="A236" s="18"/>
      <c r="B236" s="5" t="s">
        <v>50</v>
      </c>
      <c r="C236" s="5">
        <v>3</v>
      </c>
      <c r="D236" s="5">
        <f>9544-8000-800+100</f>
        <v>844</v>
      </c>
      <c r="E236" s="5">
        <v>92</v>
      </c>
      <c r="F236" s="5">
        <v>1974</v>
      </c>
      <c r="G236" s="6">
        <f t="shared" si="134"/>
        <v>5922</v>
      </c>
      <c r="H236" s="6">
        <f t="shared" si="135"/>
        <v>64.369565217391298</v>
      </c>
      <c r="I236" s="7">
        <f t="shared" si="136"/>
        <v>6.6801702127659581</v>
      </c>
      <c r="J236" s="19">
        <f t="shared" si="137"/>
        <v>429.99965217391303</v>
      </c>
    </row>
    <row r="237" spans="1:13">
      <c r="A237" s="18"/>
      <c r="B237" s="5" t="s">
        <v>102</v>
      </c>
      <c r="C237" s="5">
        <v>2</v>
      </c>
      <c r="D237" s="5">
        <f>9544-8000-500-300+100</f>
        <v>844</v>
      </c>
      <c r="E237" s="5">
        <v>92</v>
      </c>
      <c r="F237" s="5">
        <v>1974</v>
      </c>
      <c r="G237" s="6">
        <f t="shared" si="134"/>
        <v>3948</v>
      </c>
      <c r="H237" s="6">
        <f>G237/E237</f>
        <v>42.913043478260867</v>
      </c>
      <c r="I237" s="7">
        <f t="shared" si="136"/>
        <v>6.6801702127659581</v>
      </c>
      <c r="J237" s="19">
        <f t="shared" si="137"/>
        <v>286.66643478260869</v>
      </c>
    </row>
    <row r="238" spans="1:13">
      <c r="A238" s="18"/>
      <c r="B238" s="5" t="s">
        <v>51</v>
      </c>
      <c r="C238" s="5">
        <v>2</v>
      </c>
      <c r="D238" s="5">
        <f>9544-8000-500-300</f>
        <v>744</v>
      </c>
      <c r="E238" s="5">
        <v>92</v>
      </c>
      <c r="F238" s="5">
        <v>1974</v>
      </c>
      <c r="G238" s="6">
        <f t="shared" si="134"/>
        <v>3948</v>
      </c>
      <c r="H238" s="6">
        <f t="shared" ref="H238:H240" si="138">G238/E238</f>
        <v>42.913043478260867</v>
      </c>
      <c r="I238" s="7">
        <f t="shared" si="136"/>
        <v>5.88868085106383</v>
      </c>
      <c r="J238" s="19">
        <f t="shared" si="137"/>
        <v>252.70121739130434</v>
      </c>
    </row>
    <row r="239" spans="1:13">
      <c r="A239" s="18"/>
      <c r="B239" s="5" t="s">
        <v>103</v>
      </c>
      <c r="C239" s="102"/>
      <c r="D239" s="5"/>
      <c r="E239" s="5">
        <v>92</v>
      </c>
      <c r="F239" s="5">
        <v>1974</v>
      </c>
      <c r="G239" s="6">
        <f t="shared" si="134"/>
        <v>0</v>
      </c>
      <c r="H239" s="6">
        <f t="shared" si="138"/>
        <v>0</v>
      </c>
      <c r="I239" s="7">
        <f t="shared" si="136"/>
        <v>0</v>
      </c>
      <c r="J239" s="19">
        <f>I239*H239</f>
        <v>0</v>
      </c>
    </row>
    <row r="240" spans="1:13">
      <c r="A240" s="18"/>
      <c r="B240" s="5"/>
      <c r="C240" s="102"/>
      <c r="D240" s="5"/>
      <c r="E240" s="5"/>
      <c r="F240" s="5"/>
      <c r="G240" s="6"/>
      <c r="H240" s="6"/>
      <c r="I240" s="7"/>
      <c r="J240" s="19">
        <f t="shared" ref="J240:J243" si="139">I240*H240</f>
        <v>0</v>
      </c>
    </row>
    <row r="241" spans="1:13" ht="15.75" thickBot="1">
      <c r="A241" s="20"/>
      <c r="B241" s="21"/>
      <c r="C241" s="21">
        <f>SUM(C234:C240)</f>
        <v>32.5</v>
      </c>
      <c r="D241" s="21"/>
      <c r="E241" s="21"/>
      <c r="F241" s="21"/>
      <c r="G241" s="22"/>
      <c r="H241" s="22"/>
      <c r="I241" s="23"/>
      <c r="J241" s="24">
        <f>SUM(J234:J240)</f>
        <v>4822.1402423478266</v>
      </c>
    </row>
    <row r="242" spans="1:13" ht="15.75" thickBot="1">
      <c r="A242" s="69"/>
      <c r="B242" s="70"/>
      <c r="C242" s="70"/>
      <c r="D242" s="70"/>
      <c r="E242" s="70"/>
      <c r="F242" s="70"/>
      <c r="G242" s="74"/>
      <c r="H242" s="100" t="s">
        <v>66</v>
      </c>
      <c r="I242" s="101"/>
      <c r="J242" s="72">
        <f>J241-J243</f>
        <v>0</v>
      </c>
      <c r="K242" s="68">
        <f>J242*122</f>
        <v>0</v>
      </c>
      <c r="L242" s="68"/>
      <c r="M242" s="68">
        <f>L242-K242</f>
        <v>0</v>
      </c>
    </row>
    <row r="243" spans="1:13" ht="15.75" thickBot="1">
      <c r="A243" s="69"/>
      <c r="B243" s="70"/>
      <c r="C243" s="70"/>
      <c r="D243" s="70"/>
      <c r="E243" s="70"/>
      <c r="F243" s="70"/>
      <c r="G243" s="74"/>
      <c r="H243" s="100" t="s">
        <v>63</v>
      </c>
      <c r="I243" s="101"/>
      <c r="J243" s="72">
        <f>J234+J235+J236+J237+J238+J239</f>
        <v>4822.1402423478266</v>
      </c>
      <c r="K243" s="68">
        <f>J243*E234</f>
        <v>443636.90229600004</v>
      </c>
      <c r="L243" s="68">
        <f>(3221071+972763-80385.5-80385.5)*0.11</f>
        <v>443636.93</v>
      </c>
      <c r="M243" s="68">
        <f>L243-K243</f>
        <v>2.7703999949153513E-2</v>
      </c>
    </row>
    <row r="244" spans="1:13">
      <c r="A244" s="13" t="s">
        <v>80</v>
      </c>
      <c r="B244" s="14" t="s">
        <v>49</v>
      </c>
      <c r="C244" s="14">
        <v>14</v>
      </c>
      <c r="D244" s="16">
        <f>9544-8000-800+3.893</f>
        <v>747.89300000000003</v>
      </c>
      <c r="E244" s="14">
        <v>40</v>
      </c>
      <c r="F244" s="14">
        <v>1974</v>
      </c>
      <c r="G244" s="15">
        <f>C244*F244</f>
        <v>27636</v>
      </c>
      <c r="H244" s="15">
        <f>G244/E244</f>
        <v>690.9</v>
      </c>
      <c r="I244" s="16">
        <f>D244*12*1.302/1974</f>
        <v>5.9194935319148936</v>
      </c>
      <c r="J244" s="17">
        <f>I244*H244</f>
        <v>4089.7780811999996</v>
      </c>
    </row>
    <row r="245" spans="1:13">
      <c r="A245" s="18"/>
      <c r="B245" s="5" t="s">
        <v>69</v>
      </c>
      <c r="C245" s="5">
        <v>2</v>
      </c>
      <c r="D245" s="5">
        <f>9544-8000-800</f>
        <v>744</v>
      </c>
      <c r="E245" s="5">
        <v>40</v>
      </c>
      <c r="F245" s="5">
        <v>1974</v>
      </c>
      <c r="G245" s="6">
        <f t="shared" ref="G245:G249" si="140">C245*F245</f>
        <v>3948</v>
      </c>
      <c r="H245" s="6">
        <f t="shared" ref="H245:H246" si="141">G245/E245</f>
        <v>98.7</v>
      </c>
      <c r="I245" s="7">
        <f t="shared" ref="I245:I249" si="142">D245*12*1.302/1974</f>
        <v>5.88868085106383</v>
      </c>
      <c r="J245" s="19">
        <f t="shared" ref="J245:J248" si="143">I245*H245</f>
        <v>581.21280000000002</v>
      </c>
    </row>
    <row r="246" spans="1:13">
      <c r="A246" s="18"/>
      <c r="B246" s="5" t="s">
        <v>50</v>
      </c>
      <c r="C246" s="5">
        <v>3</v>
      </c>
      <c r="D246" s="5">
        <f>9544-8000-800+70</f>
        <v>814</v>
      </c>
      <c r="E246" s="5">
        <v>40</v>
      </c>
      <c r="F246" s="5">
        <v>1974</v>
      </c>
      <c r="G246" s="6">
        <f t="shared" si="140"/>
        <v>5922</v>
      </c>
      <c r="H246" s="6">
        <f t="shared" si="141"/>
        <v>148.05000000000001</v>
      </c>
      <c r="I246" s="7">
        <f t="shared" si="142"/>
        <v>6.442723404255319</v>
      </c>
      <c r="J246" s="19">
        <f t="shared" si="143"/>
        <v>953.84520000000009</v>
      </c>
    </row>
    <row r="247" spans="1:13">
      <c r="A247" s="18"/>
      <c r="B247" s="5" t="s">
        <v>102</v>
      </c>
      <c r="C247" s="5">
        <v>1</v>
      </c>
      <c r="D247" s="5">
        <f>9544-8000-800</f>
        <v>744</v>
      </c>
      <c r="E247" s="5">
        <v>40</v>
      </c>
      <c r="F247" s="5">
        <v>1974</v>
      </c>
      <c r="G247" s="6">
        <f t="shared" si="140"/>
        <v>1974</v>
      </c>
      <c r="H247" s="6">
        <f>G247/E247</f>
        <v>49.35</v>
      </c>
      <c r="I247" s="7">
        <f t="shared" si="142"/>
        <v>5.88868085106383</v>
      </c>
      <c r="J247" s="19">
        <f t="shared" si="143"/>
        <v>290.60640000000001</v>
      </c>
    </row>
    <row r="248" spans="1:13">
      <c r="A248" s="18"/>
      <c r="B248" s="5" t="s">
        <v>51</v>
      </c>
      <c r="C248" s="5">
        <v>1.5</v>
      </c>
      <c r="D248" s="5">
        <f>9544-8000-800</f>
        <v>744</v>
      </c>
      <c r="E248" s="5">
        <v>40</v>
      </c>
      <c r="F248" s="5">
        <v>1974</v>
      </c>
      <c r="G248" s="6">
        <f t="shared" si="140"/>
        <v>2961</v>
      </c>
      <c r="H248" s="6">
        <f t="shared" ref="H248:H250" si="144">G248/E248</f>
        <v>74.025000000000006</v>
      </c>
      <c r="I248" s="7">
        <f t="shared" si="142"/>
        <v>5.88868085106383</v>
      </c>
      <c r="J248" s="19">
        <f t="shared" si="143"/>
        <v>435.90960000000007</v>
      </c>
    </row>
    <row r="249" spans="1:13">
      <c r="A249" s="18"/>
      <c r="B249" s="5" t="s">
        <v>103</v>
      </c>
      <c r="C249" s="102">
        <v>1</v>
      </c>
      <c r="D249" s="5">
        <f>9544-8000-600+50</f>
        <v>994</v>
      </c>
      <c r="E249" s="5">
        <v>40</v>
      </c>
      <c r="F249" s="5">
        <v>1974</v>
      </c>
      <c r="G249" s="6">
        <f t="shared" si="140"/>
        <v>1974</v>
      </c>
      <c r="H249" s="6">
        <f t="shared" si="144"/>
        <v>49.35</v>
      </c>
      <c r="I249" s="7">
        <f t="shared" si="142"/>
        <v>7.8674042553191494</v>
      </c>
      <c r="J249" s="19">
        <f>I249*H249</f>
        <v>388.25640000000004</v>
      </c>
    </row>
    <row r="250" spans="1:13">
      <c r="A250" s="18"/>
      <c r="B250" s="5"/>
      <c r="C250" s="102"/>
      <c r="D250" s="5"/>
      <c r="E250" s="5"/>
      <c r="F250" s="5"/>
      <c r="G250" s="6"/>
      <c r="H250" s="6"/>
      <c r="I250" s="7"/>
      <c r="J250" s="19">
        <f t="shared" ref="J250:J253" si="145">I250*H250</f>
        <v>0</v>
      </c>
    </row>
    <row r="251" spans="1:13" ht="15.75" thickBot="1">
      <c r="A251" s="20"/>
      <c r="B251" s="21"/>
      <c r="C251" s="21">
        <f>SUM(C244:C250)</f>
        <v>22.5</v>
      </c>
      <c r="D251" s="21"/>
      <c r="E251" s="21"/>
      <c r="F251" s="21"/>
      <c r="G251" s="22"/>
      <c r="H251" s="22"/>
      <c r="I251" s="23"/>
      <c r="J251" s="24">
        <f>SUM(J244:J250)</f>
        <v>6739.608481199999</v>
      </c>
    </row>
    <row r="252" spans="1:13" ht="15.75" thickBot="1">
      <c r="A252" s="69"/>
      <c r="B252" s="70"/>
      <c r="C252" s="70"/>
      <c r="D252" s="70"/>
      <c r="E252" s="70"/>
      <c r="F252" s="70"/>
      <c r="G252" s="74"/>
      <c r="H252" s="100" t="s">
        <v>66</v>
      </c>
      <c r="I252" s="101"/>
      <c r="J252" s="72">
        <f>J251-J253</f>
        <v>0</v>
      </c>
      <c r="K252" s="68">
        <f>J252*122</f>
        <v>0</v>
      </c>
      <c r="L252" s="68"/>
      <c r="M252" s="68">
        <f>L252-K252</f>
        <v>0</v>
      </c>
    </row>
    <row r="253" spans="1:13" ht="15.75" thickBot="1">
      <c r="A253" s="69"/>
      <c r="B253" s="70"/>
      <c r="C253" s="70"/>
      <c r="D253" s="70"/>
      <c r="E253" s="70"/>
      <c r="F253" s="70"/>
      <c r="G253" s="74"/>
      <c r="H253" s="100" t="s">
        <v>63</v>
      </c>
      <c r="I253" s="101"/>
      <c r="J253" s="72">
        <f>J244+J245+J246+J247+J248+J249</f>
        <v>6739.608481199999</v>
      </c>
      <c r="K253" s="68">
        <f>J253*E244</f>
        <v>269584.33924799995</v>
      </c>
      <c r="L253" s="68">
        <f>(2701883+815964+3120-52731-49215.6-49215.6)*0.08</f>
        <v>269584.38399999996</v>
      </c>
      <c r="M253" s="68">
        <f>L253-K253</f>
        <v>4.4752000016160309E-2</v>
      </c>
    </row>
    <row r="254" spans="1:13">
      <c r="A254" s="13" t="s">
        <v>81</v>
      </c>
      <c r="B254" s="14" t="s">
        <v>49</v>
      </c>
      <c r="C254" s="14">
        <v>16.75</v>
      </c>
      <c r="D254" s="16">
        <f>9544-8500+121.223</f>
        <v>1165.223</v>
      </c>
      <c r="E254" s="14">
        <v>114</v>
      </c>
      <c r="F254" s="14">
        <v>1974</v>
      </c>
      <c r="G254" s="15">
        <f>C254*F254</f>
        <v>33064.5</v>
      </c>
      <c r="H254" s="15">
        <f>G254/E254</f>
        <v>290.03947368421052</v>
      </c>
      <c r="I254" s="16">
        <f>D254*12*1.302/1974</f>
        <v>9.2226160851063828</v>
      </c>
      <c r="J254" s="17">
        <f>I254*H254</f>
        <v>2674.9227153157894</v>
      </c>
    </row>
    <row r="255" spans="1:13">
      <c r="A255" s="18"/>
      <c r="B255" s="5" t="s">
        <v>69</v>
      </c>
      <c r="C255" s="5">
        <v>2</v>
      </c>
      <c r="D255" s="5">
        <f>9544-8700+200</f>
        <v>1044</v>
      </c>
      <c r="E255" s="5">
        <v>114</v>
      </c>
      <c r="F255" s="5">
        <v>1974</v>
      </c>
      <c r="G255" s="6">
        <f t="shared" ref="G255:G259" si="146">C255*F255</f>
        <v>3948</v>
      </c>
      <c r="H255" s="6">
        <f t="shared" ref="H255:H256" si="147">G255/E255</f>
        <v>34.631578947368418</v>
      </c>
      <c r="I255" s="7">
        <f t="shared" ref="I255:I259" si="148">D255*12*1.302/1974</f>
        <v>8.2631489361702126</v>
      </c>
      <c r="J255" s="19">
        <f t="shared" ref="J255:J258" si="149">I255*H255</f>
        <v>286.16589473684206</v>
      </c>
    </row>
    <row r="256" spans="1:13">
      <c r="A256" s="18"/>
      <c r="B256" s="5" t="s">
        <v>50</v>
      </c>
      <c r="C256" s="5">
        <v>6</v>
      </c>
      <c r="D256" s="5">
        <f>9544-8500+300</f>
        <v>1344</v>
      </c>
      <c r="E256" s="5">
        <v>114</v>
      </c>
      <c r="F256" s="5">
        <v>1974</v>
      </c>
      <c r="G256" s="6">
        <f t="shared" si="146"/>
        <v>11844</v>
      </c>
      <c r="H256" s="6">
        <f t="shared" si="147"/>
        <v>103.89473684210526</v>
      </c>
      <c r="I256" s="7">
        <f t="shared" si="148"/>
        <v>10.637617021276595</v>
      </c>
      <c r="J256" s="19">
        <f t="shared" si="149"/>
        <v>1105.1924210526315</v>
      </c>
    </row>
    <row r="257" spans="1:13">
      <c r="A257" s="18"/>
      <c r="B257" s="5" t="s">
        <v>102</v>
      </c>
      <c r="C257" s="5">
        <v>3</v>
      </c>
      <c r="D257" s="5">
        <f>9544-8500+300</f>
        <v>1344</v>
      </c>
      <c r="E257" s="5">
        <v>114</v>
      </c>
      <c r="F257" s="5">
        <v>1974</v>
      </c>
      <c r="G257" s="6">
        <f t="shared" si="146"/>
        <v>5922</v>
      </c>
      <c r="H257" s="6">
        <f>G257/E257</f>
        <v>51.94736842105263</v>
      </c>
      <c r="I257" s="7">
        <f t="shared" si="148"/>
        <v>10.637617021276595</v>
      </c>
      <c r="J257" s="19">
        <f t="shared" si="149"/>
        <v>552.59621052631576</v>
      </c>
    </row>
    <row r="258" spans="1:13">
      <c r="A258" s="18"/>
      <c r="B258" s="5" t="s">
        <v>51</v>
      </c>
      <c r="C258" s="5">
        <v>6</v>
      </c>
      <c r="D258" s="5">
        <f>9544-8600+70</f>
        <v>1014</v>
      </c>
      <c r="E258" s="5">
        <v>114</v>
      </c>
      <c r="F258" s="5">
        <v>1974</v>
      </c>
      <c r="G258" s="6">
        <f t="shared" si="146"/>
        <v>11844</v>
      </c>
      <c r="H258" s="6">
        <f t="shared" ref="H258:H260" si="150">G258/E258</f>
        <v>103.89473684210526</v>
      </c>
      <c r="I258" s="7">
        <f t="shared" si="148"/>
        <v>8.0257021276595744</v>
      </c>
      <c r="J258" s="19">
        <f t="shared" si="149"/>
        <v>833.82821052631573</v>
      </c>
    </row>
    <row r="259" spans="1:13">
      <c r="A259" s="18"/>
      <c r="B259" s="5" t="s">
        <v>103</v>
      </c>
      <c r="C259" s="102"/>
      <c r="D259" s="5"/>
      <c r="E259" s="5">
        <v>114</v>
      </c>
      <c r="F259" s="5">
        <v>1974</v>
      </c>
      <c r="G259" s="6">
        <f t="shared" si="146"/>
        <v>0</v>
      </c>
      <c r="H259" s="6">
        <f t="shared" si="150"/>
        <v>0</v>
      </c>
      <c r="I259" s="7">
        <f t="shared" si="148"/>
        <v>0</v>
      </c>
      <c r="J259" s="19">
        <f>I259*H259</f>
        <v>0</v>
      </c>
    </row>
    <row r="260" spans="1:13">
      <c r="A260" s="18"/>
      <c r="B260" s="5"/>
      <c r="C260" s="102"/>
      <c r="D260" s="5"/>
      <c r="E260" s="5"/>
      <c r="F260" s="5"/>
      <c r="G260" s="6"/>
      <c r="H260" s="6"/>
      <c r="I260" s="7"/>
      <c r="J260" s="19">
        <f t="shared" ref="J260:J263" si="151">I260*H260</f>
        <v>0</v>
      </c>
    </row>
    <row r="261" spans="1:13" ht="15.75" thickBot="1">
      <c r="A261" s="20"/>
      <c r="B261" s="21"/>
      <c r="C261" s="21">
        <f>SUM(C254:C260)</f>
        <v>33.75</v>
      </c>
      <c r="D261" s="21"/>
      <c r="E261" s="21"/>
      <c r="F261" s="21"/>
      <c r="G261" s="22"/>
      <c r="H261" s="22"/>
      <c r="I261" s="23"/>
      <c r="J261" s="24">
        <f>SUM(J254:J260)</f>
        <v>5452.7054521578948</v>
      </c>
    </row>
    <row r="262" spans="1:13" ht="15.75" thickBot="1">
      <c r="A262" s="69"/>
      <c r="B262" s="70"/>
      <c r="C262" s="70"/>
      <c r="D262" s="70"/>
      <c r="E262" s="70"/>
      <c r="F262" s="70"/>
      <c r="G262" s="74"/>
      <c r="H262" s="100" t="s">
        <v>66</v>
      </c>
      <c r="I262" s="101"/>
      <c r="J262" s="72">
        <f>J261-J263</f>
        <v>0</v>
      </c>
      <c r="K262" s="68">
        <f>J262*122</f>
        <v>0</v>
      </c>
      <c r="L262" s="68"/>
      <c r="M262" s="68">
        <f>L262-K262</f>
        <v>0</v>
      </c>
    </row>
    <row r="263" spans="1:13" ht="15.75" thickBot="1">
      <c r="A263" s="69"/>
      <c r="B263" s="70"/>
      <c r="C263" s="70"/>
      <c r="D263" s="70"/>
      <c r="E263" s="70"/>
      <c r="F263" s="70"/>
      <c r="G263" s="74"/>
      <c r="H263" s="100" t="s">
        <v>63</v>
      </c>
      <c r="I263" s="101"/>
      <c r="J263" s="72">
        <f>J254+J255+J256+J257+J258+J259</f>
        <v>5452.7054521578948</v>
      </c>
      <c r="K263" s="68">
        <f>J263*E254</f>
        <v>621608.42154600006</v>
      </c>
      <c r="L263" s="68">
        <f>(3830400+1156781+3120-79096.5-64800.5-64800.5)*0.13</f>
        <v>621608.45500000007</v>
      </c>
      <c r="M263" s="68">
        <f>L263-K263</f>
        <v>3.3454000018537045E-2</v>
      </c>
    </row>
    <row r="264" spans="1:13">
      <c r="A264" s="13" t="s">
        <v>82</v>
      </c>
      <c r="B264" s="14" t="s">
        <v>49</v>
      </c>
      <c r="C264" s="14">
        <v>7.25</v>
      </c>
      <c r="D264" s="16">
        <f>9544-9000+901.6565</f>
        <v>1445.6565000000001</v>
      </c>
      <c r="E264" s="14">
        <v>33</v>
      </c>
      <c r="F264" s="14">
        <v>1974</v>
      </c>
      <c r="G264" s="15">
        <f>C264*F264</f>
        <v>14311.5</v>
      </c>
      <c r="H264" s="15">
        <f>G264/E264</f>
        <v>433.68181818181819</v>
      </c>
      <c r="I264" s="16">
        <f>D264*12*1.302/1974</f>
        <v>11.442217404255318</v>
      </c>
      <c r="J264" s="17">
        <f>I264*H264</f>
        <v>4962.2816479090907</v>
      </c>
    </row>
    <row r="265" spans="1:13">
      <c r="A265" s="18"/>
      <c r="B265" s="5" t="s">
        <v>69</v>
      </c>
      <c r="C265" s="5">
        <v>2</v>
      </c>
      <c r="D265" s="5">
        <f>9544-9000+500</f>
        <v>1044</v>
      </c>
      <c r="E265" s="5">
        <v>33</v>
      </c>
      <c r="F265" s="5">
        <v>1974</v>
      </c>
      <c r="G265" s="6">
        <f t="shared" ref="G265:G269" si="152">C265*F265</f>
        <v>3948</v>
      </c>
      <c r="H265" s="6">
        <f t="shared" ref="H265:H266" si="153">G265/E265</f>
        <v>119.63636363636364</v>
      </c>
      <c r="I265" s="7">
        <f t="shared" ref="I265:I269" si="154">D265*12*1.302/1974</f>
        <v>8.2631489361702126</v>
      </c>
      <c r="J265" s="19">
        <f t="shared" ref="J265:J268" si="155">I265*H265</f>
        <v>988.57309090909098</v>
      </c>
    </row>
    <row r="266" spans="1:13">
      <c r="A266" s="18"/>
      <c r="B266" s="5" t="s">
        <v>50</v>
      </c>
      <c r="C266" s="5">
        <v>2.5</v>
      </c>
      <c r="D266" s="5">
        <f>9544-8500+500</f>
        <v>1544</v>
      </c>
      <c r="E266" s="5">
        <v>33</v>
      </c>
      <c r="F266" s="5">
        <v>1974</v>
      </c>
      <c r="G266" s="6">
        <f t="shared" si="152"/>
        <v>4935</v>
      </c>
      <c r="H266" s="6">
        <f t="shared" si="153"/>
        <v>149.54545454545453</v>
      </c>
      <c r="I266" s="7">
        <f t="shared" si="154"/>
        <v>12.220595744680852</v>
      </c>
      <c r="J266" s="19">
        <f t="shared" si="155"/>
        <v>1827.5345454545454</v>
      </c>
    </row>
    <row r="267" spans="1:13">
      <c r="A267" s="18"/>
      <c r="B267" s="5" t="s">
        <v>102</v>
      </c>
      <c r="C267" s="5">
        <v>1</v>
      </c>
      <c r="D267" s="5">
        <f>9544-8500+300</f>
        <v>1344</v>
      </c>
      <c r="E267" s="5">
        <v>33</v>
      </c>
      <c r="F267" s="5">
        <v>1974</v>
      </c>
      <c r="G267" s="6">
        <f t="shared" si="152"/>
        <v>1974</v>
      </c>
      <c r="H267" s="6">
        <f>G267/E267</f>
        <v>59.81818181818182</v>
      </c>
      <c r="I267" s="7">
        <f t="shared" si="154"/>
        <v>10.637617021276595</v>
      </c>
      <c r="J267" s="19">
        <f t="shared" si="155"/>
        <v>636.32290909090909</v>
      </c>
    </row>
    <row r="268" spans="1:13">
      <c r="A268" s="18"/>
      <c r="B268" s="5" t="s">
        <v>51</v>
      </c>
      <c r="C268" s="5">
        <v>1</v>
      </c>
      <c r="D268" s="5">
        <f>9544-9000+800</f>
        <v>1344</v>
      </c>
      <c r="E268" s="5">
        <v>33</v>
      </c>
      <c r="F268" s="5">
        <v>1974</v>
      </c>
      <c r="G268" s="6">
        <f t="shared" si="152"/>
        <v>1974</v>
      </c>
      <c r="H268" s="6">
        <f t="shared" ref="H268:H270" si="156">G268/E268</f>
        <v>59.81818181818182</v>
      </c>
      <c r="I268" s="7">
        <f t="shared" si="154"/>
        <v>10.637617021276595</v>
      </c>
      <c r="J268" s="19">
        <f t="shared" si="155"/>
        <v>636.32290909090909</v>
      </c>
    </row>
    <row r="269" spans="1:13">
      <c r="A269" s="18"/>
      <c r="B269" s="5" t="s">
        <v>103</v>
      </c>
      <c r="C269" s="102"/>
      <c r="D269" s="5"/>
      <c r="E269" s="5">
        <v>33</v>
      </c>
      <c r="F269" s="5">
        <v>1974</v>
      </c>
      <c r="G269" s="6">
        <f t="shared" si="152"/>
        <v>0</v>
      </c>
      <c r="H269" s="6">
        <f t="shared" si="156"/>
        <v>0</v>
      </c>
      <c r="I269" s="7">
        <f t="shared" si="154"/>
        <v>0</v>
      </c>
      <c r="J269" s="19">
        <f>I269*H269</f>
        <v>0</v>
      </c>
    </row>
    <row r="270" spans="1:13">
      <c r="A270" s="18"/>
      <c r="B270" s="5"/>
      <c r="C270" s="102"/>
      <c r="D270" s="5"/>
      <c r="E270" s="5"/>
      <c r="F270" s="5"/>
      <c r="G270" s="6"/>
      <c r="H270" s="6"/>
      <c r="I270" s="7"/>
      <c r="J270" s="19">
        <f t="shared" ref="J270:J273" si="157">I270*H270</f>
        <v>0</v>
      </c>
    </row>
    <row r="271" spans="1:13" ht="15.75" thickBot="1">
      <c r="A271" s="20"/>
      <c r="B271" s="21"/>
      <c r="C271" s="21">
        <f>SUM(C264:C270)</f>
        <v>13.75</v>
      </c>
      <c r="D271" s="21"/>
      <c r="E271" s="21"/>
      <c r="F271" s="21"/>
      <c r="G271" s="22"/>
      <c r="H271" s="22"/>
      <c r="I271" s="23"/>
      <c r="J271" s="24">
        <f>SUM(J264:J270)</f>
        <v>9051.0351024545471</v>
      </c>
    </row>
    <row r="272" spans="1:13" ht="15.75" thickBot="1">
      <c r="A272" s="69"/>
      <c r="B272" s="70"/>
      <c r="C272" s="70"/>
      <c r="D272" s="70"/>
      <c r="E272" s="70"/>
      <c r="F272" s="70"/>
      <c r="G272" s="74"/>
      <c r="H272" s="100" t="s">
        <v>66</v>
      </c>
      <c r="I272" s="101"/>
      <c r="J272" s="72">
        <f>J271-J273</f>
        <v>0</v>
      </c>
      <c r="K272" s="68">
        <f>J272*122</f>
        <v>0</v>
      </c>
      <c r="L272" s="68"/>
      <c r="M272" s="68">
        <f>L272-K272</f>
        <v>0</v>
      </c>
    </row>
    <row r="273" spans="1:13" ht="15.75" thickBot="1">
      <c r="A273" s="69"/>
      <c r="B273" s="70"/>
      <c r="C273" s="70"/>
      <c r="D273" s="70"/>
      <c r="E273" s="70"/>
      <c r="F273" s="70"/>
      <c r="G273" s="74"/>
      <c r="H273" s="100" t="s">
        <v>63</v>
      </c>
      <c r="I273" s="101"/>
      <c r="J273" s="72">
        <f>J264+J265+J266+J267+J268+J269</f>
        <v>9051.0351024545471</v>
      </c>
      <c r="K273" s="68">
        <f>J273*E264</f>
        <v>298684.15838100004</v>
      </c>
      <c r="L273" s="68">
        <f>(1674519+505705-27668.6-27668.6)*0.14+1200</f>
        <v>298684.152</v>
      </c>
      <c r="M273" s="68">
        <f>L273-K273</f>
        <v>-6.3810000428929925E-3</v>
      </c>
    </row>
    <row r="274" spans="1:13">
      <c r="A274" s="13" t="s">
        <v>83</v>
      </c>
      <c r="B274" s="14" t="s">
        <v>49</v>
      </c>
      <c r="C274" s="14">
        <v>5.25</v>
      </c>
      <c r="D274" s="16">
        <f>9544-6000+1600+69.525</f>
        <v>5213.5249999999996</v>
      </c>
      <c r="E274" s="14"/>
      <c r="F274" s="14">
        <v>1974</v>
      </c>
      <c r="G274" s="15">
        <f>C274*F274</f>
        <v>10363.5</v>
      </c>
      <c r="H274" s="15" t="e">
        <f>G274/E274</f>
        <v>#DIV/0!</v>
      </c>
      <c r="I274" s="16">
        <f>D274*12*1.302/1974</f>
        <v>41.26449574468085</v>
      </c>
      <c r="J274" s="17" t="e">
        <f>I274*H274</f>
        <v>#DIV/0!</v>
      </c>
    </row>
    <row r="275" spans="1:13">
      <c r="A275" s="18"/>
      <c r="B275" s="5" t="s">
        <v>69</v>
      </c>
      <c r="C275" s="5">
        <v>2</v>
      </c>
      <c r="D275" s="5">
        <f>9544-6000+1600</f>
        <v>5144</v>
      </c>
      <c r="E275" s="5"/>
      <c r="F275" s="5">
        <v>1974</v>
      </c>
      <c r="G275" s="6">
        <f t="shared" ref="G275:G279" si="158">C275*F275</f>
        <v>3948</v>
      </c>
      <c r="H275" s="6" t="e">
        <f t="shared" ref="H275:H276" si="159">G275/E275</f>
        <v>#DIV/0!</v>
      </c>
      <c r="I275" s="7">
        <f t="shared" ref="I275:I279" si="160">D275*12*1.302/1974</f>
        <v>40.714212765957448</v>
      </c>
      <c r="J275" s="19" t="e">
        <f t="shared" ref="J275:J278" si="161">I275*H275</f>
        <v>#DIV/0!</v>
      </c>
    </row>
    <row r="276" spans="1:13">
      <c r="A276" s="18"/>
      <c r="B276" s="5" t="s">
        <v>50</v>
      </c>
      <c r="C276" s="5">
        <v>3</v>
      </c>
      <c r="D276" s="5">
        <f>9544-5700+1600</f>
        <v>5444</v>
      </c>
      <c r="E276" s="5"/>
      <c r="F276" s="5">
        <v>1974</v>
      </c>
      <c r="G276" s="6">
        <f t="shared" si="158"/>
        <v>5922</v>
      </c>
      <c r="H276" s="6" t="e">
        <f t="shared" si="159"/>
        <v>#DIV/0!</v>
      </c>
      <c r="I276" s="7">
        <f t="shared" si="160"/>
        <v>43.088680851063828</v>
      </c>
      <c r="J276" s="19" t="e">
        <f t="shared" si="161"/>
        <v>#DIV/0!</v>
      </c>
    </row>
    <row r="277" spans="1:13">
      <c r="A277" s="18"/>
      <c r="B277" s="5" t="s">
        <v>102</v>
      </c>
      <c r="C277" s="5">
        <v>1</v>
      </c>
      <c r="D277" s="5">
        <f>9544-5500+1500</f>
        <v>5544</v>
      </c>
      <c r="E277" s="5"/>
      <c r="F277" s="5">
        <v>1974</v>
      </c>
      <c r="G277" s="6">
        <f t="shared" si="158"/>
        <v>1974</v>
      </c>
      <c r="H277" s="6" t="e">
        <f>G277/E277</f>
        <v>#DIV/0!</v>
      </c>
      <c r="I277" s="7">
        <f t="shared" si="160"/>
        <v>43.880170212765961</v>
      </c>
      <c r="J277" s="19" t="e">
        <f t="shared" si="161"/>
        <v>#DIV/0!</v>
      </c>
    </row>
    <row r="278" spans="1:13">
      <c r="A278" s="18"/>
      <c r="B278" s="5" t="s">
        <v>51</v>
      </c>
      <c r="C278" s="5">
        <v>1.5</v>
      </c>
      <c r="D278" s="5">
        <f>9544-6000+1600</f>
        <v>5144</v>
      </c>
      <c r="E278" s="5"/>
      <c r="F278" s="5">
        <v>1974</v>
      </c>
      <c r="G278" s="6">
        <f t="shared" si="158"/>
        <v>2961</v>
      </c>
      <c r="H278" s="6" t="e">
        <f t="shared" ref="H278:H279" si="162">G278/E278</f>
        <v>#DIV/0!</v>
      </c>
      <c r="I278" s="7">
        <f t="shared" si="160"/>
        <v>40.714212765957448</v>
      </c>
      <c r="J278" s="19" t="e">
        <f t="shared" si="161"/>
        <v>#DIV/0!</v>
      </c>
    </row>
    <row r="279" spans="1:13">
      <c r="A279" s="18"/>
      <c r="B279" s="5" t="s">
        <v>103</v>
      </c>
      <c r="C279" s="102"/>
      <c r="D279" s="5"/>
      <c r="E279" s="5"/>
      <c r="F279" s="5">
        <v>1974</v>
      </c>
      <c r="G279" s="6">
        <f t="shared" si="158"/>
        <v>0</v>
      </c>
      <c r="H279" s="6" t="e">
        <f t="shared" si="162"/>
        <v>#DIV/0!</v>
      </c>
      <c r="I279" s="7">
        <f t="shared" si="160"/>
        <v>0</v>
      </c>
      <c r="J279" s="19" t="e">
        <f>I279*H279</f>
        <v>#DIV/0!</v>
      </c>
    </row>
    <row r="280" spans="1:13">
      <c r="A280" s="18"/>
      <c r="B280" s="5"/>
      <c r="C280" s="102"/>
      <c r="D280" s="5"/>
      <c r="E280" s="5"/>
      <c r="F280" s="5"/>
      <c r="G280" s="6"/>
      <c r="H280" s="6"/>
      <c r="I280" s="7"/>
      <c r="J280" s="19">
        <f t="shared" ref="J280" si="163">I280*H280</f>
        <v>0</v>
      </c>
    </row>
    <row r="281" spans="1:13" ht="15.75" thickBot="1">
      <c r="A281" s="20"/>
      <c r="B281" s="21"/>
      <c r="C281" s="21">
        <f>SUM(C274:C280)</f>
        <v>12.75</v>
      </c>
      <c r="D281" s="21"/>
      <c r="E281" s="21"/>
      <c r="F281" s="21"/>
      <c r="G281" s="22"/>
      <c r="H281" s="22"/>
      <c r="I281" s="23"/>
      <c r="J281" s="24" t="e">
        <f>SUM(J274:J280)</f>
        <v>#DIV/0!</v>
      </c>
    </row>
    <row r="282" spans="1:13" ht="15.75" thickBot="1">
      <c r="A282" s="69"/>
      <c r="B282" s="70"/>
      <c r="C282" s="70"/>
      <c r="D282" s="70"/>
      <c r="E282" s="70"/>
      <c r="F282" s="70"/>
      <c r="G282" s="74"/>
      <c r="H282" s="100" t="s">
        <v>66</v>
      </c>
      <c r="I282" s="101"/>
      <c r="J282" s="72" t="e">
        <f>J281-J283</f>
        <v>#DIV/0!</v>
      </c>
      <c r="K282" s="68">
        <v>0</v>
      </c>
      <c r="L282" s="68"/>
      <c r="M282" s="68">
        <f>L282-K282</f>
        <v>0</v>
      </c>
    </row>
    <row r="283" spans="1:13" ht="15.75" thickBot="1">
      <c r="A283" s="69"/>
      <c r="B283" s="70"/>
      <c r="C283" s="70"/>
      <c r="D283" s="70"/>
      <c r="E283" s="70"/>
      <c r="F283" s="70"/>
      <c r="G283" s="74"/>
      <c r="H283" s="100" t="s">
        <v>63</v>
      </c>
      <c r="I283" s="101"/>
      <c r="J283" s="72" t="e">
        <f>J274+J275+J276+J277+J278+J279</f>
        <v>#DIV/0!</v>
      </c>
      <c r="K283" s="68">
        <v>0</v>
      </c>
      <c r="L283" s="68"/>
      <c r="M283" s="68">
        <f>L283-K283</f>
        <v>0</v>
      </c>
    </row>
    <row r="285" spans="1:13" ht="18.75">
      <c r="A285" s="73" t="s">
        <v>87</v>
      </c>
    </row>
    <row r="286" spans="1:13" ht="117" customHeight="1">
      <c r="A286" s="4" t="s">
        <v>2</v>
      </c>
      <c r="B286" s="4" t="s">
        <v>4</v>
      </c>
      <c r="C286" s="4" t="s">
        <v>0</v>
      </c>
      <c r="D286" s="4" t="s">
        <v>13</v>
      </c>
      <c r="E286" s="4" t="s">
        <v>3</v>
      </c>
      <c r="F286" s="4" t="s">
        <v>1</v>
      </c>
      <c r="G286" s="4" t="s">
        <v>5</v>
      </c>
      <c r="H286" s="4" t="s">
        <v>7</v>
      </c>
      <c r="I286" s="4" t="s">
        <v>9</v>
      </c>
      <c r="J286" s="4" t="s">
        <v>11</v>
      </c>
      <c r="K286" s="2" t="s">
        <v>33</v>
      </c>
      <c r="L286" s="2" t="s">
        <v>34</v>
      </c>
      <c r="M286" s="2"/>
    </row>
    <row r="287" spans="1:13" ht="15.75" thickBot="1">
      <c r="A287" s="9">
        <v>1</v>
      </c>
      <c r="B287" s="10">
        <v>2</v>
      </c>
      <c r="C287" s="10">
        <v>3</v>
      </c>
      <c r="D287" s="10">
        <v>4</v>
      </c>
      <c r="E287" s="10">
        <v>5</v>
      </c>
      <c r="F287" s="10">
        <v>6</v>
      </c>
      <c r="G287" s="10" t="s">
        <v>6</v>
      </c>
      <c r="H287" s="9" t="s">
        <v>8</v>
      </c>
      <c r="I287" s="10" t="s">
        <v>10</v>
      </c>
      <c r="J287" s="10" t="s">
        <v>12</v>
      </c>
    </row>
    <row r="288" spans="1:13">
      <c r="A288" s="13" t="s">
        <v>76</v>
      </c>
      <c r="B288" s="14" t="s">
        <v>49</v>
      </c>
      <c r="C288" s="14">
        <v>12</v>
      </c>
      <c r="D288" s="14">
        <v>150</v>
      </c>
      <c r="E288" s="14">
        <v>185</v>
      </c>
      <c r="F288" s="14">
        <v>1974</v>
      </c>
      <c r="G288" s="15">
        <f>C288*F288</f>
        <v>23688</v>
      </c>
      <c r="H288" s="15">
        <f>G288/E288</f>
        <v>128.04324324324324</v>
      </c>
      <c r="I288" s="16">
        <f>D288*12*1.302/1974</f>
        <v>1.1872340425531915</v>
      </c>
      <c r="J288" s="17">
        <f>I288*H288</f>
        <v>152.01729729729729</v>
      </c>
    </row>
    <row r="289" spans="1:13">
      <c r="A289" s="18"/>
      <c r="B289" s="5" t="s">
        <v>69</v>
      </c>
      <c r="C289" s="5">
        <v>4</v>
      </c>
      <c r="D289" s="5">
        <v>150</v>
      </c>
      <c r="E289" s="5">
        <v>185</v>
      </c>
      <c r="F289" s="5">
        <v>1974</v>
      </c>
      <c r="G289" s="6">
        <f t="shared" ref="G289:G293" si="164">C289*F289</f>
        <v>7896</v>
      </c>
      <c r="H289" s="6">
        <f t="shared" ref="H289:H290" si="165">G289/E289</f>
        <v>42.681081081081082</v>
      </c>
      <c r="I289" s="7">
        <f t="shared" ref="I289:I293" si="166">D289*12*1.302/1974</f>
        <v>1.1872340425531915</v>
      </c>
      <c r="J289" s="19">
        <f t="shared" ref="J289:J292" si="167">I289*H289</f>
        <v>50.672432432432437</v>
      </c>
    </row>
    <row r="290" spans="1:13">
      <c r="A290" s="18"/>
      <c r="B290" s="5" t="s">
        <v>50</v>
      </c>
      <c r="C290" s="5">
        <v>6</v>
      </c>
      <c r="D290" s="5">
        <v>150</v>
      </c>
      <c r="E290" s="5">
        <v>185</v>
      </c>
      <c r="F290" s="5">
        <v>1974</v>
      </c>
      <c r="G290" s="6">
        <f t="shared" si="164"/>
        <v>11844</v>
      </c>
      <c r="H290" s="6">
        <f t="shared" si="165"/>
        <v>64.02162162162162</v>
      </c>
      <c r="I290" s="7">
        <f t="shared" si="166"/>
        <v>1.1872340425531915</v>
      </c>
      <c r="J290" s="19">
        <f t="shared" si="167"/>
        <v>76.008648648648645</v>
      </c>
    </row>
    <row r="291" spans="1:13">
      <c r="A291" s="18"/>
      <c r="B291" s="5" t="s">
        <v>102</v>
      </c>
      <c r="C291" s="5">
        <v>1</v>
      </c>
      <c r="D291" s="5">
        <v>150</v>
      </c>
      <c r="E291" s="5">
        <v>185</v>
      </c>
      <c r="F291" s="5">
        <v>1974</v>
      </c>
      <c r="G291" s="6">
        <f t="shared" si="164"/>
        <v>1974</v>
      </c>
      <c r="H291" s="6">
        <f>G291/E291</f>
        <v>10.670270270270271</v>
      </c>
      <c r="I291" s="7">
        <f t="shared" si="166"/>
        <v>1.1872340425531915</v>
      </c>
      <c r="J291" s="19">
        <f t="shared" si="167"/>
        <v>12.668108108108109</v>
      </c>
    </row>
    <row r="292" spans="1:13">
      <c r="A292" s="18"/>
      <c r="B292" s="5" t="s">
        <v>51</v>
      </c>
      <c r="C292" s="5">
        <v>3</v>
      </c>
      <c r="D292" s="5">
        <v>150</v>
      </c>
      <c r="E292" s="5">
        <v>185</v>
      </c>
      <c r="F292" s="5">
        <v>1974</v>
      </c>
      <c r="G292" s="6">
        <f t="shared" si="164"/>
        <v>5922</v>
      </c>
      <c r="H292" s="6">
        <f t="shared" ref="H292:H293" si="168">G292/E292</f>
        <v>32.01081081081081</v>
      </c>
      <c r="I292" s="7">
        <f t="shared" si="166"/>
        <v>1.1872340425531915</v>
      </c>
      <c r="J292" s="19">
        <f t="shared" si="167"/>
        <v>38.004324324324323</v>
      </c>
    </row>
    <row r="293" spans="1:13">
      <c r="A293" s="18"/>
      <c r="B293" s="5" t="s">
        <v>103</v>
      </c>
      <c r="C293" s="102"/>
      <c r="D293" s="5">
        <v>150</v>
      </c>
      <c r="E293" s="5">
        <v>185</v>
      </c>
      <c r="F293" s="5">
        <v>1974</v>
      </c>
      <c r="G293" s="6">
        <f t="shared" si="164"/>
        <v>0</v>
      </c>
      <c r="H293" s="6">
        <f t="shared" si="168"/>
        <v>0</v>
      </c>
      <c r="I293" s="7">
        <f t="shared" si="166"/>
        <v>1.1872340425531915</v>
      </c>
      <c r="J293" s="19">
        <f>I293*H293</f>
        <v>0</v>
      </c>
    </row>
    <row r="294" spans="1:13">
      <c r="A294" s="18"/>
      <c r="B294" s="5"/>
      <c r="C294" s="102"/>
      <c r="D294" s="5"/>
      <c r="E294" s="5"/>
      <c r="F294" s="5"/>
      <c r="G294" s="6"/>
      <c r="H294" s="6"/>
      <c r="I294" s="7"/>
      <c r="J294" s="19">
        <f t="shared" ref="J294:J297" si="169">I294*H294</f>
        <v>0</v>
      </c>
    </row>
    <row r="295" spans="1:13" ht="15.75" thickBot="1">
      <c r="A295" s="20"/>
      <c r="B295" s="21"/>
      <c r="C295" s="21">
        <f>SUM(C288:C294)</f>
        <v>26</v>
      </c>
      <c r="D295" s="21"/>
      <c r="E295" s="21"/>
      <c r="F295" s="21"/>
      <c r="G295" s="22"/>
      <c r="H295" s="22"/>
      <c r="I295" s="23"/>
      <c r="J295" s="24">
        <f>SUM(J288:J294)</f>
        <v>329.37081081081084</v>
      </c>
    </row>
    <row r="296" spans="1:13" ht="15.75" thickBot="1">
      <c r="A296" s="69"/>
      <c r="B296" s="70"/>
      <c r="C296" s="70"/>
      <c r="D296" s="70"/>
      <c r="E296" s="70"/>
      <c r="F296" s="70"/>
      <c r="G296" s="74"/>
      <c r="H296" s="100" t="s">
        <v>66</v>
      </c>
      <c r="I296" s="101"/>
      <c r="J296" s="72">
        <f>J295-J297</f>
        <v>0</v>
      </c>
      <c r="K296" s="68">
        <f>J296*122</f>
        <v>0</v>
      </c>
      <c r="L296" s="68"/>
      <c r="M296" s="68">
        <f>L296-K296</f>
        <v>0</v>
      </c>
    </row>
    <row r="297" spans="1:13" ht="15.75" thickBot="1">
      <c r="A297" s="69"/>
      <c r="B297" s="70"/>
      <c r="C297" s="70"/>
      <c r="D297" s="70"/>
      <c r="E297" s="70"/>
      <c r="F297" s="70"/>
      <c r="G297" s="74"/>
      <c r="H297" s="100" t="s">
        <v>63</v>
      </c>
      <c r="I297" s="101"/>
      <c r="J297" s="72">
        <f>J288+J289+J290+J291+J292+J293</f>
        <v>329.37081081081084</v>
      </c>
      <c r="K297" s="68">
        <f>J297*E288</f>
        <v>60933.600000000006</v>
      </c>
      <c r="L297" s="68">
        <v>60933.599999999999</v>
      </c>
      <c r="M297" s="68">
        <f>L297-K297</f>
        <v>0</v>
      </c>
    </row>
    <row r="298" spans="1:13">
      <c r="A298" s="13" t="s">
        <v>77</v>
      </c>
      <c r="B298" s="14" t="s">
        <v>49</v>
      </c>
      <c r="C298" s="14">
        <v>6</v>
      </c>
      <c r="D298" s="14">
        <v>150</v>
      </c>
      <c r="E298" s="14">
        <v>220</v>
      </c>
      <c r="F298" s="14">
        <v>1974</v>
      </c>
      <c r="G298" s="15">
        <f>C298*F298</f>
        <v>11844</v>
      </c>
      <c r="H298" s="15">
        <f>G298/E298</f>
        <v>53.836363636363636</v>
      </c>
      <c r="I298" s="16">
        <f>D298*12*1.302/1974</f>
        <v>1.1872340425531915</v>
      </c>
      <c r="J298" s="17">
        <f>I298*H298</f>
        <v>63.916363636363641</v>
      </c>
    </row>
    <row r="299" spans="1:13">
      <c r="A299" s="18"/>
      <c r="B299" s="5" t="s">
        <v>69</v>
      </c>
      <c r="C299" s="5">
        <v>1.5</v>
      </c>
      <c r="D299" s="5">
        <v>150</v>
      </c>
      <c r="E299" s="5">
        <v>220</v>
      </c>
      <c r="F299" s="5">
        <v>1974</v>
      </c>
      <c r="G299" s="6">
        <f t="shared" ref="G299:G303" si="170">C299*F299</f>
        <v>2961</v>
      </c>
      <c r="H299" s="6">
        <f t="shared" ref="H299:H300" si="171">G299/E299</f>
        <v>13.459090909090909</v>
      </c>
      <c r="I299" s="7">
        <f t="shared" ref="I299:I303" si="172">D299*12*1.302/1974</f>
        <v>1.1872340425531915</v>
      </c>
      <c r="J299" s="19">
        <f t="shared" ref="J299:J302" si="173">I299*H299</f>
        <v>15.97909090909091</v>
      </c>
    </row>
    <row r="300" spans="1:13">
      <c r="A300" s="18"/>
      <c r="B300" s="5" t="s">
        <v>50</v>
      </c>
      <c r="C300" s="5">
        <v>3</v>
      </c>
      <c r="D300" s="5">
        <v>150</v>
      </c>
      <c r="E300" s="5">
        <v>220</v>
      </c>
      <c r="F300" s="5">
        <v>1974</v>
      </c>
      <c r="G300" s="6">
        <f t="shared" si="170"/>
        <v>5922</v>
      </c>
      <c r="H300" s="6">
        <f t="shared" si="171"/>
        <v>26.918181818181818</v>
      </c>
      <c r="I300" s="7">
        <f t="shared" si="172"/>
        <v>1.1872340425531915</v>
      </c>
      <c r="J300" s="19">
        <f t="shared" si="173"/>
        <v>31.958181818181821</v>
      </c>
    </row>
    <row r="301" spans="1:13">
      <c r="A301" s="18"/>
      <c r="B301" s="5" t="s">
        <v>102</v>
      </c>
      <c r="C301" s="5">
        <v>1.5</v>
      </c>
      <c r="D301" s="5">
        <v>150</v>
      </c>
      <c r="E301" s="5">
        <v>220</v>
      </c>
      <c r="F301" s="5">
        <v>1974</v>
      </c>
      <c r="G301" s="6">
        <f t="shared" si="170"/>
        <v>2961</v>
      </c>
      <c r="H301" s="6">
        <f>G301/E301</f>
        <v>13.459090909090909</v>
      </c>
      <c r="I301" s="7">
        <f t="shared" si="172"/>
        <v>1.1872340425531915</v>
      </c>
      <c r="J301" s="19">
        <f t="shared" si="173"/>
        <v>15.97909090909091</v>
      </c>
    </row>
    <row r="302" spans="1:13">
      <c r="A302" s="18"/>
      <c r="B302" s="5" t="s">
        <v>51</v>
      </c>
      <c r="C302" s="5">
        <v>2</v>
      </c>
      <c r="D302" s="5">
        <v>150</v>
      </c>
      <c r="E302" s="5">
        <v>220</v>
      </c>
      <c r="F302" s="5">
        <v>1974</v>
      </c>
      <c r="G302" s="6">
        <f t="shared" si="170"/>
        <v>3948</v>
      </c>
      <c r="H302" s="6">
        <f t="shared" ref="H302:H303" si="174">G302/E302</f>
        <v>17.945454545454545</v>
      </c>
      <c r="I302" s="7">
        <f t="shared" si="172"/>
        <v>1.1872340425531915</v>
      </c>
      <c r="J302" s="19">
        <f t="shared" si="173"/>
        <v>21.305454545454545</v>
      </c>
    </row>
    <row r="303" spans="1:13">
      <c r="A303" s="18"/>
      <c r="B303" s="5" t="s">
        <v>103</v>
      </c>
      <c r="C303" s="102"/>
      <c r="D303" s="5">
        <v>150</v>
      </c>
      <c r="E303" s="5">
        <v>220</v>
      </c>
      <c r="F303" s="5">
        <v>1974</v>
      </c>
      <c r="G303" s="6">
        <f t="shared" si="170"/>
        <v>0</v>
      </c>
      <c r="H303" s="6">
        <f t="shared" si="174"/>
        <v>0</v>
      </c>
      <c r="I303" s="7">
        <f t="shared" si="172"/>
        <v>1.1872340425531915</v>
      </c>
      <c r="J303" s="19">
        <f>I303*H303</f>
        <v>0</v>
      </c>
    </row>
    <row r="304" spans="1:13">
      <c r="A304" s="18"/>
      <c r="B304" s="5"/>
      <c r="C304" s="102"/>
      <c r="D304" s="5"/>
      <c r="E304" s="5"/>
      <c r="F304" s="5"/>
      <c r="G304" s="6"/>
      <c r="H304" s="6"/>
      <c r="I304" s="7"/>
      <c r="J304" s="19">
        <f t="shared" ref="J304:J307" si="175">I304*H304</f>
        <v>0</v>
      </c>
    </row>
    <row r="305" spans="1:13" ht="15.75" thickBot="1">
      <c r="A305" s="20"/>
      <c r="B305" s="21"/>
      <c r="C305" s="21">
        <f>SUM(C298:C304)</f>
        <v>14</v>
      </c>
      <c r="D305" s="21"/>
      <c r="E305" s="21"/>
      <c r="F305" s="21"/>
      <c r="G305" s="22"/>
      <c r="H305" s="22"/>
      <c r="I305" s="23"/>
      <c r="J305" s="24">
        <f>SUM(J298:J304)</f>
        <v>149.13818181818183</v>
      </c>
    </row>
    <row r="306" spans="1:13" ht="15.75" thickBot="1">
      <c r="A306" s="69"/>
      <c r="B306" s="70"/>
      <c r="C306" s="70"/>
      <c r="D306" s="70"/>
      <c r="E306" s="70"/>
      <c r="F306" s="70"/>
      <c r="G306" s="74"/>
      <c r="H306" s="100" t="s">
        <v>66</v>
      </c>
      <c r="I306" s="101"/>
      <c r="J306" s="72">
        <f>J305-J307</f>
        <v>0</v>
      </c>
      <c r="K306" s="68">
        <f>J306*122</f>
        <v>0</v>
      </c>
      <c r="L306" s="68"/>
      <c r="M306" s="68">
        <f>L306-K306</f>
        <v>0</v>
      </c>
    </row>
    <row r="307" spans="1:13" ht="15.75" thickBot="1">
      <c r="A307" s="69"/>
      <c r="B307" s="70"/>
      <c r="C307" s="70"/>
      <c r="D307" s="70"/>
      <c r="E307" s="70"/>
      <c r="F307" s="70"/>
      <c r="G307" s="74"/>
      <c r="H307" s="100" t="s">
        <v>63</v>
      </c>
      <c r="I307" s="101"/>
      <c r="J307" s="72">
        <f>J298+J299+J300+J301+J302+J303</f>
        <v>149.13818181818183</v>
      </c>
      <c r="K307" s="68">
        <f>J307*E298</f>
        <v>32810.400000000001</v>
      </c>
      <c r="L307" s="68">
        <v>32810.400000000001</v>
      </c>
      <c r="M307" s="68">
        <f>L307-K307</f>
        <v>0</v>
      </c>
    </row>
    <row r="308" spans="1:13">
      <c r="A308" s="13" t="s">
        <v>78</v>
      </c>
      <c r="B308" s="14" t="s">
        <v>49</v>
      </c>
      <c r="C308" s="14">
        <v>16.5</v>
      </c>
      <c r="D308" s="14">
        <v>150</v>
      </c>
      <c r="E308" s="14">
        <v>445</v>
      </c>
      <c r="F308" s="14">
        <v>1974</v>
      </c>
      <c r="G308" s="15">
        <f>C308*F308</f>
        <v>32571</v>
      </c>
      <c r="H308" s="15">
        <f>G308/E308</f>
        <v>73.193258426966295</v>
      </c>
      <c r="I308" s="16">
        <f>D308*12*1.302/1974</f>
        <v>1.1872340425531915</v>
      </c>
      <c r="J308" s="17">
        <f>I308*H308</f>
        <v>86.897528089887643</v>
      </c>
    </row>
    <row r="309" spans="1:13">
      <c r="A309" s="18"/>
      <c r="B309" s="5" t="s">
        <v>69</v>
      </c>
      <c r="C309" s="5">
        <v>4</v>
      </c>
      <c r="D309" s="5">
        <v>150</v>
      </c>
      <c r="E309" s="5">
        <v>445</v>
      </c>
      <c r="F309" s="5">
        <v>1974</v>
      </c>
      <c r="G309" s="6">
        <f t="shared" ref="G309:G313" si="176">C309*F309</f>
        <v>7896</v>
      </c>
      <c r="H309" s="6">
        <f t="shared" ref="H309:H310" si="177">G309/E309</f>
        <v>17.743820224719101</v>
      </c>
      <c r="I309" s="7">
        <f t="shared" ref="I309:I313" si="178">D309*12*1.302/1974</f>
        <v>1.1872340425531915</v>
      </c>
      <c r="J309" s="19">
        <f t="shared" ref="J309:J312" si="179">I309*H309</f>
        <v>21.066067415730338</v>
      </c>
    </row>
    <row r="310" spans="1:13">
      <c r="A310" s="18"/>
      <c r="B310" s="5" t="s">
        <v>50</v>
      </c>
      <c r="C310" s="5">
        <v>3</v>
      </c>
      <c r="D310" s="5">
        <v>150</v>
      </c>
      <c r="E310" s="5">
        <v>445</v>
      </c>
      <c r="F310" s="5">
        <v>1974</v>
      </c>
      <c r="G310" s="6">
        <f t="shared" si="176"/>
        <v>5922</v>
      </c>
      <c r="H310" s="6">
        <f t="shared" si="177"/>
        <v>13.307865168539326</v>
      </c>
      <c r="I310" s="7">
        <f t="shared" si="178"/>
        <v>1.1872340425531915</v>
      </c>
      <c r="J310" s="19">
        <f t="shared" si="179"/>
        <v>15.799550561797753</v>
      </c>
    </row>
    <row r="311" spans="1:13">
      <c r="A311" s="18"/>
      <c r="B311" s="5" t="s">
        <v>102</v>
      </c>
      <c r="C311" s="5">
        <v>2.5</v>
      </c>
      <c r="D311" s="5">
        <v>150</v>
      </c>
      <c r="E311" s="5">
        <v>445</v>
      </c>
      <c r="F311" s="5">
        <v>1974</v>
      </c>
      <c r="G311" s="6">
        <f t="shared" si="176"/>
        <v>4935</v>
      </c>
      <c r="H311" s="6">
        <f>G311/E311</f>
        <v>11.089887640449438</v>
      </c>
      <c r="I311" s="7">
        <f t="shared" si="178"/>
        <v>1.1872340425531915</v>
      </c>
      <c r="J311" s="19">
        <f t="shared" si="179"/>
        <v>13.166292134831462</v>
      </c>
    </row>
    <row r="312" spans="1:13">
      <c r="A312" s="18"/>
      <c r="B312" s="5" t="s">
        <v>51</v>
      </c>
      <c r="C312" s="5">
        <v>5.25</v>
      </c>
      <c r="D312" s="5">
        <v>150</v>
      </c>
      <c r="E312" s="5">
        <v>445</v>
      </c>
      <c r="F312" s="5">
        <v>1974</v>
      </c>
      <c r="G312" s="6">
        <f t="shared" si="176"/>
        <v>10363.5</v>
      </c>
      <c r="H312" s="6">
        <f t="shared" ref="H312:H313" si="180">G312/E312</f>
        <v>23.288764044943822</v>
      </c>
      <c r="I312" s="7">
        <f t="shared" si="178"/>
        <v>1.1872340425531915</v>
      </c>
      <c r="J312" s="19">
        <f t="shared" si="179"/>
        <v>27.64921348314607</v>
      </c>
    </row>
    <row r="313" spans="1:13">
      <c r="A313" s="18"/>
      <c r="B313" s="5" t="s">
        <v>103</v>
      </c>
      <c r="C313" s="102">
        <v>1</v>
      </c>
      <c r="D313" s="5">
        <v>150</v>
      </c>
      <c r="E313" s="5">
        <v>445</v>
      </c>
      <c r="F313" s="5">
        <v>1974</v>
      </c>
      <c r="G313" s="6">
        <f t="shared" si="176"/>
        <v>1974</v>
      </c>
      <c r="H313" s="6">
        <f t="shared" si="180"/>
        <v>4.4359550561797754</v>
      </c>
      <c r="I313" s="7">
        <f t="shared" si="178"/>
        <v>1.1872340425531915</v>
      </c>
      <c r="J313" s="19">
        <f>I313*H313</f>
        <v>5.2665168539325844</v>
      </c>
    </row>
    <row r="314" spans="1:13">
      <c r="A314" s="18"/>
      <c r="B314" s="5"/>
      <c r="C314" s="102"/>
      <c r="D314" s="5"/>
      <c r="E314" s="5"/>
      <c r="F314" s="5"/>
      <c r="G314" s="6"/>
      <c r="H314" s="6"/>
      <c r="I314" s="7"/>
      <c r="J314" s="19">
        <f t="shared" ref="J314:J317" si="181">I314*H314</f>
        <v>0</v>
      </c>
    </row>
    <row r="315" spans="1:13" ht="15.75" thickBot="1">
      <c r="A315" s="20"/>
      <c r="B315" s="21"/>
      <c r="C315" s="21">
        <f>SUM(C308:C314)</f>
        <v>32.25</v>
      </c>
      <c r="D315" s="21"/>
      <c r="E315" s="21"/>
      <c r="F315" s="21"/>
      <c r="G315" s="22"/>
      <c r="H315" s="22"/>
      <c r="I315" s="23"/>
      <c r="J315" s="24">
        <f>SUM(J308:J314)</f>
        <v>169.84516853932584</v>
      </c>
    </row>
    <row r="316" spans="1:13" ht="15.75" thickBot="1">
      <c r="A316" s="69"/>
      <c r="B316" s="70"/>
      <c r="C316" s="70"/>
      <c r="D316" s="70"/>
      <c r="E316" s="70"/>
      <c r="F316" s="70"/>
      <c r="G316" s="74"/>
      <c r="H316" s="100" t="s">
        <v>66</v>
      </c>
      <c r="I316" s="101"/>
      <c r="J316" s="72">
        <f>J315-J317</f>
        <v>0</v>
      </c>
      <c r="K316" s="68">
        <f>J316*122</f>
        <v>0</v>
      </c>
      <c r="L316" s="68"/>
      <c r="M316" s="68">
        <f>L316-K316</f>
        <v>0</v>
      </c>
    </row>
    <row r="317" spans="1:13" ht="15.75" thickBot="1">
      <c r="A317" s="69"/>
      <c r="B317" s="70"/>
      <c r="C317" s="70"/>
      <c r="D317" s="70"/>
      <c r="E317" s="70"/>
      <c r="F317" s="70"/>
      <c r="G317" s="74"/>
      <c r="H317" s="100" t="s">
        <v>63</v>
      </c>
      <c r="I317" s="101"/>
      <c r="J317" s="72">
        <f>J308+J309+J310+J311+J312+J313</f>
        <v>169.84516853932584</v>
      </c>
      <c r="K317" s="68">
        <f>J317*E308</f>
        <v>75581.100000000006</v>
      </c>
      <c r="L317" s="68">
        <v>75581.100000000006</v>
      </c>
      <c r="M317" s="68">
        <f>L317-K317</f>
        <v>0</v>
      </c>
    </row>
    <row r="318" spans="1:13">
      <c r="A318" s="13" t="s">
        <v>80</v>
      </c>
      <c r="B318" s="14" t="s">
        <v>49</v>
      </c>
      <c r="C318" s="14">
        <v>14</v>
      </c>
      <c r="D318" s="14">
        <v>150</v>
      </c>
      <c r="E318" s="14">
        <v>549</v>
      </c>
      <c r="F318" s="14">
        <v>1974</v>
      </c>
      <c r="G318" s="15">
        <f>C318*F318</f>
        <v>27636</v>
      </c>
      <c r="H318" s="15">
        <f>G318/E318</f>
        <v>50.338797814207652</v>
      </c>
      <c r="I318" s="16">
        <f>D318*12*1.302/1974</f>
        <v>1.1872340425531915</v>
      </c>
      <c r="J318" s="17">
        <f>I318*H318</f>
        <v>59.763934426229511</v>
      </c>
    </row>
    <row r="319" spans="1:13">
      <c r="A319" s="18"/>
      <c r="B319" s="5" t="s">
        <v>69</v>
      </c>
      <c r="C319" s="5">
        <v>2</v>
      </c>
      <c r="D319" s="5">
        <v>150</v>
      </c>
      <c r="E319" s="5">
        <v>549</v>
      </c>
      <c r="F319" s="5">
        <v>1974</v>
      </c>
      <c r="G319" s="6">
        <f t="shared" ref="G319:G323" si="182">C319*F319</f>
        <v>3948</v>
      </c>
      <c r="H319" s="6">
        <f t="shared" ref="H319:H320" si="183">G319/E319</f>
        <v>7.1912568306010929</v>
      </c>
      <c r="I319" s="7">
        <f t="shared" ref="I319:I323" si="184">D319*12*1.302/1974</f>
        <v>1.1872340425531915</v>
      </c>
      <c r="J319" s="19">
        <f t="shared" ref="J319:J322" si="185">I319*H319</f>
        <v>8.5377049180327873</v>
      </c>
    </row>
    <row r="320" spans="1:13">
      <c r="A320" s="18"/>
      <c r="B320" s="5" t="s">
        <v>50</v>
      </c>
      <c r="C320" s="5">
        <v>3</v>
      </c>
      <c r="D320" s="5">
        <v>150</v>
      </c>
      <c r="E320" s="5">
        <v>549</v>
      </c>
      <c r="F320" s="5">
        <v>1974</v>
      </c>
      <c r="G320" s="6">
        <f t="shared" si="182"/>
        <v>5922</v>
      </c>
      <c r="H320" s="6">
        <f t="shared" si="183"/>
        <v>10.78688524590164</v>
      </c>
      <c r="I320" s="7">
        <f t="shared" si="184"/>
        <v>1.1872340425531915</v>
      </c>
      <c r="J320" s="19">
        <f t="shared" si="185"/>
        <v>12.806557377049183</v>
      </c>
    </row>
    <row r="321" spans="1:13">
      <c r="A321" s="18"/>
      <c r="B321" s="5" t="s">
        <v>102</v>
      </c>
      <c r="C321" s="5">
        <v>1</v>
      </c>
      <c r="D321" s="5">
        <v>150</v>
      </c>
      <c r="E321" s="5">
        <v>549</v>
      </c>
      <c r="F321" s="5">
        <v>1974</v>
      </c>
      <c r="G321" s="6">
        <f t="shared" si="182"/>
        <v>1974</v>
      </c>
      <c r="H321" s="6">
        <f>G321/E321</f>
        <v>3.5956284153005464</v>
      </c>
      <c r="I321" s="7">
        <f t="shared" si="184"/>
        <v>1.1872340425531915</v>
      </c>
      <c r="J321" s="19">
        <f t="shared" si="185"/>
        <v>4.2688524590163937</v>
      </c>
    </row>
    <row r="322" spans="1:13">
      <c r="A322" s="18"/>
      <c r="B322" s="5" t="s">
        <v>51</v>
      </c>
      <c r="C322" s="5">
        <v>1.5</v>
      </c>
      <c r="D322" s="5">
        <v>150</v>
      </c>
      <c r="E322" s="5">
        <v>549</v>
      </c>
      <c r="F322" s="5">
        <v>1974</v>
      </c>
      <c r="G322" s="6">
        <f t="shared" si="182"/>
        <v>2961</v>
      </c>
      <c r="H322" s="6">
        <f t="shared" ref="H322:H323" si="186">G322/E322</f>
        <v>5.3934426229508201</v>
      </c>
      <c r="I322" s="7">
        <f t="shared" si="184"/>
        <v>1.1872340425531915</v>
      </c>
      <c r="J322" s="19">
        <f t="shared" si="185"/>
        <v>6.4032786885245914</v>
      </c>
    </row>
    <row r="323" spans="1:13">
      <c r="A323" s="18"/>
      <c r="B323" s="5" t="s">
        <v>103</v>
      </c>
      <c r="C323" s="102">
        <v>1</v>
      </c>
      <c r="D323" s="5">
        <v>150</v>
      </c>
      <c r="E323" s="5">
        <v>549</v>
      </c>
      <c r="F323" s="5">
        <v>1974</v>
      </c>
      <c r="G323" s="6">
        <f t="shared" si="182"/>
        <v>1974</v>
      </c>
      <c r="H323" s="6">
        <f t="shared" si="186"/>
        <v>3.5956284153005464</v>
      </c>
      <c r="I323" s="7">
        <f t="shared" si="184"/>
        <v>1.1872340425531915</v>
      </c>
      <c r="J323" s="19">
        <f>I323*H323</f>
        <v>4.2688524590163937</v>
      </c>
    </row>
    <row r="324" spans="1:13">
      <c r="A324" s="18"/>
      <c r="B324" s="5"/>
      <c r="C324" s="102"/>
      <c r="D324" s="5"/>
      <c r="E324" s="5"/>
      <c r="F324" s="5"/>
      <c r="G324" s="6"/>
      <c r="H324" s="6"/>
      <c r="I324" s="7"/>
      <c r="J324" s="19">
        <f t="shared" ref="J324:J327" si="187">I324*H324</f>
        <v>0</v>
      </c>
    </row>
    <row r="325" spans="1:13" ht="15.75" thickBot="1">
      <c r="A325" s="20"/>
      <c r="B325" s="21"/>
      <c r="C325" s="21">
        <f>SUM(C318:C324)</f>
        <v>22.5</v>
      </c>
      <c r="D325" s="21"/>
      <c r="E325" s="21"/>
      <c r="F325" s="21"/>
      <c r="G325" s="22"/>
      <c r="H325" s="22"/>
      <c r="I325" s="23"/>
      <c r="J325" s="24">
        <f>SUM(J318:J324)</f>
        <v>96.049180327868868</v>
      </c>
    </row>
    <row r="326" spans="1:13" ht="15.75" thickBot="1">
      <c r="A326" s="69"/>
      <c r="B326" s="70"/>
      <c r="C326" s="70"/>
      <c r="D326" s="70"/>
      <c r="E326" s="70"/>
      <c r="F326" s="70"/>
      <c r="G326" s="74"/>
      <c r="H326" s="100" t="s">
        <v>66</v>
      </c>
      <c r="I326" s="101"/>
      <c r="J326" s="72">
        <f>J325-J327</f>
        <v>0</v>
      </c>
      <c r="K326" s="68">
        <f>J326*122</f>
        <v>0</v>
      </c>
      <c r="L326" s="68"/>
      <c r="M326" s="68">
        <f>L326-K326</f>
        <v>0</v>
      </c>
    </row>
    <row r="327" spans="1:13" ht="15.75" thickBot="1">
      <c r="A327" s="69"/>
      <c r="B327" s="70"/>
      <c r="C327" s="70"/>
      <c r="D327" s="70"/>
      <c r="E327" s="70"/>
      <c r="F327" s="70"/>
      <c r="G327" s="74"/>
      <c r="H327" s="100" t="s">
        <v>63</v>
      </c>
      <c r="I327" s="101"/>
      <c r="J327" s="72">
        <f>J318+J319+J320+J321+J322+J323</f>
        <v>96.049180327868868</v>
      </c>
      <c r="K327" s="68">
        <f>J327*E318</f>
        <v>52731.000000000007</v>
      </c>
      <c r="L327" s="68">
        <v>52731</v>
      </c>
      <c r="M327" s="68">
        <f>L327-K327</f>
        <v>0</v>
      </c>
    </row>
    <row r="328" spans="1:13">
      <c r="A328" s="13" t="s">
        <v>81</v>
      </c>
      <c r="B328" s="14" t="s">
        <v>49</v>
      </c>
      <c r="C328" s="14">
        <v>16.75</v>
      </c>
      <c r="D328" s="14">
        <v>150</v>
      </c>
      <c r="E328" s="14">
        <v>540</v>
      </c>
      <c r="F328" s="14">
        <v>1974</v>
      </c>
      <c r="G328" s="15">
        <f>C328*F328</f>
        <v>33064.5</v>
      </c>
      <c r="H328" s="15">
        <f>G328/E328</f>
        <v>61.230555555555554</v>
      </c>
      <c r="I328" s="16">
        <f>D328*12*1.302/1974</f>
        <v>1.1872340425531915</v>
      </c>
      <c r="J328" s="17">
        <f>I328*H328</f>
        <v>72.695000000000007</v>
      </c>
    </row>
    <row r="329" spans="1:13">
      <c r="A329" s="18"/>
      <c r="B329" s="5" t="s">
        <v>69</v>
      </c>
      <c r="C329" s="5">
        <v>2</v>
      </c>
      <c r="D329" s="5">
        <v>150</v>
      </c>
      <c r="E329" s="5">
        <v>540</v>
      </c>
      <c r="F329" s="5">
        <v>1974</v>
      </c>
      <c r="G329" s="6">
        <f t="shared" ref="G329:G333" si="188">C329*F329</f>
        <v>3948</v>
      </c>
      <c r="H329" s="6">
        <f t="shared" ref="H329:H330" si="189">G329/E329</f>
        <v>7.3111111111111109</v>
      </c>
      <c r="I329" s="7">
        <f t="shared" ref="I329:I333" si="190">D329*12*1.302/1974</f>
        <v>1.1872340425531915</v>
      </c>
      <c r="J329" s="19">
        <f t="shared" ref="J329:J332" si="191">I329*H329</f>
        <v>8.68</v>
      </c>
    </row>
    <row r="330" spans="1:13">
      <c r="A330" s="18"/>
      <c r="B330" s="5" t="s">
        <v>50</v>
      </c>
      <c r="C330" s="5">
        <v>6</v>
      </c>
      <c r="D330" s="5">
        <v>150</v>
      </c>
      <c r="E330" s="5">
        <v>540</v>
      </c>
      <c r="F330" s="5">
        <v>1974</v>
      </c>
      <c r="G330" s="6">
        <f t="shared" si="188"/>
        <v>11844</v>
      </c>
      <c r="H330" s="6">
        <f t="shared" si="189"/>
        <v>21.933333333333334</v>
      </c>
      <c r="I330" s="7">
        <f t="shared" si="190"/>
        <v>1.1872340425531915</v>
      </c>
      <c r="J330" s="19">
        <f t="shared" si="191"/>
        <v>26.040000000000003</v>
      </c>
    </row>
    <row r="331" spans="1:13">
      <c r="A331" s="18"/>
      <c r="B331" s="5" t="s">
        <v>102</v>
      </c>
      <c r="C331" s="5">
        <v>3</v>
      </c>
      <c r="D331" s="5">
        <v>150</v>
      </c>
      <c r="E331" s="5">
        <v>540</v>
      </c>
      <c r="F331" s="5">
        <v>1974</v>
      </c>
      <c r="G331" s="6">
        <f t="shared" si="188"/>
        <v>5922</v>
      </c>
      <c r="H331" s="6">
        <f>G331/E331</f>
        <v>10.966666666666667</v>
      </c>
      <c r="I331" s="7">
        <f t="shared" si="190"/>
        <v>1.1872340425531915</v>
      </c>
      <c r="J331" s="19">
        <f t="shared" si="191"/>
        <v>13.020000000000001</v>
      </c>
    </row>
    <row r="332" spans="1:13">
      <c r="A332" s="18"/>
      <c r="B332" s="5" t="s">
        <v>51</v>
      </c>
      <c r="C332" s="5">
        <v>6</v>
      </c>
      <c r="D332" s="5">
        <v>150</v>
      </c>
      <c r="E332" s="5">
        <v>540</v>
      </c>
      <c r="F332" s="5">
        <v>1974</v>
      </c>
      <c r="G332" s="6">
        <f t="shared" si="188"/>
        <v>11844</v>
      </c>
      <c r="H332" s="6">
        <f t="shared" ref="H332:H333" si="192">G332/E332</f>
        <v>21.933333333333334</v>
      </c>
      <c r="I332" s="7">
        <f t="shared" si="190"/>
        <v>1.1872340425531915</v>
      </c>
      <c r="J332" s="19">
        <f t="shared" si="191"/>
        <v>26.040000000000003</v>
      </c>
    </row>
    <row r="333" spans="1:13">
      <c r="A333" s="18"/>
      <c r="B333" s="5" t="s">
        <v>103</v>
      </c>
      <c r="C333" s="102"/>
      <c r="D333" s="5">
        <v>150</v>
      </c>
      <c r="E333" s="5">
        <v>540</v>
      </c>
      <c r="F333" s="5">
        <v>1974</v>
      </c>
      <c r="G333" s="6">
        <f t="shared" si="188"/>
        <v>0</v>
      </c>
      <c r="H333" s="6">
        <f t="shared" si="192"/>
        <v>0</v>
      </c>
      <c r="I333" s="7">
        <f t="shared" si="190"/>
        <v>1.1872340425531915</v>
      </c>
      <c r="J333" s="19">
        <f>I333*H333</f>
        <v>0</v>
      </c>
    </row>
    <row r="334" spans="1:13">
      <c r="A334" s="18"/>
      <c r="B334" s="5"/>
      <c r="C334" s="102"/>
      <c r="D334" s="5"/>
      <c r="E334" s="5"/>
      <c r="F334" s="5"/>
      <c r="G334" s="6"/>
      <c r="H334" s="6"/>
      <c r="I334" s="7"/>
      <c r="J334" s="19">
        <f t="shared" ref="J334:J337" si="193">I334*H334</f>
        <v>0</v>
      </c>
    </row>
    <row r="335" spans="1:13" ht="15.75" thickBot="1">
      <c r="A335" s="20"/>
      <c r="B335" s="21"/>
      <c r="C335" s="21">
        <f>SUM(C328:C334)</f>
        <v>33.75</v>
      </c>
      <c r="D335" s="21"/>
      <c r="E335" s="21"/>
      <c r="F335" s="21"/>
      <c r="G335" s="22"/>
      <c r="H335" s="22"/>
      <c r="I335" s="23"/>
      <c r="J335" s="24">
        <f>SUM(J328:J334)</f>
        <v>146.47499999999999</v>
      </c>
    </row>
    <row r="336" spans="1:13" ht="15.75" thickBot="1">
      <c r="A336" s="69"/>
      <c r="B336" s="70"/>
      <c r="C336" s="70"/>
      <c r="D336" s="70"/>
      <c r="E336" s="70"/>
      <c r="F336" s="70"/>
      <c r="G336" s="74"/>
      <c r="H336" s="100" t="s">
        <v>66</v>
      </c>
      <c r="I336" s="101"/>
      <c r="J336" s="72">
        <f>J335-J337</f>
        <v>0</v>
      </c>
      <c r="K336" s="68">
        <f>J336*122</f>
        <v>0</v>
      </c>
      <c r="L336" s="68"/>
      <c r="M336" s="68">
        <f>L336-K336</f>
        <v>0</v>
      </c>
    </row>
    <row r="337" spans="1:13" ht="15.75" thickBot="1">
      <c r="A337" s="69"/>
      <c r="B337" s="70"/>
      <c r="C337" s="70"/>
      <c r="D337" s="70"/>
      <c r="E337" s="70"/>
      <c r="F337" s="70"/>
      <c r="G337" s="74"/>
      <c r="H337" s="100" t="s">
        <v>63</v>
      </c>
      <c r="I337" s="101"/>
      <c r="J337" s="72">
        <f>J328+J329+J330+J331+J332+J333</f>
        <v>146.47499999999999</v>
      </c>
      <c r="K337" s="68">
        <f>J337*E328</f>
        <v>79096.5</v>
      </c>
      <c r="L337" s="68">
        <v>79096.5</v>
      </c>
      <c r="M337" s="68">
        <f>L337-K337</f>
        <v>0</v>
      </c>
    </row>
    <row r="339" spans="1:13" ht="18.75">
      <c r="A339" s="73" t="s">
        <v>89</v>
      </c>
    </row>
    <row r="340" spans="1:13" ht="117" customHeight="1">
      <c r="A340" s="4" t="s">
        <v>2</v>
      </c>
      <c r="B340" s="4" t="s">
        <v>4</v>
      </c>
      <c r="C340" s="4" t="s">
        <v>0</v>
      </c>
      <c r="D340" s="4" t="s">
        <v>13</v>
      </c>
      <c r="E340" s="4" t="s">
        <v>3</v>
      </c>
      <c r="F340" s="4" t="s">
        <v>1</v>
      </c>
      <c r="G340" s="4" t="s">
        <v>5</v>
      </c>
      <c r="H340" s="4" t="s">
        <v>7</v>
      </c>
      <c r="I340" s="4" t="s">
        <v>9</v>
      </c>
      <c r="J340" s="4" t="s">
        <v>11</v>
      </c>
      <c r="K340" s="2" t="s">
        <v>33</v>
      </c>
      <c r="L340" s="2" t="s">
        <v>34</v>
      </c>
      <c r="M340" s="2"/>
    </row>
    <row r="341" spans="1:13" ht="15.75" thickBot="1">
      <c r="A341" s="9">
        <v>1</v>
      </c>
      <c r="B341" s="10">
        <v>2</v>
      </c>
      <c r="C341" s="10">
        <v>3</v>
      </c>
      <c r="D341" s="10">
        <v>4</v>
      </c>
      <c r="E341" s="10">
        <v>5</v>
      </c>
      <c r="F341" s="10">
        <v>6</v>
      </c>
      <c r="G341" s="10" t="s">
        <v>6</v>
      </c>
      <c r="H341" s="9" t="s">
        <v>8</v>
      </c>
      <c r="I341" s="10" t="s">
        <v>10</v>
      </c>
      <c r="J341" s="10" t="s">
        <v>12</v>
      </c>
    </row>
    <row r="342" spans="1:13">
      <c r="A342" s="13" t="s">
        <v>71</v>
      </c>
      <c r="B342" s="14" t="s">
        <v>49</v>
      </c>
      <c r="C342" s="14">
        <v>5.75</v>
      </c>
      <c r="D342" s="14">
        <v>210</v>
      </c>
      <c r="E342" s="14">
        <v>88</v>
      </c>
      <c r="F342" s="14">
        <v>1974</v>
      </c>
      <c r="G342" s="15">
        <f>C342*F342</f>
        <v>11350.5</v>
      </c>
      <c r="H342" s="15">
        <f>G342/E342</f>
        <v>128.98295454545453</v>
      </c>
      <c r="I342" s="16">
        <f>D342*12*1.302/1974</f>
        <v>1.6621276595744681</v>
      </c>
      <c r="J342" s="17">
        <f>I342*H342</f>
        <v>214.38613636363635</v>
      </c>
    </row>
    <row r="343" spans="1:13">
      <c r="A343" s="18"/>
      <c r="B343" s="5" t="s">
        <v>102</v>
      </c>
      <c r="C343" s="5">
        <v>2</v>
      </c>
      <c r="D343" s="5">
        <v>210</v>
      </c>
      <c r="E343" s="5">
        <v>88</v>
      </c>
      <c r="F343" s="5">
        <v>1974</v>
      </c>
      <c r="G343" s="6">
        <f t="shared" ref="G343" si="194">C343*F343</f>
        <v>3948</v>
      </c>
      <c r="H343" s="6">
        <f>G343/E343</f>
        <v>44.863636363636367</v>
      </c>
      <c r="I343" s="7">
        <f t="shared" ref="I343" si="195">D343*12*1.302/1974</f>
        <v>1.6621276595744681</v>
      </c>
      <c r="J343" s="19">
        <f t="shared" ref="J343" si="196">I343*H343</f>
        <v>74.569090909090917</v>
      </c>
    </row>
    <row r="344" spans="1:13">
      <c r="A344" s="18"/>
      <c r="B344" s="5"/>
      <c r="C344" s="102"/>
      <c r="D344" s="5"/>
      <c r="E344" s="5"/>
      <c r="F344" s="5"/>
      <c r="G344" s="6"/>
      <c r="H344" s="6"/>
      <c r="I344" s="7"/>
      <c r="J344" s="19">
        <f t="shared" ref="J344:J347" si="197">I344*H344</f>
        <v>0</v>
      </c>
    </row>
    <row r="345" spans="1:13" ht="15.75" thickBot="1">
      <c r="A345" s="20"/>
      <c r="B345" s="21"/>
      <c r="C345" s="21">
        <f>SUM(C342:C344)</f>
        <v>7.75</v>
      </c>
      <c r="D345" s="21"/>
      <c r="E345" s="21"/>
      <c r="F345" s="21"/>
      <c r="G345" s="22"/>
      <c r="H345" s="22"/>
      <c r="I345" s="23"/>
      <c r="J345" s="24">
        <f>SUM(J342:J344)</f>
        <v>288.95522727272726</v>
      </c>
    </row>
    <row r="346" spans="1:13" ht="15.75" thickBot="1">
      <c r="A346" s="69"/>
      <c r="B346" s="70"/>
      <c r="C346" s="70"/>
      <c r="D346" s="70"/>
      <c r="E346" s="70"/>
      <c r="F346" s="70"/>
      <c r="G346" s="74"/>
      <c r="H346" s="100" t="s">
        <v>66</v>
      </c>
      <c r="I346" s="101"/>
      <c r="J346" s="72">
        <f>J345-J347</f>
        <v>0</v>
      </c>
      <c r="K346" s="68">
        <f>J346*122</f>
        <v>0</v>
      </c>
      <c r="L346" s="68"/>
      <c r="M346" s="68">
        <f>L346-K346</f>
        <v>0</v>
      </c>
    </row>
    <row r="347" spans="1:13" ht="15.75" thickBot="1">
      <c r="A347" s="69"/>
      <c r="B347" s="70"/>
      <c r="C347" s="70"/>
      <c r="D347" s="70"/>
      <c r="E347" s="70"/>
      <c r="F347" s="70"/>
      <c r="G347" s="74"/>
      <c r="H347" s="100" t="s">
        <v>63</v>
      </c>
      <c r="I347" s="101"/>
      <c r="J347" s="72">
        <f>J342+J343+J344</f>
        <v>288.95522727272726</v>
      </c>
      <c r="K347" s="68">
        <f>J347*E342</f>
        <v>25428.059999999998</v>
      </c>
      <c r="L347" s="68">
        <v>25428.1</v>
      </c>
      <c r="M347" s="68">
        <f>L347-K347</f>
        <v>4.0000000000873115E-2</v>
      </c>
    </row>
    <row r="348" spans="1:13">
      <c r="A348" s="13" t="s">
        <v>76</v>
      </c>
      <c r="B348" s="14" t="s">
        <v>49</v>
      </c>
      <c r="C348" s="14">
        <v>12</v>
      </c>
      <c r="D348" s="14">
        <v>210</v>
      </c>
      <c r="E348" s="14">
        <v>169</v>
      </c>
      <c r="F348" s="14">
        <v>1974</v>
      </c>
      <c r="G348" s="15">
        <f>C348*F348</f>
        <v>23688</v>
      </c>
      <c r="H348" s="15">
        <f>G348/E348</f>
        <v>140.16568047337279</v>
      </c>
      <c r="I348" s="16">
        <f>D348*12*1.302/1974</f>
        <v>1.6621276595744681</v>
      </c>
      <c r="J348" s="17">
        <f>I348*H348</f>
        <v>232.97325443786983</v>
      </c>
    </row>
    <row r="349" spans="1:13">
      <c r="A349" s="18"/>
      <c r="B349" s="5" t="s">
        <v>102</v>
      </c>
      <c r="C349" s="5">
        <v>1</v>
      </c>
      <c r="D349" s="5">
        <v>210</v>
      </c>
      <c r="E349" s="5">
        <v>169</v>
      </c>
      <c r="F349" s="5">
        <v>1974</v>
      </c>
      <c r="G349" s="6">
        <f t="shared" ref="G349" si="198">C349*F349</f>
        <v>1974</v>
      </c>
      <c r="H349" s="6">
        <f>G349/E349</f>
        <v>11.680473372781066</v>
      </c>
      <c r="I349" s="7">
        <f t="shared" ref="I349" si="199">D349*12*1.302/1974</f>
        <v>1.6621276595744681</v>
      </c>
      <c r="J349" s="19">
        <f t="shared" ref="J349:J350" si="200">I349*H349</f>
        <v>19.414437869822486</v>
      </c>
    </row>
    <row r="350" spans="1:13">
      <c r="A350" s="18"/>
      <c r="B350" s="5"/>
      <c r="C350" s="102"/>
      <c r="D350" s="5"/>
      <c r="E350" s="5"/>
      <c r="F350" s="5"/>
      <c r="G350" s="6"/>
      <c r="H350" s="6"/>
      <c r="I350" s="7"/>
      <c r="J350" s="19">
        <f t="shared" si="200"/>
        <v>0</v>
      </c>
    </row>
    <row r="351" spans="1:13" ht="15.75" thickBot="1">
      <c r="A351" s="20"/>
      <c r="B351" s="21"/>
      <c r="C351" s="21">
        <f>SUM(C348:C350)</f>
        <v>13</v>
      </c>
      <c r="D351" s="21"/>
      <c r="E351" s="21"/>
      <c r="F351" s="21"/>
      <c r="G351" s="22"/>
      <c r="H351" s="22"/>
      <c r="I351" s="23"/>
      <c r="J351" s="24">
        <f>SUM(J348:J350)</f>
        <v>252.3876923076923</v>
      </c>
    </row>
    <row r="352" spans="1:13" ht="15.75" thickBot="1">
      <c r="A352" s="69"/>
      <c r="B352" s="70"/>
      <c r="C352" s="70"/>
      <c r="D352" s="70"/>
      <c r="E352" s="70"/>
      <c r="F352" s="70"/>
      <c r="G352" s="74"/>
      <c r="H352" s="100" t="s">
        <v>66</v>
      </c>
      <c r="I352" s="101"/>
      <c r="J352" s="72">
        <f>J351-J353</f>
        <v>0</v>
      </c>
      <c r="K352" s="68">
        <f>J352*122</f>
        <v>0</v>
      </c>
      <c r="L352" s="68"/>
      <c r="M352" s="68">
        <f>L352-K352</f>
        <v>0</v>
      </c>
    </row>
    <row r="353" spans="1:13" ht="15.75" thickBot="1">
      <c r="A353" s="69"/>
      <c r="B353" s="70"/>
      <c r="C353" s="70"/>
      <c r="D353" s="70"/>
      <c r="E353" s="70"/>
      <c r="F353" s="70"/>
      <c r="G353" s="74"/>
      <c r="H353" s="100" t="s">
        <v>63</v>
      </c>
      <c r="I353" s="101"/>
      <c r="J353" s="72">
        <f>J348+J349+J350</f>
        <v>252.3876923076923</v>
      </c>
      <c r="K353" s="68">
        <f>J353*E348</f>
        <v>42653.52</v>
      </c>
      <c r="L353" s="68">
        <v>42653.5</v>
      </c>
      <c r="M353" s="68">
        <f>L353-K353</f>
        <v>-1.9999999996798579E-2</v>
      </c>
    </row>
    <row r="354" spans="1:13">
      <c r="A354" s="13" t="s">
        <v>77</v>
      </c>
      <c r="B354" s="14" t="s">
        <v>49</v>
      </c>
      <c r="C354" s="14">
        <v>6</v>
      </c>
      <c r="D354" s="14">
        <v>210</v>
      </c>
      <c r="E354" s="14">
        <v>111</v>
      </c>
      <c r="F354" s="14">
        <v>1974</v>
      </c>
      <c r="G354" s="15">
        <f>C354*F354</f>
        <v>11844</v>
      </c>
      <c r="H354" s="15">
        <f>G354/E354</f>
        <v>106.70270270270271</v>
      </c>
      <c r="I354" s="16">
        <f>D354*12*1.302/1974</f>
        <v>1.6621276595744681</v>
      </c>
      <c r="J354" s="17">
        <f>I354*H354</f>
        <v>177.35351351351352</v>
      </c>
    </row>
    <row r="355" spans="1:13">
      <c r="A355" s="18"/>
      <c r="B355" s="5" t="s">
        <v>102</v>
      </c>
      <c r="C355" s="5">
        <v>1.5</v>
      </c>
      <c r="D355" s="5">
        <v>210</v>
      </c>
      <c r="E355" s="5">
        <v>111</v>
      </c>
      <c r="F355" s="5">
        <v>1974</v>
      </c>
      <c r="G355" s="6">
        <f t="shared" ref="G355" si="201">C355*F355</f>
        <v>2961</v>
      </c>
      <c r="H355" s="6">
        <f>G355/E355</f>
        <v>26.675675675675677</v>
      </c>
      <c r="I355" s="7">
        <f t="shared" ref="I355" si="202">D355*12*1.302/1974</f>
        <v>1.6621276595744681</v>
      </c>
      <c r="J355" s="19">
        <f t="shared" ref="J355" si="203">I355*H355</f>
        <v>44.33837837837838</v>
      </c>
    </row>
    <row r="356" spans="1:13">
      <c r="A356" s="18"/>
      <c r="B356" s="5"/>
      <c r="C356" s="102"/>
      <c r="D356" s="5"/>
      <c r="E356" s="5"/>
      <c r="F356" s="5"/>
      <c r="G356" s="6"/>
      <c r="H356" s="6"/>
      <c r="I356" s="7"/>
      <c r="J356" s="19">
        <f t="shared" ref="J356:J359" si="204">I356*H356</f>
        <v>0</v>
      </c>
    </row>
    <row r="357" spans="1:13" ht="15.75" thickBot="1">
      <c r="A357" s="20"/>
      <c r="B357" s="21"/>
      <c r="C357" s="21">
        <f>SUM(C354:C356)</f>
        <v>7.5</v>
      </c>
      <c r="D357" s="21"/>
      <c r="E357" s="21"/>
      <c r="F357" s="21"/>
      <c r="G357" s="22"/>
      <c r="H357" s="22"/>
      <c r="I357" s="23"/>
      <c r="J357" s="24">
        <f>SUM(J354:J356)</f>
        <v>221.69189189189188</v>
      </c>
    </row>
    <row r="358" spans="1:13" ht="15.75" thickBot="1">
      <c r="A358" s="69"/>
      <c r="B358" s="70"/>
      <c r="C358" s="70"/>
      <c r="D358" s="70"/>
      <c r="E358" s="70"/>
      <c r="F358" s="70"/>
      <c r="G358" s="74"/>
      <c r="H358" s="100" t="s">
        <v>66</v>
      </c>
      <c r="I358" s="101"/>
      <c r="J358" s="72">
        <f>J357-J359</f>
        <v>0</v>
      </c>
      <c r="K358" s="68">
        <f>J358*122</f>
        <v>0</v>
      </c>
      <c r="L358" s="68"/>
      <c r="M358" s="68">
        <f>L358-K358</f>
        <v>0</v>
      </c>
    </row>
    <row r="359" spans="1:13" ht="15.75" thickBot="1">
      <c r="A359" s="69"/>
      <c r="B359" s="70"/>
      <c r="C359" s="70"/>
      <c r="D359" s="70"/>
      <c r="E359" s="70"/>
      <c r="F359" s="70"/>
      <c r="G359" s="74"/>
      <c r="H359" s="100" t="s">
        <v>63</v>
      </c>
      <c r="I359" s="101"/>
      <c r="J359" s="72">
        <f>J354+J355+J356</f>
        <v>221.69189189189188</v>
      </c>
      <c r="K359" s="68">
        <f>J359*E354</f>
        <v>24607.8</v>
      </c>
      <c r="L359" s="68">
        <v>24607.8</v>
      </c>
      <c r="M359" s="68">
        <f>L359-K359</f>
        <v>0</v>
      </c>
    </row>
    <row r="360" spans="1:13">
      <c r="A360" s="13" t="s">
        <v>78</v>
      </c>
      <c r="B360" s="14" t="s">
        <v>49</v>
      </c>
      <c r="C360" s="14">
        <v>16.5</v>
      </c>
      <c r="D360" s="14">
        <v>210</v>
      </c>
      <c r="E360" s="14">
        <v>173</v>
      </c>
      <c r="F360" s="14">
        <v>1974</v>
      </c>
      <c r="G360" s="15">
        <f>C360*F360</f>
        <v>32571</v>
      </c>
      <c r="H360" s="15">
        <f>G360/E360</f>
        <v>188.27167630057804</v>
      </c>
      <c r="I360" s="16">
        <f>D360*12*1.302/1974</f>
        <v>1.6621276595744681</v>
      </c>
      <c r="J360" s="17">
        <f>I360*H360</f>
        <v>312.93156069364164</v>
      </c>
    </row>
    <row r="361" spans="1:13">
      <c r="A361" s="18"/>
      <c r="B361" s="5" t="s">
        <v>102</v>
      </c>
      <c r="C361" s="5">
        <v>2.5</v>
      </c>
      <c r="D361" s="5">
        <v>210</v>
      </c>
      <c r="E361" s="5">
        <v>173</v>
      </c>
      <c r="F361" s="5">
        <v>1974</v>
      </c>
      <c r="G361" s="6">
        <f t="shared" ref="G361" si="205">C361*F361</f>
        <v>4935</v>
      </c>
      <c r="H361" s="6">
        <f>G361/E361</f>
        <v>28.526011560693643</v>
      </c>
      <c r="I361" s="7">
        <f t="shared" ref="I361" si="206">D361*12*1.302/1974</f>
        <v>1.6621276595744681</v>
      </c>
      <c r="J361" s="19">
        <f t="shared" ref="J361" si="207">I361*H361</f>
        <v>47.413872832369947</v>
      </c>
    </row>
    <row r="362" spans="1:13">
      <c r="A362" s="18"/>
      <c r="B362" s="5"/>
      <c r="C362" s="102"/>
      <c r="D362" s="5"/>
      <c r="E362" s="5"/>
      <c r="F362" s="5"/>
      <c r="G362" s="6"/>
      <c r="H362" s="6"/>
      <c r="I362" s="7"/>
      <c r="J362" s="19">
        <f t="shared" ref="J362:J365" si="208">I362*H362</f>
        <v>0</v>
      </c>
    </row>
    <row r="363" spans="1:13" ht="15.75" thickBot="1">
      <c r="A363" s="20"/>
      <c r="B363" s="21"/>
      <c r="C363" s="21">
        <f>SUM(C360:C362)</f>
        <v>19</v>
      </c>
      <c r="D363" s="21"/>
      <c r="E363" s="21"/>
      <c r="F363" s="21"/>
      <c r="G363" s="22"/>
      <c r="H363" s="22"/>
      <c r="I363" s="23"/>
      <c r="J363" s="24">
        <f>SUM(J360:J362)</f>
        <v>360.34543352601156</v>
      </c>
    </row>
    <row r="364" spans="1:13" ht="15.75" thickBot="1">
      <c r="A364" s="69"/>
      <c r="B364" s="70"/>
      <c r="C364" s="70"/>
      <c r="D364" s="70"/>
      <c r="E364" s="70"/>
      <c r="F364" s="70"/>
      <c r="G364" s="74"/>
      <c r="H364" s="100" t="s">
        <v>66</v>
      </c>
      <c r="I364" s="101"/>
      <c r="J364" s="72">
        <f>J363-J365</f>
        <v>0</v>
      </c>
      <c r="K364" s="68">
        <f>J364*122</f>
        <v>0</v>
      </c>
      <c r="L364" s="68"/>
      <c r="M364" s="68">
        <f>L364-K364</f>
        <v>0</v>
      </c>
    </row>
    <row r="365" spans="1:13" ht="15.75" thickBot="1">
      <c r="A365" s="69"/>
      <c r="B365" s="70"/>
      <c r="C365" s="70"/>
      <c r="D365" s="70"/>
      <c r="E365" s="70"/>
      <c r="F365" s="70"/>
      <c r="G365" s="74"/>
      <c r="H365" s="100" t="s">
        <v>63</v>
      </c>
      <c r="I365" s="101"/>
      <c r="J365" s="72">
        <f>J360+J361+J362</f>
        <v>360.34543352601156</v>
      </c>
      <c r="K365" s="68">
        <f>J365*E360</f>
        <v>62339.76</v>
      </c>
      <c r="L365" s="68">
        <v>62339.8</v>
      </c>
      <c r="M365" s="68">
        <f>L365-K365</f>
        <v>4.0000000000873115E-2</v>
      </c>
    </row>
    <row r="366" spans="1:13">
      <c r="A366" s="13" t="s">
        <v>79</v>
      </c>
      <c r="B366" s="14" t="s">
        <v>49</v>
      </c>
      <c r="C366" s="103">
        <v>22.5</v>
      </c>
      <c r="D366" s="14">
        <v>210</v>
      </c>
      <c r="E366" s="14">
        <v>140</v>
      </c>
      <c r="F366" s="14">
        <v>1974</v>
      </c>
      <c r="G366" s="15">
        <f>C366*F366</f>
        <v>44415</v>
      </c>
      <c r="H366" s="15">
        <f>G366/E366</f>
        <v>317.25</v>
      </c>
      <c r="I366" s="16">
        <f>D366*12*1.302/1974</f>
        <v>1.6621276595744681</v>
      </c>
      <c r="J366" s="17">
        <f>I366*H366</f>
        <v>527.30999999999995</v>
      </c>
    </row>
    <row r="367" spans="1:13">
      <c r="A367" s="18"/>
      <c r="B367" s="5" t="s">
        <v>102</v>
      </c>
      <c r="C367" s="5">
        <v>2</v>
      </c>
      <c r="D367" s="5">
        <v>210</v>
      </c>
      <c r="E367" s="5">
        <v>140</v>
      </c>
      <c r="F367" s="5">
        <v>1974</v>
      </c>
      <c r="G367" s="6">
        <f t="shared" ref="G367" si="209">C367*F367</f>
        <v>3948</v>
      </c>
      <c r="H367" s="6">
        <f>G367/E367</f>
        <v>28.2</v>
      </c>
      <c r="I367" s="7">
        <f t="shared" ref="I367" si="210">D367*12*1.302/1974</f>
        <v>1.6621276595744681</v>
      </c>
      <c r="J367" s="19">
        <f t="shared" ref="J367" si="211">I367*H367</f>
        <v>46.872</v>
      </c>
    </row>
    <row r="368" spans="1:13">
      <c r="A368" s="18"/>
      <c r="B368" s="5"/>
      <c r="C368" s="102"/>
      <c r="D368" s="5"/>
      <c r="E368" s="5"/>
      <c r="F368" s="5"/>
      <c r="G368" s="6"/>
      <c r="H368" s="6"/>
      <c r="I368" s="7"/>
      <c r="J368" s="19">
        <f t="shared" ref="J368:J371" si="212">I368*H368</f>
        <v>0</v>
      </c>
    </row>
    <row r="369" spans="1:13" ht="15.75" thickBot="1">
      <c r="A369" s="20"/>
      <c r="B369" s="21"/>
      <c r="C369" s="21">
        <f>SUM(C366:C368)</f>
        <v>24.5</v>
      </c>
      <c r="D369" s="21"/>
      <c r="E369" s="21"/>
      <c r="F369" s="21"/>
      <c r="G369" s="22"/>
      <c r="H369" s="22"/>
      <c r="I369" s="23"/>
      <c r="J369" s="24">
        <f>SUM(J366:J368)</f>
        <v>574.1819999999999</v>
      </c>
    </row>
    <row r="370" spans="1:13" ht="15.75" thickBot="1">
      <c r="A370" s="69"/>
      <c r="B370" s="70"/>
      <c r="C370" s="70"/>
      <c r="D370" s="70"/>
      <c r="E370" s="70"/>
      <c r="F370" s="70"/>
      <c r="G370" s="74"/>
      <c r="H370" s="100" t="s">
        <v>66</v>
      </c>
      <c r="I370" s="101"/>
      <c r="J370" s="72">
        <f>J369-J371</f>
        <v>0</v>
      </c>
      <c r="K370" s="68">
        <f>J370*122</f>
        <v>0</v>
      </c>
      <c r="L370" s="68"/>
      <c r="M370" s="68">
        <f>L370-K370</f>
        <v>0</v>
      </c>
    </row>
    <row r="371" spans="1:13" ht="15.75" thickBot="1">
      <c r="A371" s="69"/>
      <c r="B371" s="70"/>
      <c r="C371" s="70"/>
      <c r="D371" s="70"/>
      <c r="E371" s="70"/>
      <c r="F371" s="70"/>
      <c r="G371" s="74"/>
      <c r="H371" s="100" t="s">
        <v>63</v>
      </c>
      <c r="I371" s="101"/>
      <c r="J371" s="72">
        <f>J366+J367+J368</f>
        <v>574.1819999999999</v>
      </c>
      <c r="K371" s="68">
        <f>J371*E366</f>
        <v>80385.479999999981</v>
      </c>
      <c r="L371" s="68">
        <v>80385.5</v>
      </c>
      <c r="M371" s="68">
        <f>L371-K371</f>
        <v>2.0000000018626451E-2</v>
      </c>
    </row>
    <row r="372" spans="1:13">
      <c r="A372" s="13" t="s">
        <v>80</v>
      </c>
      <c r="B372" s="14" t="s">
        <v>49</v>
      </c>
      <c r="C372" s="14">
        <v>14</v>
      </c>
      <c r="D372" s="14">
        <v>210</v>
      </c>
      <c r="E372" s="14">
        <v>125</v>
      </c>
      <c r="F372" s="14">
        <v>1974</v>
      </c>
      <c r="G372" s="15">
        <f>C372*F372</f>
        <v>27636</v>
      </c>
      <c r="H372" s="15">
        <f>G372/E372</f>
        <v>221.08799999999999</v>
      </c>
      <c r="I372" s="16">
        <f>D372*12*1.302/1974</f>
        <v>1.6621276595744681</v>
      </c>
      <c r="J372" s="17">
        <f>I372*H372</f>
        <v>367.47647999999998</v>
      </c>
    </row>
    <row r="373" spans="1:13">
      <c r="A373" s="18"/>
      <c r="B373" s="5" t="s">
        <v>102</v>
      </c>
      <c r="C373" s="5">
        <v>1</v>
      </c>
      <c r="D373" s="5">
        <v>210</v>
      </c>
      <c r="E373" s="5">
        <v>125</v>
      </c>
      <c r="F373" s="5">
        <v>1974</v>
      </c>
      <c r="G373" s="6">
        <f t="shared" ref="G373" si="213">C373*F373</f>
        <v>1974</v>
      </c>
      <c r="H373" s="6">
        <f>G373/E373</f>
        <v>15.792</v>
      </c>
      <c r="I373" s="7">
        <f t="shared" ref="I373" si="214">D373*12*1.302/1974</f>
        <v>1.6621276595744681</v>
      </c>
      <c r="J373" s="19">
        <f t="shared" ref="J373" si="215">I373*H373</f>
        <v>26.24832</v>
      </c>
    </row>
    <row r="374" spans="1:13">
      <c r="A374" s="18"/>
      <c r="B374" s="5"/>
      <c r="C374" s="102"/>
      <c r="D374" s="5"/>
      <c r="E374" s="5"/>
      <c r="F374" s="5"/>
      <c r="G374" s="6"/>
      <c r="H374" s="6"/>
      <c r="I374" s="7"/>
      <c r="J374" s="19">
        <f t="shared" ref="J374:J377" si="216">I374*H374</f>
        <v>0</v>
      </c>
    </row>
    <row r="375" spans="1:13" ht="15.75" thickBot="1">
      <c r="A375" s="20"/>
      <c r="B375" s="21"/>
      <c r="C375" s="21">
        <f>SUM(C372:C374)</f>
        <v>15</v>
      </c>
      <c r="D375" s="21"/>
      <c r="E375" s="21"/>
      <c r="F375" s="21"/>
      <c r="G375" s="22"/>
      <c r="H375" s="22"/>
      <c r="I375" s="23"/>
      <c r="J375" s="24">
        <f>SUM(J372:J374)</f>
        <v>393.72479999999996</v>
      </c>
    </row>
    <row r="376" spans="1:13" ht="15.75" thickBot="1">
      <c r="A376" s="69"/>
      <c r="B376" s="70"/>
      <c r="C376" s="70"/>
      <c r="D376" s="70"/>
      <c r="E376" s="70"/>
      <c r="F376" s="70"/>
      <c r="G376" s="74"/>
      <c r="H376" s="100" t="s">
        <v>66</v>
      </c>
      <c r="I376" s="101"/>
      <c r="J376" s="72">
        <f>J375-J377</f>
        <v>0</v>
      </c>
      <c r="K376" s="68">
        <f>J376*122</f>
        <v>0</v>
      </c>
      <c r="L376" s="68"/>
      <c r="M376" s="68">
        <f>L376-K376</f>
        <v>0</v>
      </c>
    </row>
    <row r="377" spans="1:13" ht="15.75" thickBot="1">
      <c r="A377" s="69"/>
      <c r="B377" s="70"/>
      <c r="C377" s="70"/>
      <c r="D377" s="70"/>
      <c r="E377" s="70"/>
      <c r="F377" s="70"/>
      <c r="G377" s="74"/>
      <c r="H377" s="100" t="s">
        <v>63</v>
      </c>
      <c r="I377" s="101"/>
      <c r="J377" s="72">
        <f>J372+J373+J374</f>
        <v>393.72479999999996</v>
      </c>
      <c r="K377" s="68">
        <f>J377*E372</f>
        <v>49215.599999999991</v>
      </c>
      <c r="L377" s="68">
        <v>49215.6</v>
      </c>
      <c r="M377" s="68">
        <f>L377-K377</f>
        <v>0</v>
      </c>
    </row>
    <row r="378" spans="1:13">
      <c r="A378" s="13" t="s">
        <v>81</v>
      </c>
      <c r="B378" s="14" t="s">
        <v>49</v>
      </c>
      <c r="C378" s="14">
        <v>16.75</v>
      </c>
      <c r="D378" s="14">
        <v>210</v>
      </c>
      <c r="E378" s="14">
        <v>151</v>
      </c>
      <c r="F378" s="14">
        <v>1974</v>
      </c>
      <c r="G378" s="15">
        <f>C378*F378</f>
        <v>33064.5</v>
      </c>
      <c r="H378" s="15">
        <f>G378/E378</f>
        <v>218.97019867549668</v>
      </c>
      <c r="I378" s="16">
        <f>D378*12*1.302/1974</f>
        <v>1.6621276595744681</v>
      </c>
      <c r="J378" s="17">
        <f>I378*H378</f>
        <v>363.95642384105957</v>
      </c>
    </row>
    <row r="379" spans="1:13">
      <c r="A379" s="18"/>
      <c r="B379" s="5" t="s">
        <v>102</v>
      </c>
      <c r="C379" s="5">
        <v>3</v>
      </c>
      <c r="D379" s="5">
        <v>210</v>
      </c>
      <c r="E379" s="5">
        <v>151</v>
      </c>
      <c r="F379" s="5">
        <v>1974</v>
      </c>
      <c r="G379" s="6">
        <f t="shared" ref="G379" si="217">C379*F379</f>
        <v>5922</v>
      </c>
      <c r="H379" s="6">
        <f>G379/E379</f>
        <v>39.218543046357617</v>
      </c>
      <c r="I379" s="7">
        <f t="shared" ref="I379" si="218">D379*12*1.302/1974</f>
        <v>1.6621276595744681</v>
      </c>
      <c r="J379" s="19">
        <f t="shared" ref="J379" si="219">I379*H379</f>
        <v>65.186225165562917</v>
      </c>
    </row>
    <row r="380" spans="1:13">
      <c r="A380" s="18"/>
      <c r="B380" s="5"/>
      <c r="C380" s="102"/>
      <c r="D380" s="5"/>
      <c r="E380" s="5"/>
      <c r="F380" s="5"/>
      <c r="G380" s="6"/>
      <c r="H380" s="6"/>
      <c r="I380" s="7"/>
      <c r="J380" s="19">
        <f t="shared" ref="J380:J383" si="220">I380*H380</f>
        <v>0</v>
      </c>
    </row>
    <row r="381" spans="1:13" ht="15.75" thickBot="1">
      <c r="A381" s="20"/>
      <c r="B381" s="21"/>
      <c r="C381" s="21">
        <f>SUM(C378:C380)</f>
        <v>19.75</v>
      </c>
      <c r="D381" s="21"/>
      <c r="E381" s="21"/>
      <c r="F381" s="21"/>
      <c r="G381" s="22"/>
      <c r="H381" s="22"/>
      <c r="I381" s="23"/>
      <c r="J381" s="24">
        <f>SUM(J378:J380)</f>
        <v>429.14264900662249</v>
      </c>
    </row>
    <row r="382" spans="1:13" ht="15.75" thickBot="1">
      <c r="A382" s="69"/>
      <c r="B382" s="70"/>
      <c r="C382" s="70"/>
      <c r="D382" s="70"/>
      <c r="E382" s="70"/>
      <c r="F382" s="70"/>
      <c r="G382" s="74"/>
      <c r="H382" s="100" t="s">
        <v>66</v>
      </c>
      <c r="I382" s="101"/>
      <c r="J382" s="72">
        <f>J381-J383</f>
        <v>0</v>
      </c>
      <c r="K382" s="68">
        <f>J382*122</f>
        <v>0</v>
      </c>
      <c r="L382" s="68"/>
      <c r="M382" s="68">
        <f>L382-K382</f>
        <v>0</v>
      </c>
    </row>
    <row r="383" spans="1:13" ht="15.75" thickBot="1">
      <c r="A383" s="69"/>
      <c r="B383" s="70"/>
      <c r="C383" s="70"/>
      <c r="D383" s="70"/>
      <c r="E383" s="70"/>
      <c r="F383" s="70"/>
      <c r="G383" s="74"/>
      <c r="H383" s="100" t="s">
        <v>63</v>
      </c>
      <c r="I383" s="101"/>
      <c r="J383" s="72">
        <f>J378+J379+J380</f>
        <v>429.14264900662249</v>
      </c>
      <c r="K383" s="68">
        <f>J383*E378</f>
        <v>64800.539999999994</v>
      </c>
      <c r="L383" s="68">
        <v>64800.5</v>
      </c>
      <c r="M383" s="68">
        <f>L383-K383</f>
        <v>-3.9999999993597157E-2</v>
      </c>
    </row>
    <row r="384" spans="1:13">
      <c r="A384" s="13" t="s">
        <v>82</v>
      </c>
      <c r="B384" s="14" t="s">
        <v>49</v>
      </c>
      <c r="C384" s="14">
        <v>7.25</v>
      </c>
      <c r="D384" s="14">
        <v>210</v>
      </c>
      <c r="E384" s="14">
        <v>49</v>
      </c>
      <c r="F384" s="14">
        <v>1974</v>
      </c>
      <c r="G384" s="15">
        <f>C384*F384</f>
        <v>14311.5</v>
      </c>
      <c r="H384" s="15">
        <f>G384/E384</f>
        <v>292.07142857142856</v>
      </c>
      <c r="I384" s="16">
        <f>D384*12*1.302/1974</f>
        <v>1.6621276595744681</v>
      </c>
      <c r="J384" s="17">
        <f>I384*H384</f>
        <v>485.46</v>
      </c>
    </row>
    <row r="385" spans="1:13">
      <c r="A385" s="18"/>
      <c r="B385" s="5" t="s">
        <v>102</v>
      </c>
      <c r="C385" s="5">
        <v>1</v>
      </c>
      <c r="D385" s="5">
        <v>210</v>
      </c>
      <c r="E385" s="5">
        <v>49</v>
      </c>
      <c r="F385" s="5">
        <v>1974</v>
      </c>
      <c r="G385" s="6">
        <f t="shared" ref="G385" si="221">C385*F385</f>
        <v>1974</v>
      </c>
      <c r="H385" s="6">
        <f>G385/E385</f>
        <v>40.285714285714285</v>
      </c>
      <c r="I385" s="7">
        <f t="shared" ref="I385" si="222">D385*12*1.302/1974</f>
        <v>1.6621276595744681</v>
      </c>
      <c r="J385" s="19">
        <f t="shared" ref="J385" si="223">I385*H385</f>
        <v>66.959999999999994</v>
      </c>
    </row>
    <row r="386" spans="1:13">
      <c r="A386" s="18"/>
      <c r="B386" s="5"/>
      <c r="C386" s="102"/>
      <c r="D386" s="5"/>
      <c r="E386" s="5"/>
      <c r="F386" s="5"/>
      <c r="G386" s="6"/>
      <c r="H386" s="6"/>
      <c r="I386" s="7"/>
      <c r="J386" s="19">
        <f t="shared" ref="J386:J389" si="224">I386*H386</f>
        <v>0</v>
      </c>
    </row>
    <row r="387" spans="1:13" ht="15.75" thickBot="1">
      <c r="A387" s="20"/>
      <c r="B387" s="21"/>
      <c r="C387" s="21">
        <f>SUM(C384:C386)</f>
        <v>8.25</v>
      </c>
      <c r="D387" s="21"/>
      <c r="E387" s="21"/>
      <c r="F387" s="21"/>
      <c r="G387" s="22"/>
      <c r="H387" s="22"/>
      <c r="I387" s="23"/>
      <c r="J387" s="24">
        <f>SUM(J384:J386)</f>
        <v>552.41999999999996</v>
      </c>
    </row>
    <row r="388" spans="1:13" ht="15.75" thickBot="1">
      <c r="A388" s="69"/>
      <c r="B388" s="70"/>
      <c r="C388" s="70"/>
      <c r="D388" s="70"/>
      <c r="E388" s="70"/>
      <c r="F388" s="70"/>
      <c r="G388" s="74"/>
      <c r="H388" s="100" t="s">
        <v>66</v>
      </c>
      <c r="I388" s="101"/>
      <c r="J388" s="72">
        <f>J387-J389</f>
        <v>0</v>
      </c>
      <c r="K388" s="68">
        <f>J388*122</f>
        <v>0</v>
      </c>
      <c r="L388" s="68"/>
      <c r="M388" s="68">
        <f>L388-K388</f>
        <v>0</v>
      </c>
    </row>
    <row r="389" spans="1:13" ht="15.75" thickBot="1">
      <c r="A389" s="69"/>
      <c r="B389" s="70"/>
      <c r="C389" s="70"/>
      <c r="D389" s="70"/>
      <c r="E389" s="70"/>
      <c r="F389" s="70"/>
      <c r="G389" s="74"/>
      <c r="H389" s="100" t="s">
        <v>63</v>
      </c>
      <c r="I389" s="101"/>
      <c r="J389" s="72">
        <f>J384+J385+J386</f>
        <v>552.41999999999996</v>
      </c>
      <c r="K389" s="68">
        <f>J389*E384</f>
        <v>27068.579999999998</v>
      </c>
      <c r="L389" s="68">
        <v>27068.6</v>
      </c>
      <c r="M389" s="68">
        <f>L389-K389</f>
        <v>2.0000000000436557E-2</v>
      </c>
    </row>
    <row r="390" spans="1:13">
      <c r="A390" s="13" t="s">
        <v>83</v>
      </c>
      <c r="B390" s="14" t="s">
        <v>49</v>
      </c>
      <c r="C390" s="14">
        <v>5.25</v>
      </c>
      <c r="D390" s="14">
        <v>210</v>
      </c>
      <c r="E390" s="14">
        <v>55</v>
      </c>
      <c r="F390" s="14">
        <v>1974</v>
      </c>
      <c r="G390" s="15">
        <f>C390*F390</f>
        <v>10363.5</v>
      </c>
      <c r="H390" s="15">
        <f>G390/E390</f>
        <v>188.42727272727274</v>
      </c>
      <c r="I390" s="16">
        <f>D390*12*1.302/1974</f>
        <v>1.6621276595744681</v>
      </c>
      <c r="J390" s="17">
        <f>I390*H390</f>
        <v>313.19018181818183</v>
      </c>
    </row>
    <row r="391" spans="1:13">
      <c r="A391" s="18"/>
      <c r="B391" s="5" t="s">
        <v>102</v>
      </c>
      <c r="C391" s="5">
        <v>1</v>
      </c>
      <c r="D391" s="5">
        <v>210</v>
      </c>
      <c r="E391" s="5">
        <v>55</v>
      </c>
      <c r="F391" s="5">
        <v>1974</v>
      </c>
      <c r="G391" s="6">
        <f t="shared" ref="G391" si="225">C391*F391</f>
        <v>1974</v>
      </c>
      <c r="H391" s="6">
        <f>G391/E391</f>
        <v>35.890909090909091</v>
      </c>
      <c r="I391" s="7">
        <f t="shared" ref="I391" si="226">D391*12*1.302/1974</f>
        <v>1.6621276595744681</v>
      </c>
      <c r="J391" s="19">
        <f t="shared" ref="J391" si="227">I391*H391</f>
        <v>59.655272727272724</v>
      </c>
    </row>
    <row r="392" spans="1:13">
      <c r="A392" s="18"/>
      <c r="B392" s="5"/>
      <c r="C392" s="102"/>
      <c r="D392" s="5"/>
      <c r="E392" s="5"/>
      <c r="F392" s="5"/>
      <c r="G392" s="6"/>
      <c r="H392" s="6"/>
      <c r="I392" s="7"/>
      <c r="J392" s="19">
        <f t="shared" ref="J392" si="228">I392*H392</f>
        <v>0</v>
      </c>
    </row>
    <row r="393" spans="1:13" ht="15.75" thickBot="1">
      <c r="A393" s="20"/>
      <c r="B393" s="21"/>
      <c r="C393" s="21">
        <f>SUM(C390:C392)</f>
        <v>6.25</v>
      </c>
      <c r="D393" s="21"/>
      <c r="E393" s="21"/>
      <c r="F393" s="21"/>
      <c r="G393" s="22"/>
      <c r="H393" s="22"/>
      <c r="I393" s="23"/>
      <c r="J393" s="24">
        <f>SUM(J390:J392)</f>
        <v>372.84545454545457</v>
      </c>
    </row>
    <row r="394" spans="1:13" ht="15.75" thickBot="1">
      <c r="A394" s="69"/>
      <c r="B394" s="70"/>
      <c r="C394" s="70"/>
      <c r="D394" s="70"/>
      <c r="E394" s="70"/>
      <c r="F394" s="70"/>
      <c r="G394" s="74"/>
      <c r="H394" s="100" t="s">
        <v>66</v>
      </c>
      <c r="I394" s="101"/>
      <c r="J394" s="72">
        <f>J393-J395</f>
        <v>0</v>
      </c>
      <c r="K394" s="68">
        <v>0</v>
      </c>
      <c r="L394" s="68"/>
      <c r="M394" s="68">
        <f>L394-K394</f>
        <v>0</v>
      </c>
    </row>
    <row r="395" spans="1:13" ht="15.75" thickBot="1">
      <c r="A395" s="69"/>
      <c r="B395" s="70"/>
      <c r="C395" s="70"/>
      <c r="D395" s="70"/>
      <c r="E395" s="70"/>
      <c r="F395" s="70"/>
      <c r="G395" s="74"/>
      <c r="H395" s="100" t="s">
        <v>63</v>
      </c>
      <c r="I395" s="101"/>
      <c r="J395" s="72">
        <f>J390+J391+J392</f>
        <v>372.84545454545457</v>
      </c>
      <c r="K395" s="68">
        <f>J395*E390</f>
        <v>20506.5</v>
      </c>
      <c r="L395" s="68">
        <v>20506.5</v>
      </c>
      <c r="M395" s="68">
        <f>L395-K395</f>
        <v>0</v>
      </c>
    </row>
    <row r="397" spans="1:13" ht="18.75">
      <c r="A397" s="73" t="s">
        <v>90</v>
      </c>
    </row>
    <row r="398" spans="1:13" ht="117" customHeight="1">
      <c r="A398" s="4" t="s">
        <v>2</v>
      </c>
      <c r="B398" s="4" t="s">
        <v>4</v>
      </c>
      <c r="C398" s="4" t="s">
        <v>0</v>
      </c>
      <c r="D398" s="4" t="s">
        <v>13</v>
      </c>
      <c r="E398" s="4" t="s">
        <v>3</v>
      </c>
      <c r="F398" s="4" t="s">
        <v>1</v>
      </c>
      <c r="G398" s="4" t="s">
        <v>5</v>
      </c>
      <c r="H398" s="4" t="s">
        <v>7</v>
      </c>
      <c r="I398" s="4" t="s">
        <v>9</v>
      </c>
      <c r="J398" s="4" t="s">
        <v>11</v>
      </c>
      <c r="K398" s="2" t="s">
        <v>33</v>
      </c>
      <c r="L398" s="2" t="s">
        <v>34</v>
      </c>
      <c r="M398" s="2"/>
    </row>
    <row r="399" spans="1:13" ht="15.75" thickBot="1">
      <c r="A399" s="9">
        <v>1</v>
      </c>
      <c r="B399" s="10">
        <v>2</v>
      </c>
      <c r="C399" s="10">
        <v>3</v>
      </c>
      <c r="D399" s="10">
        <v>4</v>
      </c>
      <c r="E399" s="10">
        <v>5</v>
      </c>
      <c r="F399" s="10">
        <v>6</v>
      </c>
      <c r="G399" s="10" t="s">
        <v>6</v>
      </c>
      <c r="H399" s="9" t="s">
        <v>8</v>
      </c>
      <c r="I399" s="10" t="s">
        <v>10</v>
      </c>
      <c r="J399" s="10" t="s">
        <v>12</v>
      </c>
    </row>
    <row r="400" spans="1:13">
      <c r="A400" s="13" t="s">
        <v>71</v>
      </c>
      <c r="B400" s="14" t="s">
        <v>49</v>
      </c>
      <c r="C400" s="14">
        <v>5.75</v>
      </c>
      <c r="D400" s="14">
        <v>210</v>
      </c>
      <c r="E400" s="14">
        <v>25</v>
      </c>
      <c r="F400" s="14">
        <v>1974</v>
      </c>
      <c r="G400" s="15">
        <f>C400*F400</f>
        <v>11350.5</v>
      </c>
      <c r="H400" s="15">
        <f>G400/E400</f>
        <v>454.02</v>
      </c>
      <c r="I400" s="16">
        <f>D400*12*1.302/1974</f>
        <v>1.6621276595744681</v>
      </c>
      <c r="J400" s="17">
        <f>I400*H400</f>
        <v>754.63919999999996</v>
      </c>
    </row>
    <row r="401" spans="1:13">
      <c r="A401" s="18"/>
      <c r="B401" s="5" t="s">
        <v>102</v>
      </c>
      <c r="C401" s="5">
        <v>2</v>
      </c>
      <c r="D401" s="5">
        <v>210</v>
      </c>
      <c r="E401" s="5">
        <v>25</v>
      </c>
      <c r="F401" s="5">
        <v>1974</v>
      </c>
      <c r="G401" s="6">
        <f t="shared" ref="G401" si="229">C401*F401</f>
        <v>3948</v>
      </c>
      <c r="H401" s="6">
        <f>G401/E401</f>
        <v>157.91999999999999</v>
      </c>
      <c r="I401" s="7">
        <f t="shared" ref="I401" si="230">D401*12*1.302/1974</f>
        <v>1.6621276595744681</v>
      </c>
      <c r="J401" s="19">
        <f t="shared" ref="J401:J402" si="231">I401*H401</f>
        <v>262.48319999999995</v>
      </c>
    </row>
    <row r="402" spans="1:13">
      <c r="A402" s="18"/>
      <c r="B402" s="5"/>
      <c r="C402" s="102"/>
      <c r="D402" s="5"/>
      <c r="E402" s="5"/>
      <c r="F402" s="5"/>
      <c r="G402" s="6"/>
      <c r="H402" s="6"/>
      <c r="I402" s="7"/>
      <c r="J402" s="19">
        <f t="shared" si="231"/>
        <v>0</v>
      </c>
    </row>
    <row r="403" spans="1:13" ht="15.75" thickBot="1">
      <c r="A403" s="20"/>
      <c r="B403" s="21"/>
      <c r="C403" s="21">
        <f>SUM(C400:C402)</f>
        <v>7.75</v>
      </c>
      <c r="D403" s="21"/>
      <c r="E403" s="21"/>
      <c r="F403" s="21"/>
      <c r="G403" s="22"/>
      <c r="H403" s="22"/>
      <c r="I403" s="23"/>
      <c r="J403" s="24">
        <f>SUM(J400:J402)</f>
        <v>1017.1224</v>
      </c>
    </row>
    <row r="404" spans="1:13" ht="15.75" thickBot="1">
      <c r="A404" s="69"/>
      <c r="B404" s="70"/>
      <c r="C404" s="70"/>
      <c r="D404" s="70"/>
      <c r="E404" s="70"/>
      <c r="F404" s="70"/>
      <c r="G404" s="74"/>
      <c r="H404" s="100" t="s">
        <v>66</v>
      </c>
      <c r="I404" s="101"/>
      <c r="J404" s="72">
        <f>J403-J405</f>
        <v>0</v>
      </c>
      <c r="K404" s="68">
        <f>J404*122</f>
        <v>0</v>
      </c>
      <c r="L404" s="68"/>
      <c r="M404" s="68">
        <f>L404-K404</f>
        <v>0</v>
      </c>
    </row>
    <row r="405" spans="1:13" ht="15.75" thickBot="1">
      <c r="A405" s="69"/>
      <c r="B405" s="70"/>
      <c r="C405" s="70"/>
      <c r="D405" s="70"/>
      <c r="E405" s="70"/>
      <c r="F405" s="70"/>
      <c r="G405" s="74"/>
      <c r="H405" s="100" t="s">
        <v>63</v>
      </c>
      <c r="I405" s="101"/>
      <c r="J405" s="72">
        <f>J400+J401+J402</f>
        <v>1017.1224</v>
      </c>
      <c r="K405" s="68">
        <f>J405*E400</f>
        <v>25428.059999999998</v>
      </c>
      <c r="L405" s="68">
        <v>25428.1</v>
      </c>
      <c r="M405" s="68">
        <f>L405-K405</f>
        <v>4.0000000000873115E-2</v>
      </c>
    </row>
    <row r="406" spans="1:13">
      <c r="A406" s="13" t="s">
        <v>76</v>
      </c>
      <c r="B406" s="14" t="s">
        <v>49</v>
      </c>
      <c r="C406" s="14">
        <v>12</v>
      </c>
      <c r="D406" s="14">
        <v>210</v>
      </c>
      <c r="E406" s="14">
        <v>25</v>
      </c>
      <c r="F406" s="14">
        <v>1974</v>
      </c>
      <c r="G406" s="15">
        <f>C406*F406</f>
        <v>23688</v>
      </c>
      <c r="H406" s="15">
        <f>G406/E406</f>
        <v>947.52</v>
      </c>
      <c r="I406" s="16">
        <f>D406*12*1.302/1974</f>
        <v>1.6621276595744681</v>
      </c>
      <c r="J406" s="17">
        <f>I406*H406</f>
        <v>1574.8991999999998</v>
      </c>
    </row>
    <row r="407" spans="1:13">
      <c r="A407" s="18"/>
      <c r="B407" s="5" t="s">
        <v>102</v>
      </c>
      <c r="C407" s="5">
        <v>1</v>
      </c>
      <c r="D407" s="5">
        <v>210</v>
      </c>
      <c r="E407" s="5">
        <v>25</v>
      </c>
      <c r="F407" s="5">
        <v>1974</v>
      </c>
      <c r="G407" s="6">
        <f t="shared" ref="G407" si="232">C407*F407</f>
        <v>1974</v>
      </c>
      <c r="H407" s="6">
        <f>G407/E407</f>
        <v>78.959999999999994</v>
      </c>
      <c r="I407" s="7">
        <f t="shared" ref="I407" si="233">D407*12*1.302/1974</f>
        <v>1.6621276595744681</v>
      </c>
      <c r="J407" s="19">
        <f t="shared" ref="J407:J408" si="234">I407*H407</f>
        <v>131.24159999999998</v>
      </c>
    </row>
    <row r="408" spans="1:13">
      <c r="A408" s="18"/>
      <c r="B408" s="5"/>
      <c r="C408" s="102"/>
      <c r="D408" s="5"/>
      <c r="E408" s="5"/>
      <c r="F408" s="5"/>
      <c r="G408" s="6"/>
      <c r="H408" s="6"/>
      <c r="I408" s="7"/>
      <c r="J408" s="19">
        <f t="shared" si="234"/>
        <v>0</v>
      </c>
    </row>
    <row r="409" spans="1:13" ht="15.75" thickBot="1">
      <c r="A409" s="20"/>
      <c r="B409" s="21"/>
      <c r="C409" s="21">
        <f>SUM(C406:C408)</f>
        <v>13</v>
      </c>
      <c r="D409" s="21"/>
      <c r="E409" s="21"/>
      <c r="F409" s="21"/>
      <c r="G409" s="22"/>
      <c r="H409" s="22"/>
      <c r="I409" s="23"/>
      <c r="J409" s="24">
        <f>SUM(J406:J408)</f>
        <v>1706.1407999999999</v>
      </c>
    </row>
    <row r="410" spans="1:13" ht="15.75" thickBot="1">
      <c r="A410" s="69"/>
      <c r="B410" s="70"/>
      <c r="C410" s="70"/>
      <c r="D410" s="70"/>
      <c r="E410" s="70"/>
      <c r="F410" s="70"/>
      <c r="G410" s="74"/>
      <c r="H410" s="100" t="s">
        <v>66</v>
      </c>
      <c r="I410" s="101"/>
      <c r="J410" s="72">
        <f>J409-J411</f>
        <v>0</v>
      </c>
      <c r="K410" s="68">
        <f>J410*122</f>
        <v>0</v>
      </c>
      <c r="L410" s="68"/>
      <c r="M410" s="68">
        <f>L410-K410</f>
        <v>0</v>
      </c>
    </row>
    <row r="411" spans="1:13" ht="15.75" thickBot="1">
      <c r="A411" s="69"/>
      <c r="B411" s="70"/>
      <c r="C411" s="70"/>
      <c r="D411" s="70"/>
      <c r="E411" s="70"/>
      <c r="F411" s="70"/>
      <c r="G411" s="74"/>
      <c r="H411" s="100" t="s">
        <v>63</v>
      </c>
      <c r="I411" s="101"/>
      <c r="J411" s="72">
        <f>J406+J407+J408</f>
        <v>1706.1407999999999</v>
      </c>
      <c r="K411" s="68">
        <f>J411*E406</f>
        <v>42653.52</v>
      </c>
      <c r="L411" s="68">
        <v>42653.5</v>
      </c>
      <c r="M411" s="68">
        <f>L411-K411</f>
        <v>-1.9999999996798579E-2</v>
      </c>
    </row>
    <row r="412" spans="1:13">
      <c r="A412" s="13" t="s">
        <v>77</v>
      </c>
      <c r="B412" s="14" t="s">
        <v>49</v>
      </c>
      <c r="C412" s="14">
        <v>6</v>
      </c>
      <c r="D412" s="14">
        <v>210</v>
      </c>
      <c r="E412" s="14">
        <v>25</v>
      </c>
      <c r="F412" s="14">
        <v>1974</v>
      </c>
      <c r="G412" s="15">
        <f>C412*F412</f>
        <v>11844</v>
      </c>
      <c r="H412" s="15">
        <f>G412/E412</f>
        <v>473.76</v>
      </c>
      <c r="I412" s="16">
        <f>D412*12*1.302/1974</f>
        <v>1.6621276595744681</v>
      </c>
      <c r="J412" s="17">
        <f>I412*H412</f>
        <v>787.44959999999992</v>
      </c>
    </row>
    <row r="413" spans="1:13">
      <c r="A413" s="18"/>
      <c r="B413" s="5" t="s">
        <v>102</v>
      </c>
      <c r="C413" s="5">
        <v>1.5</v>
      </c>
      <c r="D413" s="5">
        <v>210</v>
      </c>
      <c r="E413" s="5">
        <v>25</v>
      </c>
      <c r="F413" s="5">
        <v>1974</v>
      </c>
      <c r="G413" s="6">
        <f t="shared" ref="G413" si="235">C413*F413</f>
        <v>2961</v>
      </c>
      <c r="H413" s="6">
        <f>G413/E413</f>
        <v>118.44</v>
      </c>
      <c r="I413" s="7">
        <f t="shared" ref="I413" si="236">D413*12*1.302/1974</f>
        <v>1.6621276595744681</v>
      </c>
      <c r="J413" s="19">
        <f t="shared" ref="J413:J414" si="237">I413*H413</f>
        <v>196.86239999999998</v>
      </c>
    </row>
    <row r="414" spans="1:13">
      <c r="A414" s="18"/>
      <c r="B414" s="5"/>
      <c r="C414" s="102"/>
      <c r="D414" s="5"/>
      <c r="E414" s="5"/>
      <c r="F414" s="5"/>
      <c r="G414" s="6"/>
      <c r="H414" s="6"/>
      <c r="I414" s="7"/>
      <c r="J414" s="19">
        <f t="shared" si="237"/>
        <v>0</v>
      </c>
    </row>
    <row r="415" spans="1:13" ht="15.75" thickBot="1">
      <c r="A415" s="20"/>
      <c r="B415" s="21"/>
      <c r="C415" s="21">
        <f>SUM(C412:C414)</f>
        <v>7.5</v>
      </c>
      <c r="D415" s="21"/>
      <c r="E415" s="21"/>
      <c r="F415" s="21"/>
      <c r="G415" s="22"/>
      <c r="H415" s="22"/>
      <c r="I415" s="23"/>
      <c r="J415" s="24">
        <f>SUM(J412:J414)</f>
        <v>984.3119999999999</v>
      </c>
    </row>
    <row r="416" spans="1:13" ht="15.75" thickBot="1">
      <c r="A416" s="69"/>
      <c r="B416" s="70"/>
      <c r="C416" s="70"/>
      <c r="D416" s="70"/>
      <c r="E416" s="70"/>
      <c r="F416" s="70"/>
      <c r="G416" s="74"/>
      <c r="H416" s="100" t="s">
        <v>66</v>
      </c>
      <c r="I416" s="101"/>
      <c r="J416" s="72">
        <f>J415-J417</f>
        <v>0</v>
      </c>
      <c r="K416" s="68">
        <f>J416*122</f>
        <v>0</v>
      </c>
      <c r="L416" s="68"/>
      <c r="M416" s="68">
        <f>L416-K416</f>
        <v>0</v>
      </c>
    </row>
    <row r="417" spans="1:13" ht="15.75" thickBot="1">
      <c r="A417" s="69"/>
      <c r="B417" s="70"/>
      <c r="C417" s="70"/>
      <c r="D417" s="70"/>
      <c r="E417" s="70"/>
      <c r="F417" s="70"/>
      <c r="G417" s="74"/>
      <c r="H417" s="100" t="s">
        <v>63</v>
      </c>
      <c r="I417" s="101"/>
      <c r="J417" s="72">
        <f>J412+J413+J414</f>
        <v>984.3119999999999</v>
      </c>
      <c r="K417" s="68">
        <f>J417*E412</f>
        <v>24607.799999999996</v>
      </c>
      <c r="L417" s="68">
        <v>24607.8</v>
      </c>
      <c r="M417" s="68">
        <f>L417-K417</f>
        <v>0</v>
      </c>
    </row>
    <row r="418" spans="1:13">
      <c r="A418" s="13" t="s">
        <v>78</v>
      </c>
      <c r="B418" s="14" t="s">
        <v>49</v>
      </c>
      <c r="C418" s="14">
        <v>16.5</v>
      </c>
      <c r="D418" s="14">
        <v>210</v>
      </c>
      <c r="E418" s="14">
        <v>25</v>
      </c>
      <c r="F418" s="14">
        <v>1974</v>
      </c>
      <c r="G418" s="15">
        <f>C418*F418</f>
        <v>32571</v>
      </c>
      <c r="H418" s="15">
        <f>G418/E418</f>
        <v>1302.8399999999999</v>
      </c>
      <c r="I418" s="16">
        <f>D418*12*1.302/1974</f>
        <v>1.6621276595744681</v>
      </c>
      <c r="J418" s="17">
        <f>I418*H418</f>
        <v>2165.4863999999998</v>
      </c>
    </row>
    <row r="419" spans="1:13">
      <c r="A419" s="18"/>
      <c r="B419" s="5" t="s">
        <v>102</v>
      </c>
      <c r="C419" s="5">
        <v>2.5</v>
      </c>
      <c r="D419" s="5">
        <v>210</v>
      </c>
      <c r="E419" s="5">
        <v>25</v>
      </c>
      <c r="F419" s="5">
        <v>1974</v>
      </c>
      <c r="G419" s="6">
        <f t="shared" ref="G419" si="238">C419*F419</f>
        <v>4935</v>
      </c>
      <c r="H419" s="6">
        <f>G419/E419</f>
        <v>197.4</v>
      </c>
      <c r="I419" s="7">
        <f t="shared" ref="I419" si="239">D419*12*1.302/1974</f>
        <v>1.6621276595744681</v>
      </c>
      <c r="J419" s="19">
        <f t="shared" ref="J419:J420" si="240">I419*H419</f>
        <v>328.10399999999998</v>
      </c>
    </row>
    <row r="420" spans="1:13">
      <c r="A420" s="18"/>
      <c r="B420" s="5"/>
      <c r="C420" s="102"/>
      <c r="D420" s="5"/>
      <c r="E420" s="5"/>
      <c r="F420" s="5"/>
      <c r="G420" s="6"/>
      <c r="H420" s="6"/>
      <c r="I420" s="7"/>
      <c r="J420" s="19">
        <f t="shared" si="240"/>
        <v>0</v>
      </c>
    </row>
    <row r="421" spans="1:13" ht="15.75" thickBot="1">
      <c r="A421" s="20"/>
      <c r="B421" s="21"/>
      <c r="C421" s="21">
        <f>SUM(C418:C420)</f>
        <v>19</v>
      </c>
      <c r="D421" s="21"/>
      <c r="E421" s="21"/>
      <c r="F421" s="21"/>
      <c r="G421" s="22"/>
      <c r="H421" s="22"/>
      <c r="I421" s="23"/>
      <c r="J421" s="24">
        <f>SUM(J418:J420)</f>
        <v>2493.5903999999996</v>
      </c>
    </row>
    <row r="422" spans="1:13" ht="15.75" thickBot="1">
      <c r="A422" s="69"/>
      <c r="B422" s="70"/>
      <c r="C422" s="70"/>
      <c r="D422" s="70"/>
      <c r="E422" s="70"/>
      <c r="F422" s="70"/>
      <c r="G422" s="74"/>
      <c r="H422" s="100" t="s">
        <v>66</v>
      </c>
      <c r="I422" s="101"/>
      <c r="J422" s="72">
        <f>J421-J423</f>
        <v>0</v>
      </c>
      <c r="K422" s="68">
        <f>J422*122</f>
        <v>0</v>
      </c>
      <c r="L422" s="68"/>
      <c r="M422" s="68">
        <f>L422-K422</f>
        <v>0</v>
      </c>
    </row>
    <row r="423" spans="1:13" ht="15.75" thickBot="1">
      <c r="A423" s="69"/>
      <c r="B423" s="70"/>
      <c r="C423" s="70"/>
      <c r="D423" s="70"/>
      <c r="E423" s="70"/>
      <c r="F423" s="70"/>
      <c r="G423" s="74"/>
      <c r="H423" s="100" t="s">
        <v>63</v>
      </c>
      <c r="I423" s="101"/>
      <c r="J423" s="72">
        <f>J418+J419+J420</f>
        <v>2493.5903999999996</v>
      </c>
      <c r="K423" s="68">
        <f>J423*E418</f>
        <v>62339.759999999987</v>
      </c>
      <c r="L423" s="68">
        <v>62339.8</v>
      </c>
      <c r="M423" s="68">
        <f>L423-K423</f>
        <v>4.000000001542503E-2</v>
      </c>
    </row>
    <row r="424" spans="1:13">
      <c r="A424" s="13" t="s">
        <v>79</v>
      </c>
      <c r="B424" s="14" t="s">
        <v>49</v>
      </c>
      <c r="C424" s="103">
        <v>22.5</v>
      </c>
      <c r="D424" s="14">
        <v>210</v>
      </c>
      <c r="E424" s="14">
        <v>25</v>
      </c>
      <c r="F424" s="14">
        <v>1974</v>
      </c>
      <c r="G424" s="15">
        <f>C424*F424</f>
        <v>44415</v>
      </c>
      <c r="H424" s="15">
        <f>G424/E424</f>
        <v>1776.6</v>
      </c>
      <c r="I424" s="16">
        <f>D424*12*1.302/1974</f>
        <v>1.6621276595744681</v>
      </c>
      <c r="J424" s="17">
        <f>I424*H424</f>
        <v>2952.9359999999997</v>
      </c>
    </row>
    <row r="425" spans="1:13">
      <c r="A425" s="18"/>
      <c r="B425" s="5" t="s">
        <v>102</v>
      </c>
      <c r="C425" s="5">
        <v>2</v>
      </c>
      <c r="D425" s="5">
        <v>210</v>
      </c>
      <c r="E425" s="5">
        <v>25</v>
      </c>
      <c r="F425" s="5">
        <v>1974</v>
      </c>
      <c r="G425" s="6">
        <f t="shared" ref="G425" si="241">C425*F425</f>
        <v>3948</v>
      </c>
      <c r="H425" s="6">
        <f>G425/E425</f>
        <v>157.91999999999999</v>
      </c>
      <c r="I425" s="7">
        <f t="shared" ref="I425" si="242">D425*12*1.302/1974</f>
        <v>1.6621276595744681</v>
      </c>
      <c r="J425" s="19">
        <f t="shared" ref="J425:J426" si="243">I425*H425</f>
        <v>262.48319999999995</v>
      </c>
    </row>
    <row r="426" spans="1:13">
      <c r="A426" s="18"/>
      <c r="B426" s="5"/>
      <c r="C426" s="102"/>
      <c r="D426" s="5"/>
      <c r="E426" s="5"/>
      <c r="F426" s="5"/>
      <c r="G426" s="6"/>
      <c r="H426" s="6"/>
      <c r="I426" s="7"/>
      <c r="J426" s="19">
        <f t="shared" si="243"/>
        <v>0</v>
      </c>
    </row>
    <row r="427" spans="1:13" ht="15.75" thickBot="1">
      <c r="A427" s="20"/>
      <c r="B427" s="21"/>
      <c r="C427" s="21">
        <f>SUM(C424:C426)</f>
        <v>24.5</v>
      </c>
      <c r="D427" s="21"/>
      <c r="E427" s="21"/>
      <c r="F427" s="21"/>
      <c r="G427" s="22"/>
      <c r="H427" s="22"/>
      <c r="I427" s="23"/>
      <c r="J427" s="24">
        <f>SUM(J424:J426)</f>
        <v>3215.4191999999998</v>
      </c>
    </row>
    <row r="428" spans="1:13" ht="15.75" thickBot="1">
      <c r="A428" s="69"/>
      <c r="B428" s="70"/>
      <c r="C428" s="70"/>
      <c r="D428" s="70"/>
      <c r="E428" s="70"/>
      <c r="F428" s="70"/>
      <c r="G428" s="74"/>
      <c r="H428" s="100" t="s">
        <v>66</v>
      </c>
      <c r="I428" s="101"/>
      <c r="J428" s="72">
        <f>J427-J429</f>
        <v>0</v>
      </c>
      <c r="K428" s="68">
        <f>J428*122</f>
        <v>0</v>
      </c>
      <c r="L428" s="68"/>
      <c r="M428" s="68">
        <f>L428-K428</f>
        <v>0</v>
      </c>
    </row>
    <row r="429" spans="1:13" ht="15.75" thickBot="1">
      <c r="A429" s="69"/>
      <c r="B429" s="70"/>
      <c r="C429" s="70"/>
      <c r="D429" s="70"/>
      <c r="E429" s="70"/>
      <c r="F429" s="70"/>
      <c r="G429" s="74"/>
      <c r="H429" s="100" t="s">
        <v>63</v>
      </c>
      <c r="I429" s="101"/>
      <c r="J429" s="72">
        <f>J424+J425+J426</f>
        <v>3215.4191999999998</v>
      </c>
      <c r="K429" s="68">
        <f>J429*E424</f>
        <v>80385.48</v>
      </c>
      <c r="L429" s="68">
        <v>80385.5</v>
      </c>
      <c r="M429" s="68">
        <f>L429-K429</f>
        <v>2.0000000004074536E-2</v>
      </c>
    </row>
    <row r="430" spans="1:13">
      <c r="A430" s="13" t="s">
        <v>80</v>
      </c>
      <c r="B430" s="14" t="s">
        <v>49</v>
      </c>
      <c r="C430" s="14">
        <v>14</v>
      </c>
      <c r="D430" s="14">
        <v>210</v>
      </c>
      <c r="E430" s="14">
        <v>25</v>
      </c>
      <c r="F430" s="14">
        <v>1974</v>
      </c>
      <c r="G430" s="15">
        <f>C430*F430</f>
        <v>27636</v>
      </c>
      <c r="H430" s="15">
        <f>G430/E430</f>
        <v>1105.44</v>
      </c>
      <c r="I430" s="16">
        <f>D430*12*1.302/1974</f>
        <v>1.6621276595744681</v>
      </c>
      <c r="J430" s="17">
        <f>I430*H430</f>
        <v>1837.3824</v>
      </c>
    </row>
    <row r="431" spans="1:13">
      <c r="A431" s="18"/>
      <c r="B431" s="5" t="s">
        <v>102</v>
      </c>
      <c r="C431" s="5">
        <v>1</v>
      </c>
      <c r="D431" s="5">
        <v>210</v>
      </c>
      <c r="E431" s="5">
        <v>25</v>
      </c>
      <c r="F431" s="5">
        <v>1974</v>
      </c>
      <c r="G431" s="6">
        <f t="shared" ref="G431" si="244">C431*F431</f>
        <v>1974</v>
      </c>
      <c r="H431" s="6">
        <f>G431/E431</f>
        <v>78.959999999999994</v>
      </c>
      <c r="I431" s="7">
        <f t="shared" ref="I431" si="245">D431*12*1.302/1974</f>
        <v>1.6621276595744681</v>
      </c>
      <c r="J431" s="19">
        <f t="shared" ref="J431:J432" si="246">I431*H431</f>
        <v>131.24159999999998</v>
      </c>
    </row>
    <row r="432" spans="1:13">
      <c r="A432" s="18"/>
      <c r="B432" s="5"/>
      <c r="C432" s="102"/>
      <c r="D432" s="5"/>
      <c r="E432" s="5"/>
      <c r="F432" s="5"/>
      <c r="G432" s="6"/>
      <c r="H432" s="6"/>
      <c r="I432" s="7"/>
      <c r="J432" s="19">
        <f t="shared" si="246"/>
        <v>0</v>
      </c>
    </row>
    <row r="433" spans="1:13" ht="15.75" thickBot="1">
      <c r="A433" s="20"/>
      <c r="B433" s="21"/>
      <c r="C433" s="21">
        <f>SUM(C430:C432)</f>
        <v>15</v>
      </c>
      <c r="D433" s="21"/>
      <c r="E433" s="21"/>
      <c r="F433" s="21"/>
      <c r="G433" s="22"/>
      <c r="H433" s="22"/>
      <c r="I433" s="23"/>
      <c r="J433" s="24">
        <f>SUM(J430:J432)</f>
        <v>1968.624</v>
      </c>
    </row>
    <row r="434" spans="1:13" ht="15.75" thickBot="1">
      <c r="A434" s="69"/>
      <c r="B434" s="70"/>
      <c r="C434" s="70"/>
      <c r="D434" s="70"/>
      <c r="E434" s="70"/>
      <c r="F434" s="70"/>
      <c r="G434" s="74"/>
      <c r="H434" s="100" t="s">
        <v>66</v>
      </c>
      <c r="I434" s="101"/>
      <c r="J434" s="72">
        <f>J433-J435</f>
        <v>0</v>
      </c>
      <c r="K434" s="68">
        <f>J434*122</f>
        <v>0</v>
      </c>
      <c r="L434" s="68"/>
      <c r="M434" s="68">
        <f>L434-K434</f>
        <v>0</v>
      </c>
    </row>
    <row r="435" spans="1:13" ht="15.75" thickBot="1">
      <c r="A435" s="69"/>
      <c r="B435" s="70"/>
      <c r="C435" s="70"/>
      <c r="D435" s="70"/>
      <c r="E435" s="70"/>
      <c r="F435" s="70"/>
      <c r="G435" s="74"/>
      <c r="H435" s="100" t="s">
        <v>63</v>
      </c>
      <c r="I435" s="101"/>
      <c r="J435" s="72">
        <f>J430+J431+J432</f>
        <v>1968.624</v>
      </c>
      <c r="K435" s="68">
        <f>J435*E430</f>
        <v>49215.6</v>
      </c>
      <c r="L435" s="68">
        <v>49215.6</v>
      </c>
      <c r="M435" s="68">
        <f>L435-K435</f>
        <v>0</v>
      </c>
    </row>
    <row r="436" spans="1:13">
      <c r="A436" s="13" t="s">
        <v>81</v>
      </c>
      <c r="B436" s="14" t="s">
        <v>49</v>
      </c>
      <c r="C436" s="14">
        <v>16.75</v>
      </c>
      <c r="D436" s="14">
        <v>210</v>
      </c>
      <c r="E436" s="14">
        <v>25</v>
      </c>
      <c r="F436" s="14">
        <v>1974</v>
      </c>
      <c r="G436" s="15">
        <f>C436*F436</f>
        <v>33064.5</v>
      </c>
      <c r="H436" s="15">
        <f>G436/E436</f>
        <v>1322.58</v>
      </c>
      <c r="I436" s="16">
        <f>D436*12*1.302/1974</f>
        <v>1.6621276595744681</v>
      </c>
      <c r="J436" s="17">
        <f>I436*H436</f>
        <v>2198.2968000000001</v>
      </c>
    </row>
    <row r="437" spans="1:13">
      <c r="A437" s="18"/>
      <c r="B437" s="5" t="s">
        <v>102</v>
      </c>
      <c r="C437" s="5">
        <v>3</v>
      </c>
      <c r="D437" s="5">
        <v>210</v>
      </c>
      <c r="E437" s="5">
        <v>25</v>
      </c>
      <c r="F437" s="5">
        <v>1974</v>
      </c>
      <c r="G437" s="6">
        <f t="shared" ref="G437" si="247">C437*F437</f>
        <v>5922</v>
      </c>
      <c r="H437" s="6">
        <f>G437/E437</f>
        <v>236.88</v>
      </c>
      <c r="I437" s="7">
        <f t="shared" ref="I437" si="248">D437*12*1.302/1974</f>
        <v>1.6621276595744681</v>
      </c>
      <c r="J437" s="19">
        <f t="shared" ref="J437:J438" si="249">I437*H437</f>
        <v>393.72479999999996</v>
      </c>
    </row>
    <row r="438" spans="1:13">
      <c r="A438" s="18"/>
      <c r="B438" s="5"/>
      <c r="C438" s="102"/>
      <c r="D438" s="5"/>
      <c r="E438" s="5"/>
      <c r="F438" s="5"/>
      <c r="G438" s="6"/>
      <c r="H438" s="6"/>
      <c r="I438" s="7"/>
      <c r="J438" s="19">
        <f t="shared" si="249"/>
        <v>0</v>
      </c>
    </row>
    <row r="439" spans="1:13" ht="15.75" thickBot="1">
      <c r="A439" s="20"/>
      <c r="B439" s="21"/>
      <c r="C439" s="21">
        <f>SUM(C436:C438)</f>
        <v>19.75</v>
      </c>
      <c r="D439" s="21"/>
      <c r="E439" s="21"/>
      <c r="F439" s="21"/>
      <c r="G439" s="22"/>
      <c r="H439" s="22"/>
      <c r="I439" s="23"/>
      <c r="J439" s="24">
        <f>SUM(J436:J438)</f>
        <v>2592.0216</v>
      </c>
    </row>
    <row r="440" spans="1:13" ht="15.75" thickBot="1">
      <c r="A440" s="69"/>
      <c r="B440" s="70"/>
      <c r="C440" s="70"/>
      <c r="D440" s="70"/>
      <c r="E440" s="70"/>
      <c r="F440" s="70"/>
      <c r="G440" s="74"/>
      <c r="H440" s="100" t="s">
        <v>66</v>
      </c>
      <c r="I440" s="101"/>
      <c r="J440" s="72">
        <f>J439-J441</f>
        <v>0</v>
      </c>
      <c r="K440" s="68">
        <f>J440*122</f>
        <v>0</v>
      </c>
      <c r="L440" s="68"/>
      <c r="M440" s="68">
        <f>L440-K440</f>
        <v>0</v>
      </c>
    </row>
    <row r="441" spans="1:13" ht="15.75" thickBot="1">
      <c r="A441" s="69"/>
      <c r="B441" s="70"/>
      <c r="C441" s="70"/>
      <c r="D441" s="70"/>
      <c r="E441" s="70"/>
      <c r="F441" s="70"/>
      <c r="G441" s="74"/>
      <c r="H441" s="100" t="s">
        <v>63</v>
      </c>
      <c r="I441" s="101"/>
      <c r="J441" s="72">
        <f>J436+J437+J438</f>
        <v>2592.0216</v>
      </c>
      <c r="K441" s="68">
        <f>J441*E436</f>
        <v>64800.54</v>
      </c>
      <c r="L441" s="68">
        <v>64800.5</v>
      </c>
      <c r="M441" s="68">
        <f>L441-K441</f>
        <v>-4.0000000000873115E-2</v>
      </c>
    </row>
    <row r="442" spans="1:13">
      <c r="A442" s="13" t="s">
        <v>82</v>
      </c>
      <c r="B442" s="14" t="s">
        <v>49</v>
      </c>
      <c r="C442" s="14">
        <v>7.25</v>
      </c>
      <c r="D442" s="14">
        <v>210</v>
      </c>
      <c r="E442" s="14">
        <v>25</v>
      </c>
      <c r="F442" s="14">
        <v>1974</v>
      </c>
      <c r="G442" s="15">
        <f>C442*F442</f>
        <v>14311.5</v>
      </c>
      <c r="H442" s="15">
        <f>G442/E442</f>
        <v>572.46</v>
      </c>
      <c r="I442" s="16">
        <f>D442*12*1.302/1974</f>
        <v>1.6621276595744681</v>
      </c>
      <c r="J442" s="17">
        <f>I442*H442</f>
        <v>951.50160000000005</v>
      </c>
    </row>
    <row r="443" spans="1:13">
      <c r="A443" s="18"/>
      <c r="B443" s="5" t="s">
        <v>102</v>
      </c>
      <c r="C443" s="5">
        <v>1</v>
      </c>
      <c r="D443" s="5">
        <v>210</v>
      </c>
      <c r="E443" s="5">
        <v>25</v>
      </c>
      <c r="F443" s="5">
        <v>1974</v>
      </c>
      <c r="G443" s="6">
        <f t="shared" ref="G443" si="250">C443*F443</f>
        <v>1974</v>
      </c>
      <c r="H443" s="6">
        <f>G443/E443</f>
        <v>78.959999999999994</v>
      </c>
      <c r="I443" s="7">
        <f t="shared" ref="I443" si="251">D443*12*1.302/1974</f>
        <v>1.6621276595744681</v>
      </c>
      <c r="J443" s="19">
        <f t="shared" ref="J443:J444" si="252">I443*H443</f>
        <v>131.24159999999998</v>
      </c>
    </row>
    <row r="444" spans="1:13">
      <c r="A444" s="18"/>
      <c r="B444" s="5"/>
      <c r="C444" s="102"/>
      <c r="D444" s="5"/>
      <c r="E444" s="5"/>
      <c r="F444" s="5"/>
      <c r="G444" s="6"/>
      <c r="H444" s="6"/>
      <c r="I444" s="7"/>
      <c r="J444" s="19">
        <f t="shared" si="252"/>
        <v>0</v>
      </c>
    </row>
    <row r="445" spans="1:13" ht="15.75" thickBot="1">
      <c r="A445" s="20"/>
      <c r="B445" s="21"/>
      <c r="C445" s="21">
        <f>SUM(C442:C444)</f>
        <v>8.25</v>
      </c>
      <c r="D445" s="21"/>
      <c r="E445" s="21"/>
      <c r="F445" s="21"/>
      <c r="G445" s="22"/>
      <c r="H445" s="22"/>
      <c r="I445" s="23"/>
      <c r="J445" s="24">
        <f>SUM(J442:J444)</f>
        <v>1082.7432000000001</v>
      </c>
    </row>
    <row r="446" spans="1:13" ht="15.75" thickBot="1">
      <c r="A446" s="69"/>
      <c r="B446" s="70"/>
      <c r="C446" s="70"/>
      <c r="D446" s="70"/>
      <c r="E446" s="70"/>
      <c r="F446" s="70"/>
      <c r="G446" s="74"/>
      <c r="H446" s="100" t="s">
        <v>66</v>
      </c>
      <c r="I446" s="101"/>
      <c r="J446" s="72">
        <f>J445-J447</f>
        <v>0</v>
      </c>
      <c r="K446" s="68">
        <f>J446*122</f>
        <v>0</v>
      </c>
      <c r="L446" s="68"/>
      <c r="M446" s="68">
        <f>L446-K446</f>
        <v>0</v>
      </c>
    </row>
    <row r="447" spans="1:13" ht="15.75" thickBot="1">
      <c r="A447" s="69"/>
      <c r="B447" s="70"/>
      <c r="C447" s="70"/>
      <c r="D447" s="70"/>
      <c r="E447" s="70"/>
      <c r="F447" s="70"/>
      <c r="G447" s="74"/>
      <c r="H447" s="100" t="s">
        <v>63</v>
      </c>
      <c r="I447" s="101"/>
      <c r="J447" s="72">
        <f>J442+J443+J444</f>
        <v>1082.7432000000001</v>
      </c>
      <c r="K447" s="68">
        <f>J447*E442</f>
        <v>27068.58</v>
      </c>
      <c r="L447" s="68">
        <v>27068.6</v>
      </c>
      <c r="M447" s="68">
        <f>L447-K447</f>
        <v>1.9999999996798579E-2</v>
      </c>
    </row>
    <row r="448" spans="1:13">
      <c r="A448" s="13" t="s">
        <v>83</v>
      </c>
      <c r="B448" s="14" t="s">
        <v>49</v>
      </c>
      <c r="C448" s="14">
        <v>5.25</v>
      </c>
      <c r="D448" s="14">
        <v>210</v>
      </c>
      <c r="E448" s="14">
        <v>25</v>
      </c>
      <c r="F448" s="14">
        <v>1974</v>
      </c>
      <c r="G448" s="15">
        <f>C448*F448</f>
        <v>10363.5</v>
      </c>
      <c r="H448" s="15">
        <f>G448/E448</f>
        <v>414.54</v>
      </c>
      <c r="I448" s="16">
        <f>D448*12*1.302/1974</f>
        <v>1.6621276595744681</v>
      </c>
      <c r="J448" s="17">
        <f>I448*H448</f>
        <v>689.01840000000004</v>
      </c>
    </row>
    <row r="449" spans="1:13">
      <c r="A449" s="18"/>
      <c r="B449" s="5" t="s">
        <v>102</v>
      </c>
      <c r="C449" s="5">
        <v>1</v>
      </c>
      <c r="D449" s="5">
        <v>210</v>
      </c>
      <c r="E449" s="5">
        <v>25</v>
      </c>
      <c r="F449" s="5">
        <v>1974</v>
      </c>
      <c r="G449" s="6">
        <f t="shared" ref="G449" si="253">C449*F449</f>
        <v>1974</v>
      </c>
      <c r="H449" s="6">
        <f>G449/E449</f>
        <v>78.959999999999994</v>
      </c>
      <c r="I449" s="7">
        <f t="shared" ref="I449" si="254">D449*12*1.302/1974</f>
        <v>1.6621276595744681</v>
      </c>
      <c r="J449" s="19">
        <f t="shared" ref="J449:J450" si="255">I449*H449</f>
        <v>131.24159999999998</v>
      </c>
    </row>
    <row r="450" spans="1:13">
      <c r="A450" s="18"/>
      <c r="B450" s="5"/>
      <c r="C450" s="102"/>
      <c r="D450" s="5"/>
      <c r="E450" s="5"/>
      <c r="F450" s="5"/>
      <c r="G450" s="6"/>
      <c r="H450" s="6"/>
      <c r="I450" s="7"/>
      <c r="J450" s="19">
        <f t="shared" si="255"/>
        <v>0</v>
      </c>
    </row>
    <row r="451" spans="1:13" ht="15.75" thickBot="1">
      <c r="A451" s="20"/>
      <c r="B451" s="21"/>
      <c r="C451" s="21">
        <f>SUM(C448:C450)</f>
        <v>6.25</v>
      </c>
      <c r="D451" s="21"/>
      <c r="E451" s="21"/>
      <c r="F451" s="21"/>
      <c r="G451" s="22"/>
      <c r="H451" s="22"/>
      <c r="I451" s="23"/>
      <c r="J451" s="24">
        <f>SUM(J448:J450)</f>
        <v>820.26</v>
      </c>
    </row>
    <row r="452" spans="1:13" ht="15.75" thickBot="1">
      <c r="A452" s="69"/>
      <c r="B452" s="70"/>
      <c r="C452" s="70"/>
      <c r="D452" s="70"/>
      <c r="E452" s="70"/>
      <c r="F452" s="70"/>
      <c r="G452" s="74"/>
      <c r="H452" s="100" t="s">
        <v>66</v>
      </c>
      <c r="I452" s="101"/>
      <c r="J452" s="72">
        <f>J451-J453</f>
        <v>0</v>
      </c>
      <c r="K452" s="68">
        <v>0</v>
      </c>
      <c r="L452" s="68"/>
      <c r="M452" s="68">
        <f>L452-K452</f>
        <v>0</v>
      </c>
    </row>
    <row r="453" spans="1:13" ht="15.75" thickBot="1">
      <c r="A453" s="69"/>
      <c r="B453" s="70"/>
      <c r="C453" s="70"/>
      <c r="D453" s="70"/>
      <c r="E453" s="70"/>
      <c r="F453" s="70"/>
      <c r="G453" s="74"/>
      <c r="H453" s="100" t="s">
        <v>63</v>
      </c>
      <c r="I453" s="101"/>
      <c r="J453" s="72">
        <f>J448+J449+J450</f>
        <v>820.26</v>
      </c>
      <c r="K453" s="68">
        <f>J453*E448</f>
        <v>20506.5</v>
      </c>
      <c r="L453" s="68">
        <v>20506.5</v>
      </c>
      <c r="M453" s="68">
        <f>L453-K453</f>
        <v>0</v>
      </c>
    </row>
    <row r="455" spans="1:13">
      <c r="J455" s="1">
        <v>1</v>
      </c>
      <c r="K455" s="3">
        <f>K15+K109+K203+K347+K405</f>
        <v>2119187.882826</v>
      </c>
      <c r="L455" s="3">
        <f>1625244+490824+3120</f>
        <v>2119188</v>
      </c>
      <c r="M455" s="3">
        <f>L455-K455</f>
        <v>0.11717400001361966</v>
      </c>
    </row>
    <row r="456" spans="1:13">
      <c r="J456" s="1">
        <v>2</v>
      </c>
      <c r="K456" s="3">
        <f>K411+K353+K297+K213+K119+K25</f>
        <v>3714811.9868160002</v>
      </c>
      <c r="L456" s="3">
        <f>2853158+861654</f>
        <v>3714812</v>
      </c>
      <c r="M456" s="3">
        <f t="shared" ref="M456:M463" si="256">L456-K456</f>
        <v>1.3183999806642532E-2</v>
      </c>
    </row>
    <row r="457" spans="1:13">
      <c r="J457" s="1">
        <v>3</v>
      </c>
      <c r="K457" s="3">
        <f>K417+K359+K307+K223+K129+K35</f>
        <v>2071633.0944960001</v>
      </c>
      <c r="L457" s="3">
        <f>1589918+480155+1560</f>
        <v>2071633</v>
      </c>
      <c r="M457" s="3">
        <f t="shared" si="256"/>
        <v>-9.4496000092476606E-2</v>
      </c>
    </row>
    <row r="458" spans="1:13">
      <c r="J458" s="1">
        <v>7</v>
      </c>
      <c r="K458" s="3">
        <f>K423+K365+K317+K233+K139+K45</f>
        <v>4888906.869621601</v>
      </c>
      <c r="L458" s="3">
        <f>3748930+1132177+7800</f>
        <v>4888907</v>
      </c>
      <c r="M458" s="3">
        <f t="shared" si="256"/>
        <v>0.13037839904427528</v>
      </c>
    </row>
    <row r="459" spans="1:13">
      <c r="J459" s="1">
        <v>9</v>
      </c>
      <c r="K459" s="3">
        <f>K429+K371+K243+K149+K55</f>
        <v>4193833.9290119996</v>
      </c>
      <c r="L459" s="3">
        <f>3221071+972763</f>
        <v>4193834</v>
      </c>
      <c r="M459" s="3">
        <f t="shared" si="256"/>
        <v>7.0988000370562077E-2</v>
      </c>
    </row>
    <row r="460" spans="1:13">
      <c r="J460" s="1">
        <v>14</v>
      </c>
      <c r="K460" s="3">
        <f>K435+K377+K327+K253+K159+K65</f>
        <v>3520966.9561920003</v>
      </c>
      <c r="L460" s="3">
        <f>2701883+815964+3120</f>
        <v>3520967</v>
      </c>
      <c r="M460" s="3">
        <f t="shared" si="256"/>
        <v>4.3807999696582556E-2</v>
      </c>
    </row>
    <row r="461" spans="1:13">
      <c r="J461" s="1">
        <v>8</v>
      </c>
      <c r="K461" s="3">
        <f>K441+K383+K337+K263+K169+K75</f>
        <v>4990301.1276300009</v>
      </c>
      <c r="L461" s="3">
        <f>3830400+1156781+3120</f>
        <v>4990301</v>
      </c>
      <c r="M461" s="3">
        <f t="shared" si="256"/>
        <v>-0.12763000093400478</v>
      </c>
    </row>
    <row r="462" spans="1:13">
      <c r="J462" s="1">
        <v>4</v>
      </c>
      <c r="K462" s="3">
        <f>K447+K389+K273+K179+K85</f>
        <v>2180223.9782190002</v>
      </c>
      <c r="L462" s="3">
        <f>1674519+505705</f>
        <v>2180224</v>
      </c>
      <c r="M462" s="3">
        <f t="shared" si="256"/>
        <v>2.1780999843031168E-2</v>
      </c>
    </row>
    <row r="463" spans="1:13">
      <c r="J463" s="1">
        <v>11</v>
      </c>
      <c r="K463" s="3">
        <f>K453+K395+K283+K189+K95</f>
        <v>2020633.9602120002</v>
      </c>
      <c r="L463" s="3">
        <f>1551946+468688</f>
        <v>2020634</v>
      </c>
      <c r="M463" s="3">
        <f t="shared" si="256"/>
        <v>3.978799981996417E-2</v>
      </c>
    </row>
  </sheetData>
  <mergeCells count="100">
    <mergeCell ref="H441:I441"/>
    <mergeCell ref="H446:I446"/>
    <mergeCell ref="H447:I447"/>
    <mergeCell ref="H452:I452"/>
    <mergeCell ref="H453:I453"/>
    <mergeCell ref="H428:I428"/>
    <mergeCell ref="H429:I429"/>
    <mergeCell ref="H434:I434"/>
    <mergeCell ref="H435:I435"/>
    <mergeCell ref="H440:I440"/>
    <mergeCell ref="H411:I411"/>
    <mergeCell ref="H416:I416"/>
    <mergeCell ref="H417:I417"/>
    <mergeCell ref="H422:I422"/>
    <mergeCell ref="H423:I423"/>
    <mergeCell ref="H394:I394"/>
    <mergeCell ref="H395:I395"/>
    <mergeCell ref="H404:I404"/>
    <mergeCell ref="H405:I405"/>
    <mergeCell ref="H410:I410"/>
    <mergeCell ref="H377:I377"/>
    <mergeCell ref="H382:I382"/>
    <mergeCell ref="H383:I383"/>
    <mergeCell ref="H388:I388"/>
    <mergeCell ref="H389:I389"/>
    <mergeCell ref="H364:I364"/>
    <mergeCell ref="H365:I365"/>
    <mergeCell ref="H370:I370"/>
    <mergeCell ref="H371:I371"/>
    <mergeCell ref="H376:I376"/>
    <mergeCell ref="H347:I347"/>
    <mergeCell ref="H352:I352"/>
    <mergeCell ref="H353:I353"/>
    <mergeCell ref="H358:I358"/>
    <mergeCell ref="H359:I359"/>
    <mergeCell ref="H326:I326"/>
    <mergeCell ref="H327:I327"/>
    <mergeCell ref="H336:I336"/>
    <mergeCell ref="H337:I337"/>
    <mergeCell ref="H346:I346"/>
    <mergeCell ref="H297:I297"/>
    <mergeCell ref="H306:I306"/>
    <mergeCell ref="H307:I307"/>
    <mergeCell ref="H316:I316"/>
    <mergeCell ref="H317:I317"/>
    <mergeCell ref="H263:I263"/>
    <mergeCell ref="H272:I272"/>
    <mergeCell ref="H273:I273"/>
    <mergeCell ref="H283:I283"/>
    <mergeCell ref="H296:I296"/>
    <mergeCell ref="H148:I148"/>
    <mergeCell ref="H149:I149"/>
    <mergeCell ref="H158:I158"/>
    <mergeCell ref="H159:I159"/>
    <mergeCell ref="H178:I178"/>
    <mergeCell ref="H44:I44"/>
    <mergeCell ref="H45:I45"/>
    <mergeCell ref="H54:I54"/>
    <mergeCell ref="H55:I55"/>
    <mergeCell ref="H64:I64"/>
    <mergeCell ref="H14:I14"/>
    <mergeCell ref="H15:I15"/>
    <mergeCell ref="H24:I24"/>
    <mergeCell ref="H25:I25"/>
    <mergeCell ref="H34:I34"/>
    <mergeCell ref="H35:I35"/>
    <mergeCell ref="H65:I65"/>
    <mergeCell ref="H74:I74"/>
    <mergeCell ref="H75:I75"/>
    <mergeCell ref="H84:I84"/>
    <mergeCell ref="H85:I85"/>
    <mergeCell ref="H94:I94"/>
    <mergeCell ref="H95:I95"/>
    <mergeCell ref="H108:I108"/>
    <mergeCell ref="H109:I109"/>
    <mergeCell ref="H118:I118"/>
    <mergeCell ref="H119:I119"/>
    <mergeCell ref="H128:I128"/>
    <mergeCell ref="H129:I129"/>
    <mergeCell ref="H138:I138"/>
    <mergeCell ref="H139:I139"/>
    <mergeCell ref="H168:I168"/>
    <mergeCell ref="H169:I169"/>
    <mergeCell ref="H212:I212"/>
    <mergeCell ref="H179:I179"/>
    <mergeCell ref="H188:I188"/>
    <mergeCell ref="H189:I189"/>
    <mergeCell ref="H202:I202"/>
    <mergeCell ref="H203:I203"/>
    <mergeCell ref="H282:I282"/>
    <mergeCell ref="H213:I213"/>
    <mergeCell ref="H222:I222"/>
    <mergeCell ref="H223:I223"/>
    <mergeCell ref="H232:I232"/>
    <mergeCell ref="H233:I233"/>
    <mergeCell ref="H242:I242"/>
    <mergeCell ref="H243:I243"/>
    <mergeCell ref="H252:I252"/>
    <mergeCell ref="H253:I253"/>
    <mergeCell ref="H262:I262"/>
  </mergeCells>
  <pageMargins left="0.11811023622047245" right="0" top="0.35433070866141736" bottom="0" header="0.31496062992125984" footer="0.31496062992125984"/>
  <pageSetup paperSize="9" scale="85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6"/>
  <sheetViews>
    <sheetView tabSelected="1" workbookViewId="0">
      <pane xSplit="1" ySplit="6" topLeftCell="B196" activePane="bottomRight" state="frozen"/>
      <selection pane="topRight" activeCell="B1" sqref="B1"/>
      <selection pane="bottomLeft" activeCell="A7" sqref="A7"/>
      <selection pane="bottomRight" activeCell="H130" sqref="H130"/>
    </sheetView>
  </sheetViews>
  <sheetFormatPr defaultRowHeight="15"/>
  <cols>
    <col min="1" max="1" width="12.28515625" customWidth="1"/>
    <col min="2" max="2" width="37.5703125" style="1" customWidth="1"/>
    <col min="3" max="3" width="10.85546875" style="1" customWidth="1"/>
    <col min="4" max="4" width="8.28515625" style="1" customWidth="1"/>
    <col min="5" max="5" width="12.5703125" style="1" customWidth="1"/>
    <col min="6" max="6" width="10" style="1" customWidth="1"/>
    <col min="7" max="7" width="14.5703125" customWidth="1"/>
    <col min="8" max="8" width="10.85546875" style="1" customWidth="1"/>
    <col min="9" max="9" width="9.140625" style="1"/>
    <col min="10" max="10" width="10.42578125" style="1" customWidth="1"/>
    <col min="11" max="11" width="10.42578125" style="1" bestFit="1" customWidth="1"/>
    <col min="12" max="12" width="4.42578125" style="1" customWidth="1"/>
    <col min="13" max="18" width="9.140625" style="1"/>
  </cols>
  <sheetData>
    <row r="1" spans="1:20" ht="18.75">
      <c r="A1" s="99" t="s">
        <v>105</v>
      </c>
      <c r="B1" s="99"/>
      <c r="C1" s="99"/>
      <c r="D1" s="99"/>
      <c r="E1" s="99"/>
      <c r="F1" s="99"/>
      <c r="G1" s="99"/>
      <c r="H1" s="99"/>
    </row>
    <row r="2" spans="1:20" ht="13.5" customHeight="1">
      <c r="A2" s="105" t="s">
        <v>63</v>
      </c>
      <c r="B2" s="97"/>
      <c r="C2" s="97"/>
      <c r="D2" s="97"/>
      <c r="E2" s="97"/>
      <c r="F2" s="97"/>
      <c r="G2" s="97"/>
      <c r="H2" s="97"/>
    </row>
    <row r="3" spans="1:20" ht="11.25" customHeight="1">
      <c r="A3" s="97"/>
      <c r="B3" s="97"/>
      <c r="C3" s="97"/>
      <c r="D3" s="97"/>
      <c r="E3" s="97"/>
      <c r="F3" s="97"/>
      <c r="G3" s="97"/>
      <c r="H3" s="97"/>
    </row>
    <row r="4" spans="1:20" ht="19.5" thickBot="1">
      <c r="A4" s="73" t="s">
        <v>84</v>
      </c>
      <c r="H4"/>
      <c r="S4" s="1"/>
      <c r="T4" s="1"/>
    </row>
    <row r="5" spans="1:20" ht="79.5" customHeight="1">
      <c r="A5" s="27" t="s">
        <v>2</v>
      </c>
      <c r="B5" s="28" t="s">
        <v>52</v>
      </c>
      <c r="C5" s="28" t="s">
        <v>14</v>
      </c>
      <c r="D5" s="28" t="s">
        <v>16</v>
      </c>
      <c r="E5" s="78" t="s">
        <v>27</v>
      </c>
      <c r="F5" s="28" t="s">
        <v>28</v>
      </c>
      <c r="G5" s="28" t="s">
        <v>53</v>
      </c>
      <c r="H5" s="28" t="s">
        <v>57</v>
      </c>
      <c r="I5" s="28" t="s">
        <v>11</v>
      </c>
      <c r="J5" s="2" t="s">
        <v>34</v>
      </c>
      <c r="K5" s="2" t="s">
        <v>33</v>
      </c>
    </row>
    <row r="6" spans="1:20" ht="15.75" thickBot="1">
      <c r="A6" s="47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 t="s">
        <v>31</v>
      </c>
      <c r="H6" s="9">
        <v>8</v>
      </c>
      <c r="I6" s="48" t="s">
        <v>32</v>
      </c>
    </row>
    <row r="7" spans="1:20">
      <c r="A7" s="13" t="s">
        <v>71</v>
      </c>
      <c r="B7" s="14" t="s">
        <v>54</v>
      </c>
      <c r="C7" s="14" t="s">
        <v>56</v>
      </c>
      <c r="D7" s="14">
        <v>2528.5</v>
      </c>
      <c r="E7" s="16">
        <f>247*8*(A8/1974)</f>
        <v>182.18439716312056</v>
      </c>
      <c r="F7" s="34">
        <f>E7/A8</f>
        <v>1.0010131712259371</v>
      </c>
      <c r="G7" s="50">
        <f t="shared" ref="G7:G12" si="0">D7/E7*F7</f>
        <v>13.892857142857142</v>
      </c>
      <c r="H7" s="15">
        <v>7.1240649999999999</v>
      </c>
      <c r="I7" s="17">
        <f>H7*G7</f>
        <v>98.973617321428563</v>
      </c>
      <c r="J7" s="3">
        <f>45033*0.4</f>
        <v>18013.2</v>
      </c>
      <c r="K7" s="1">
        <f>I7*A8</f>
        <v>18013.1983525</v>
      </c>
      <c r="L7" s="3">
        <f>J7-K7</f>
        <v>1.6475000011269003E-3</v>
      </c>
    </row>
    <row r="8" spans="1:20" s="1" customFormat="1" ht="33" customHeight="1">
      <c r="A8" s="18">
        <v>182</v>
      </c>
      <c r="B8" s="44" t="s">
        <v>55</v>
      </c>
      <c r="C8" s="5" t="s">
        <v>17</v>
      </c>
      <c r="D8" s="5">
        <v>1</v>
      </c>
      <c r="E8" s="7">
        <f>247*8*(A8/1974)</f>
        <v>182.18439716312056</v>
      </c>
      <c r="F8" s="35">
        <f>E8/A8</f>
        <v>1.0010131712259371</v>
      </c>
      <c r="G8" s="49">
        <f t="shared" si="0"/>
        <v>5.4945054945054941E-3</v>
      </c>
      <c r="H8" s="6">
        <f>10000*0.4</f>
        <v>4000</v>
      </c>
      <c r="I8" s="19">
        <f t="shared" ref="I8:I9" si="1">H8*G8</f>
        <v>21.978021978021975</v>
      </c>
    </row>
    <row r="9" spans="1:20" s="1" customFormat="1">
      <c r="A9" s="18"/>
      <c r="B9" s="5" t="s">
        <v>58</v>
      </c>
      <c r="C9" s="5" t="s">
        <v>17</v>
      </c>
      <c r="D9" s="5">
        <v>1</v>
      </c>
      <c r="E9" s="7">
        <f>247*8*(A8/1974)</f>
        <v>182.18439716312056</v>
      </c>
      <c r="F9" s="35">
        <f>E9/A8</f>
        <v>1.0010131712259371</v>
      </c>
      <c r="G9" s="49">
        <f t="shared" si="0"/>
        <v>5.4945054945054941E-3</v>
      </c>
      <c r="H9" s="6">
        <f>20000*0.4</f>
        <v>8000</v>
      </c>
      <c r="I9" s="19">
        <f t="shared" si="1"/>
        <v>43.956043956043949</v>
      </c>
    </row>
    <row r="10" spans="1:20" s="1" customFormat="1">
      <c r="A10" s="18"/>
      <c r="B10" s="5" t="s">
        <v>106</v>
      </c>
      <c r="C10" s="5" t="s">
        <v>17</v>
      </c>
      <c r="D10" s="5">
        <v>1</v>
      </c>
      <c r="E10" s="7">
        <f>247*8*(A8/1974)</f>
        <v>182.18439716312056</v>
      </c>
      <c r="F10" s="35">
        <f>E10/A8</f>
        <v>1.0010131712259371</v>
      </c>
      <c r="G10" s="49">
        <f t="shared" si="0"/>
        <v>5.4945054945054941E-3</v>
      </c>
      <c r="H10" s="6">
        <f>10000*0.4</f>
        <v>4000</v>
      </c>
      <c r="I10" s="19">
        <f t="shared" ref="I10" si="2">H10*G10</f>
        <v>21.978021978021975</v>
      </c>
    </row>
    <row r="11" spans="1:20" s="1" customFormat="1">
      <c r="A11" s="18"/>
      <c r="B11" s="5" t="s">
        <v>67</v>
      </c>
      <c r="C11" s="5" t="s">
        <v>17</v>
      </c>
      <c r="D11" s="5">
        <v>1</v>
      </c>
      <c r="E11" s="7">
        <f>247*8*(A8/1974)</f>
        <v>182.18439716312056</v>
      </c>
      <c r="F11" s="35">
        <f>E11/A8</f>
        <v>1.0010131712259371</v>
      </c>
      <c r="G11" s="49">
        <f t="shared" si="0"/>
        <v>5.4945054945054941E-3</v>
      </c>
      <c r="H11" s="6">
        <f>(15600+5458+450)*0.4</f>
        <v>8603.2000000000007</v>
      </c>
      <c r="I11" s="19">
        <f t="shared" ref="I11:I12" si="3">H11*G11</f>
        <v>47.270329670329673</v>
      </c>
    </row>
    <row r="12" spans="1:20" s="1" customFormat="1">
      <c r="A12" s="18"/>
      <c r="B12" s="5" t="s">
        <v>68</v>
      </c>
      <c r="C12" s="5" t="s">
        <v>17</v>
      </c>
      <c r="D12" s="5">
        <v>1</v>
      </c>
      <c r="E12" s="7">
        <f>247*8*(A8/1974)</f>
        <v>182.18439716312056</v>
      </c>
      <c r="F12" s="35">
        <f>E12/A8</f>
        <v>1.0010131712259371</v>
      </c>
      <c r="G12" s="49">
        <f t="shared" si="0"/>
        <v>5.4945054945054941E-3</v>
      </c>
      <c r="H12" s="6">
        <f>(14700+63237)*0.4</f>
        <v>31174.800000000003</v>
      </c>
      <c r="I12" s="19">
        <f t="shared" si="3"/>
        <v>171.2901098901099</v>
      </c>
    </row>
    <row r="13" spans="1:20" s="1" customFormat="1" ht="15.75" thickBot="1">
      <c r="A13" s="20"/>
      <c r="B13" s="21"/>
      <c r="C13" s="21"/>
      <c r="D13" s="21"/>
      <c r="E13" s="21"/>
      <c r="F13" s="21"/>
      <c r="G13" s="25"/>
      <c r="H13" s="51"/>
      <c r="I13" s="24">
        <f>SUM(I7:I12)</f>
        <v>405.44614479395602</v>
      </c>
      <c r="J13" s="3">
        <f>(14700+63237+15600+5458+450+10000+20000+45033+10000)*0.4</f>
        <v>73791.199999999997</v>
      </c>
      <c r="K13" s="1">
        <f>I13*A8</f>
        <v>73791.198352499996</v>
      </c>
    </row>
    <row r="14" spans="1:20">
      <c r="A14" s="13" t="s">
        <v>76</v>
      </c>
      <c r="B14" s="14" t="s">
        <v>54</v>
      </c>
      <c r="C14" s="14" t="s">
        <v>56</v>
      </c>
      <c r="D14" s="14">
        <v>4047.75</v>
      </c>
      <c r="E14" s="16">
        <f>247*8*(A15/1974)</f>
        <v>294.2978723404255</v>
      </c>
      <c r="F14" s="34">
        <f>E14/A15</f>
        <v>1.0010131712259371</v>
      </c>
      <c r="G14" s="50">
        <f t="shared" ref="G14:G19" si="4">D14/E14*F14</f>
        <v>13.767857142857144</v>
      </c>
      <c r="H14" s="15">
        <v>9.1677599999999995</v>
      </c>
      <c r="I14" s="17">
        <f>H14*G14</f>
        <v>126.22041</v>
      </c>
      <c r="J14" s="3">
        <f>68720*0.54</f>
        <v>37108.800000000003</v>
      </c>
      <c r="K14" s="1">
        <f>I14*A15</f>
        <v>37108.800540000004</v>
      </c>
      <c r="L14" s="3">
        <f>J14-K14</f>
        <v>-5.4000000091036782E-4</v>
      </c>
    </row>
    <row r="15" spans="1:20" s="1" customFormat="1" ht="33" customHeight="1">
      <c r="A15" s="18">
        <v>294</v>
      </c>
      <c r="B15" s="44" t="s">
        <v>55</v>
      </c>
      <c r="C15" s="5" t="s">
        <v>17</v>
      </c>
      <c r="D15" s="5">
        <v>1</v>
      </c>
      <c r="E15" s="7">
        <f>247*8*(A15/1974)</f>
        <v>294.2978723404255</v>
      </c>
      <c r="F15" s="35">
        <f>E15/A15</f>
        <v>1.0010131712259371</v>
      </c>
      <c r="G15" s="49">
        <f t="shared" si="4"/>
        <v>3.4013605442176874E-3</v>
      </c>
      <c r="H15" s="6">
        <f>20000*0.54</f>
        <v>10800</v>
      </c>
      <c r="I15" s="19">
        <f t="shared" ref="I15:I19" si="5">H15*G15</f>
        <v>36.734693877551024</v>
      </c>
    </row>
    <row r="16" spans="1:20" s="1" customFormat="1">
      <c r="A16" s="18"/>
      <c r="B16" s="5" t="s">
        <v>58</v>
      </c>
      <c r="C16" s="5" t="s">
        <v>17</v>
      </c>
      <c r="D16" s="5">
        <v>1</v>
      </c>
      <c r="E16" s="7">
        <f>247*8*(A15/1974)</f>
        <v>294.2978723404255</v>
      </c>
      <c r="F16" s="35">
        <f>E16/A15</f>
        <v>1.0010131712259371</v>
      </c>
      <c r="G16" s="49">
        <f t="shared" si="4"/>
        <v>3.4013605442176874E-3</v>
      </c>
      <c r="H16" s="6">
        <f>24000*0.54</f>
        <v>12960</v>
      </c>
      <c r="I16" s="19">
        <f t="shared" si="5"/>
        <v>44.081632653061227</v>
      </c>
    </row>
    <row r="17" spans="1:13" s="1" customFormat="1">
      <c r="A17" s="18"/>
      <c r="B17" s="5" t="s">
        <v>106</v>
      </c>
      <c r="C17" s="5" t="s">
        <v>17</v>
      </c>
      <c r="D17" s="5">
        <v>1</v>
      </c>
      <c r="E17" s="7">
        <f>247*8*(A15/1974)</f>
        <v>294.2978723404255</v>
      </c>
      <c r="F17" s="35">
        <f>E17/A15</f>
        <v>1.0010131712259371</v>
      </c>
      <c r="G17" s="49">
        <f t="shared" si="4"/>
        <v>3.4013605442176874E-3</v>
      </c>
      <c r="H17" s="6"/>
      <c r="I17" s="19">
        <f t="shared" si="5"/>
        <v>0</v>
      </c>
    </row>
    <row r="18" spans="1:13" s="1" customFormat="1">
      <c r="A18" s="18"/>
      <c r="B18" s="5" t="s">
        <v>67</v>
      </c>
      <c r="C18" s="5" t="s">
        <v>17</v>
      </c>
      <c r="D18" s="5">
        <v>1</v>
      </c>
      <c r="E18" s="7">
        <f>247*8*(A15/1974)</f>
        <v>294.2978723404255</v>
      </c>
      <c r="F18" s="35">
        <f>E18/A15</f>
        <v>1.0010131712259371</v>
      </c>
      <c r="G18" s="49">
        <f t="shared" si="4"/>
        <v>3.4013605442176874E-3</v>
      </c>
      <c r="H18" s="6">
        <f>(15600+9112)*0.54</f>
        <v>13344.480000000001</v>
      </c>
      <c r="I18" s="19">
        <f t="shared" si="5"/>
        <v>45.389387755102049</v>
      </c>
    </row>
    <row r="19" spans="1:13" s="1" customFormat="1">
      <c r="A19" s="18"/>
      <c r="B19" s="5" t="s">
        <v>68</v>
      </c>
      <c r="C19" s="5" t="s">
        <v>17</v>
      </c>
      <c r="D19" s="5">
        <v>1</v>
      </c>
      <c r="E19" s="7">
        <f>247*8*(A15/1974)</f>
        <v>294.2978723404255</v>
      </c>
      <c r="F19" s="35">
        <f>E19/A15</f>
        <v>1.0010131712259371</v>
      </c>
      <c r="G19" s="49">
        <f t="shared" si="4"/>
        <v>3.4013605442176874E-3</v>
      </c>
      <c r="H19" s="6">
        <f>111323*0.54</f>
        <v>60114.420000000006</v>
      </c>
      <c r="I19" s="19">
        <f t="shared" si="5"/>
        <v>204.47081632653064</v>
      </c>
    </row>
    <row r="20" spans="1:13" s="1" customFormat="1" ht="15.75" thickBot="1">
      <c r="A20" s="20"/>
      <c r="B20" s="21"/>
      <c r="C20" s="21"/>
      <c r="D20" s="21"/>
      <c r="E20" s="21"/>
      <c r="F20" s="21"/>
      <c r="G20" s="25"/>
      <c r="H20" s="51"/>
      <c r="I20" s="24">
        <f>SUM(I14:I19)</f>
        <v>456.89694061224498</v>
      </c>
      <c r="J20" s="3">
        <f>(111323+15600+9112+20000+24000+68720)*0.54</f>
        <v>134327.70000000001</v>
      </c>
      <c r="K20" s="1">
        <f>I20*A15</f>
        <v>134327.70054000002</v>
      </c>
    </row>
    <row r="21" spans="1:13">
      <c r="A21" s="13" t="s">
        <v>77</v>
      </c>
      <c r="B21" s="14" t="s">
        <v>54</v>
      </c>
      <c r="C21" s="14" t="s">
        <v>56</v>
      </c>
      <c r="D21" s="14">
        <v>2283.3000000000002</v>
      </c>
      <c r="E21" s="16">
        <f>247*8*(A22/1974)</f>
        <v>163.16514690982777</v>
      </c>
      <c r="F21" s="34">
        <f>E21/A22</f>
        <v>1.0010131712259371</v>
      </c>
      <c r="G21" s="50">
        <f t="shared" ref="G21:G26" si="6">D21/E21*F21</f>
        <v>14.007975460122699</v>
      </c>
      <c r="H21" s="15">
        <v>7.1306000000000003</v>
      </c>
      <c r="I21" s="17">
        <f>H21*G21</f>
        <v>99.88526981595092</v>
      </c>
      <c r="J21" s="3">
        <f>38765*0.42</f>
        <v>16281.3</v>
      </c>
      <c r="K21" s="1">
        <f>I21*A22</f>
        <v>16281.29898</v>
      </c>
      <c r="L21" s="3">
        <f>J21-K21</f>
        <v>1.0199999996984843E-3</v>
      </c>
      <c r="M21" s="1">
        <f>J21/A22/G21</f>
        <v>7.1306004467218491</v>
      </c>
    </row>
    <row r="22" spans="1:13" s="1" customFormat="1" ht="33" customHeight="1">
      <c r="A22" s="18">
        <v>163</v>
      </c>
      <c r="B22" s="44" t="s">
        <v>55</v>
      </c>
      <c r="C22" s="5" t="s">
        <v>17</v>
      </c>
      <c r="D22" s="5">
        <v>1</v>
      </c>
      <c r="E22" s="7">
        <f>247*8*(A22/1974)</f>
        <v>163.16514690982777</v>
      </c>
      <c r="F22" s="35">
        <f>E22/A22</f>
        <v>1.0010131712259371</v>
      </c>
      <c r="G22" s="49">
        <f t="shared" si="6"/>
        <v>6.1349693251533735E-3</v>
      </c>
      <c r="H22" s="6">
        <f>10000*0.42</f>
        <v>4200</v>
      </c>
      <c r="I22" s="19">
        <f t="shared" ref="I22:I26" si="7">H22*G22</f>
        <v>25.766871165644169</v>
      </c>
    </row>
    <row r="23" spans="1:13" s="1" customFormat="1">
      <c r="A23" s="18"/>
      <c r="B23" s="5" t="s">
        <v>58</v>
      </c>
      <c r="C23" s="5" t="s">
        <v>17</v>
      </c>
      <c r="D23" s="5">
        <v>1</v>
      </c>
      <c r="E23" s="7">
        <f>247*8*(A22/1974)</f>
        <v>163.16514690982777</v>
      </c>
      <c r="F23" s="35">
        <f>E23/A22</f>
        <v>1.0010131712259371</v>
      </c>
      <c r="G23" s="49">
        <f t="shared" si="6"/>
        <v>6.1349693251533735E-3</v>
      </c>
      <c r="H23" s="6">
        <f>19000*0.42</f>
        <v>7980</v>
      </c>
      <c r="I23" s="19">
        <f t="shared" si="7"/>
        <v>48.957055214723923</v>
      </c>
    </row>
    <row r="24" spans="1:13" s="1" customFormat="1">
      <c r="A24" s="18"/>
      <c r="B24" s="5" t="s">
        <v>106</v>
      </c>
      <c r="C24" s="5" t="s">
        <v>17</v>
      </c>
      <c r="D24" s="5">
        <v>1</v>
      </c>
      <c r="E24" s="7">
        <f>247*8*(A22/1974)</f>
        <v>163.16514690982777</v>
      </c>
      <c r="F24" s="35">
        <f>E24/A22</f>
        <v>1.0010131712259371</v>
      </c>
      <c r="G24" s="49">
        <f t="shared" si="6"/>
        <v>6.1349693251533735E-3</v>
      </c>
      <c r="H24" s="6"/>
      <c r="I24" s="19">
        <f t="shared" si="7"/>
        <v>0</v>
      </c>
    </row>
    <row r="25" spans="1:13" s="1" customFormat="1">
      <c r="A25" s="18"/>
      <c r="B25" s="5" t="s">
        <v>67</v>
      </c>
      <c r="C25" s="5" t="s">
        <v>17</v>
      </c>
      <c r="D25" s="5">
        <v>1</v>
      </c>
      <c r="E25" s="7">
        <f>247*8*(A22/1974)</f>
        <v>163.16514690982777</v>
      </c>
      <c r="F25" s="35">
        <f>E25/A22</f>
        <v>1.0010131712259371</v>
      </c>
      <c r="G25" s="49">
        <f t="shared" si="6"/>
        <v>6.1349693251533735E-3</v>
      </c>
      <c r="H25" s="6">
        <f>(15600+4545+2700)*0.42</f>
        <v>9594.9</v>
      </c>
      <c r="I25" s="19">
        <f t="shared" si="7"/>
        <v>58.864417177914099</v>
      </c>
    </row>
    <row r="26" spans="1:13" s="1" customFormat="1">
      <c r="A26" s="18"/>
      <c r="B26" s="5" t="s">
        <v>68</v>
      </c>
      <c r="C26" s="5" t="s">
        <v>17</v>
      </c>
      <c r="D26" s="5">
        <v>1</v>
      </c>
      <c r="E26" s="7">
        <f>247*8*(A22/1974)</f>
        <v>163.16514690982777</v>
      </c>
      <c r="F26" s="35">
        <f>E26/A22</f>
        <v>1.0010131712259371</v>
      </c>
      <c r="G26" s="49">
        <f t="shared" si="6"/>
        <v>6.1349693251533735E-3</v>
      </c>
      <c r="H26" s="6">
        <f>51492*0.42</f>
        <v>21626.639999999999</v>
      </c>
      <c r="I26" s="19">
        <f t="shared" si="7"/>
        <v>132.67877300613495</v>
      </c>
    </row>
    <row r="27" spans="1:13" s="1" customFormat="1" ht="15.75" thickBot="1">
      <c r="A27" s="20"/>
      <c r="B27" s="21"/>
      <c r="C27" s="21"/>
      <c r="D27" s="21"/>
      <c r="E27" s="21"/>
      <c r="F27" s="21"/>
      <c r="G27" s="25"/>
      <c r="H27" s="51"/>
      <c r="I27" s="24">
        <f>SUM(I21:I26)</f>
        <v>366.15238638036806</v>
      </c>
      <c r="J27" s="3">
        <f>(51492+15600+4545+2700+29000+38765)*0.42</f>
        <v>59682.84</v>
      </c>
      <c r="K27" s="1">
        <f>I27*A22</f>
        <v>59682.838979999993</v>
      </c>
    </row>
    <row r="28" spans="1:13">
      <c r="A28" s="13" t="s">
        <v>78</v>
      </c>
      <c r="B28" s="14" t="s">
        <v>54</v>
      </c>
      <c r="C28" s="14" t="s">
        <v>56</v>
      </c>
      <c r="D28" s="14">
        <v>6105.7</v>
      </c>
      <c r="E28" s="16">
        <f>247*8*(A29/1974)</f>
        <v>335.33941236068893</v>
      </c>
      <c r="F28" s="34">
        <f>E28/A29</f>
        <v>1.0010131712259371</v>
      </c>
      <c r="G28" s="50">
        <f t="shared" ref="G28:G33" si="8">D28/E28*F28</f>
        <v>18.225970149253733</v>
      </c>
      <c r="H28" s="15">
        <v>7.4700629999999997</v>
      </c>
      <c r="I28" s="17">
        <f>H28*G28</f>
        <v>136.14914525104479</v>
      </c>
      <c r="J28" s="3">
        <f>103659*0.44</f>
        <v>45609.96</v>
      </c>
      <c r="K28" s="1">
        <f>I28*A29</f>
        <v>45609.963659100002</v>
      </c>
      <c r="L28" s="3">
        <f>J28-K28</f>
        <v>-3.6591000025509857E-3</v>
      </c>
    </row>
    <row r="29" spans="1:13" s="1" customFormat="1" ht="33" customHeight="1">
      <c r="A29" s="18">
        <v>335</v>
      </c>
      <c r="B29" s="44" t="s">
        <v>55</v>
      </c>
      <c r="C29" s="5" t="s">
        <v>17</v>
      </c>
      <c r="D29" s="5">
        <v>1</v>
      </c>
      <c r="E29" s="7">
        <f>247*8*(A29/1974)</f>
        <v>335.33941236068893</v>
      </c>
      <c r="F29" s="35">
        <f>E29/A29</f>
        <v>1.0010131712259371</v>
      </c>
      <c r="G29" s="49">
        <f t="shared" si="8"/>
        <v>2.9850746268656717E-3</v>
      </c>
      <c r="H29" s="6">
        <f>30000*0.44</f>
        <v>13200</v>
      </c>
      <c r="I29" s="19">
        <f t="shared" ref="I29:I33" si="9">H29*G29</f>
        <v>39.402985074626869</v>
      </c>
    </row>
    <row r="30" spans="1:13" s="1" customFormat="1">
      <c r="A30" s="18"/>
      <c r="B30" s="5" t="s">
        <v>58</v>
      </c>
      <c r="C30" s="5" t="s">
        <v>17</v>
      </c>
      <c r="D30" s="5">
        <v>1</v>
      </c>
      <c r="E30" s="7">
        <f>247*8*(A29/1974)</f>
        <v>335.33941236068893</v>
      </c>
      <c r="F30" s="35">
        <f>E30/A29</f>
        <v>1.0010131712259371</v>
      </c>
      <c r="G30" s="49">
        <f t="shared" si="8"/>
        <v>2.9850746268656717E-3</v>
      </c>
      <c r="H30" s="6">
        <f>31000*0.44</f>
        <v>13640</v>
      </c>
      <c r="I30" s="19">
        <f t="shared" si="9"/>
        <v>40.71641791044776</v>
      </c>
    </row>
    <row r="31" spans="1:13" s="1" customFormat="1">
      <c r="A31" s="18"/>
      <c r="B31" s="5" t="s">
        <v>106</v>
      </c>
      <c r="C31" s="5" t="s">
        <v>17</v>
      </c>
      <c r="D31" s="5">
        <v>1</v>
      </c>
      <c r="E31" s="7">
        <f>247*8*(A29/1974)</f>
        <v>335.33941236068893</v>
      </c>
      <c r="F31" s="35">
        <f>E31/A29</f>
        <v>1.0010131712259371</v>
      </c>
      <c r="G31" s="49">
        <f t="shared" si="8"/>
        <v>2.9850746268656717E-3</v>
      </c>
      <c r="H31" s="6">
        <f>10000*0.44</f>
        <v>4400</v>
      </c>
      <c r="I31" s="19">
        <f t="shared" si="9"/>
        <v>13.134328358208956</v>
      </c>
    </row>
    <row r="32" spans="1:13" s="1" customFormat="1">
      <c r="A32" s="18"/>
      <c r="B32" s="5" t="s">
        <v>67</v>
      </c>
      <c r="C32" s="5" t="s">
        <v>17</v>
      </c>
      <c r="D32" s="5">
        <v>1</v>
      </c>
      <c r="E32" s="7">
        <f>247*8*(A29/1974)</f>
        <v>335.33941236068893</v>
      </c>
      <c r="F32" s="35">
        <f>E32/A29</f>
        <v>1.0010131712259371</v>
      </c>
      <c r="G32" s="49">
        <f t="shared" si="8"/>
        <v>2.9850746268656717E-3</v>
      </c>
      <c r="H32" s="6">
        <f>(15600+7894+450)*0.44</f>
        <v>10535.36</v>
      </c>
      <c r="I32" s="19">
        <f t="shared" si="9"/>
        <v>31.448835820895525</v>
      </c>
    </row>
    <row r="33" spans="1:12" s="1" customFormat="1">
      <c r="A33" s="18"/>
      <c r="B33" s="5" t="s">
        <v>68</v>
      </c>
      <c r="C33" s="5" t="s">
        <v>17</v>
      </c>
      <c r="D33" s="5">
        <v>1</v>
      </c>
      <c r="E33" s="7">
        <f>247*8*(A29/1974)</f>
        <v>335.33941236068893</v>
      </c>
      <c r="F33" s="35">
        <f>E33/A29</f>
        <v>1.0010131712259371</v>
      </c>
      <c r="G33" s="49">
        <f t="shared" si="8"/>
        <v>2.9850746268656717E-3</v>
      </c>
      <c r="H33" s="6">
        <f>(14700+90133)*0.44</f>
        <v>46126.52</v>
      </c>
      <c r="I33" s="19">
        <f t="shared" si="9"/>
        <v>137.69110447761193</v>
      </c>
    </row>
    <row r="34" spans="1:12" s="1" customFormat="1" ht="15.75" thickBot="1">
      <c r="A34" s="20"/>
      <c r="B34" s="21"/>
      <c r="C34" s="21"/>
      <c r="D34" s="21"/>
      <c r="E34" s="21"/>
      <c r="F34" s="21"/>
      <c r="G34" s="25"/>
      <c r="H34" s="51"/>
      <c r="I34" s="24">
        <f>SUM(I28:I33)</f>
        <v>398.54281689283584</v>
      </c>
      <c r="J34" s="3">
        <f>(14700+90133+15600+7894+30000+31000+103659+10000+450)*0.44</f>
        <v>133511.84</v>
      </c>
      <c r="K34" s="1">
        <f>I34*A29</f>
        <v>133511.84365910001</v>
      </c>
    </row>
    <row r="35" spans="1:12">
      <c r="A35" s="13" t="s">
        <v>79</v>
      </c>
      <c r="B35" s="14" t="s">
        <v>54</v>
      </c>
      <c r="C35" s="14" t="s">
        <v>56</v>
      </c>
      <c r="D35" s="14">
        <v>7407.6</v>
      </c>
      <c r="E35" s="16">
        <f>247*8*(A36/1974)</f>
        <v>390.3951367781155</v>
      </c>
      <c r="F35" s="34">
        <f>E35/A36</f>
        <v>1.0010131712259371</v>
      </c>
      <c r="G35" s="50">
        <f t="shared" ref="G35:G40" si="10">D35/E35*F35</f>
        <v>18.993846153846157</v>
      </c>
      <c r="H35" s="15">
        <v>7.8096170000000003</v>
      </c>
      <c r="I35" s="17">
        <f>H35*G35</f>
        <v>148.33466381846156</v>
      </c>
      <c r="J35" s="3">
        <f>125762*0.46</f>
        <v>57850.520000000004</v>
      </c>
      <c r="K35" s="1">
        <f>I35*A36</f>
        <v>57850.518889200008</v>
      </c>
      <c r="L35" s="3">
        <f>J35-K35</f>
        <v>1.1107999962405302E-3</v>
      </c>
    </row>
    <row r="36" spans="1:12" s="1" customFormat="1" ht="33" customHeight="1">
      <c r="A36" s="18">
        <v>390</v>
      </c>
      <c r="B36" s="44" t="s">
        <v>55</v>
      </c>
      <c r="C36" s="5" t="s">
        <v>17</v>
      </c>
      <c r="D36" s="5">
        <v>1</v>
      </c>
      <c r="E36" s="7">
        <f>247*8*(A36/1974)</f>
        <v>390.3951367781155</v>
      </c>
      <c r="F36" s="35">
        <f>E36/A36</f>
        <v>1.0010131712259371</v>
      </c>
      <c r="G36" s="49">
        <f t="shared" si="10"/>
        <v>2.5641025641025641E-3</v>
      </c>
      <c r="H36" s="6">
        <f>30000*0.46</f>
        <v>13800</v>
      </c>
      <c r="I36" s="19">
        <f t="shared" ref="I36:I40" si="11">H36*G36</f>
        <v>35.384615384615387</v>
      </c>
    </row>
    <row r="37" spans="1:12" s="1" customFormat="1">
      <c r="A37" s="18"/>
      <c r="B37" s="5" t="s">
        <v>58</v>
      </c>
      <c r="C37" s="5" t="s">
        <v>17</v>
      </c>
      <c r="D37" s="5">
        <v>1</v>
      </c>
      <c r="E37" s="7">
        <f>247*8*(A36/1974)</f>
        <v>390.3951367781155</v>
      </c>
      <c r="F37" s="35">
        <f>E37/A36</f>
        <v>1.0010131712259371</v>
      </c>
      <c r="G37" s="49">
        <f t="shared" si="10"/>
        <v>2.5641025641025641E-3</v>
      </c>
      <c r="H37" s="6">
        <f>35000*0.46</f>
        <v>16100</v>
      </c>
      <c r="I37" s="19">
        <f t="shared" si="11"/>
        <v>41.282051282051285</v>
      </c>
    </row>
    <row r="38" spans="1:12" s="1" customFormat="1">
      <c r="A38" s="18"/>
      <c r="B38" s="5" t="s">
        <v>106</v>
      </c>
      <c r="C38" s="5" t="s">
        <v>17</v>
      </c>
      <c r="D38" s="5">
        <v>1</v>
      </c>
      <c r="E38" s="7">
        <f>247*8*(A36/1974)</f>
        <v>390.3951367781155</v>
      </c>
      <c r="F38" s="35">
        <f>E38/A36</f>
        <v>1.0010131712259371</v>
      </c>
      <c r="G38" s="49">
        <f t="shared" si="10"/>
        <v>2.5641025641025641E-3</v>
      </c>
      <c r="H38" s="6"/>
      <c r="I38" s="19">
        <f t="shared" si="11"/>
        <v>0</v>
      </c>
    </row>
    <row r="39" spans="1:12" s="1" customFormat="1">
      <c r="A39" s="18"/>
      <c r="B39" s="5" t="s">
        <v>67</v>
      </c>
      <c r="C39" s="5" t="s">
        <v>17</v>
      </c>
      <c r="D39" s="5">
        <v>1</v>
      </c>
      <c r="E39" s="7">
        <f>247*8*(A36/1974)</f>
        <v>390.3951367781155</v>
      </c>
      <c r="F39" s="35">
        <f>E39/A36</f>
        <v>1.0010131712259371</v>
      </c>
      <c r="G39" s="49">
        <f t="shared" si="10"/>
        <v>2.5641025641025641E-3</v>
      </c>
      <c r="H39" s="6">
        <f>(23400+8807+1350)*0.46</f>
        <v>15436.220000000001</v>
      </c>
      <c r="I39" s="19">
        <f t="shared" si="11"/>
        <v>39.580051282051286</v>
      </c>
    </row>
    <row r="40" spans="1:12" s="1" customFormat="1">
      <c r="A40" s="18"/>
      <c r="B40" s="5" t="s">
        <v>68</v>
      </c>
      <c r="C40" s="5" t="s">
        <v>17</v>
      </c>
      <c r="D40" s="5">
        <v>1</v>
      </c>
      <c r="E40" s="7">
        <f>247*8*(A36/1974)</f>
        <v>390.3951367781155</v>
      </c>
      <c r="F40" s="35">
        <f>E40/A36</f>
        <v>1.0010131712259371</v>
      </c>
      <c r="G40" s="49">
        <f t="shared" si="10"/>
        <v>2.5641025641025641E-3</v>
      </c>
      <c r="H40" s="6">
        <f>104090*0.46</f>
        <v>47881.4</v>
      </c>
      <c r="I40" s="19">
        <f t="shared" si="11"/>
        <v>122.77282051282052</v>
      </c>
    </row>
    <row r="41" spans="1:12" s="1" customFormat="1" ht="15.75" thickBot="1">
      <c r="A41" s="20"/>
      <c r="B41" s="21"/>
      <c r="C41" s="21"/>
      <c r="D41" s="21"/>
      <c r="E41" s="21"/>
      <c r="F41" s="21"/>
      <c r="G41" s="25"/>
      <c r="H41" s="51"/>
      <c r="I41" s="24">
        <f>SUM(I35:I40)</f>
        <v>387.35420227999998</v>
      </c>
      <c r="J41" s="3">
        <f>(104090+23400+8807+1350+65000+125762)*0.46</f>
        <v>151068.14000000001</v>
      </c>
      <c r="K41" s="1">
        <f>I41*A36</f>
        <v>151068.1388892</v>
      </c>
    </row>
    <row r="42" spans="1:12">
      <c r="A42" s="13" t="s">
        <v>80</v>
      </c>
      <c r="B42" s="14" t="s">
        <v>54</v>
      </c>
      <c r="C42" s="14" t="s">
        <v>56</v>
      </c>
      <c r="D42" s="14">
        <v>3950.4</v>
      </c>
      <c r="E42" s="16">
        <f>247*8*(A43/1974)</f>
        <v>265.26849037487335</v>
      </c>
      <c r="F42" s="34">
        <f>E42/A43</f>
        <v>1.0010131712259371</v>
      </c>
      <c r="G42" s="50">
        <f t="shared" ref="G42:G47" si="12">D42/E42*F42</f>
        <v>14.907169811320754</v>
      </c>
      <c r="H42" s="15">
        <v>7.5416759999999998</v>
      </c>
      <c r="I42" s="17">
        <f>H42*G42</f>
        <v>112.42504479396226</v>
      </c>
      <c r="J42" s="3">
        <f>62068*0.48</f>
        <v>29792.639999999999</v>
      </c>
      <c r="K42" s="1">
        <f>I42*A43</f>
        <v>29792.636870399998</v>
      </c>
      <c r="L42" s="3">
        <f>J42-K42</f>
        <v>3.1296000015572645E-3</v>
      </c>
    </row>
    <row r="43" spans="1:12" s="1" customFormat="1" ht="33" customHeight="1">
      <c r="A43" s="18">
        <v>265</v>
      </c>
      <c r="B43" s="44" t="s">
        <v>55</v>
      </c>
      <c r="C43" s="5" t="s">
        <v>17</v>
      </c>
      <c r="D43" s="5">
        <v>1</v>
      </c>
      <c r="E43" s="7">
        <f>247*8*(A43/1974)</f>
        <v>265.26849037487335</v>
      </c>
      <c r="F43" s="35">
        <f>E43/A43</f>
        <v>1.0010131712259371</v>
      </c>
      <c r="G43" s="49">
        <f t="shared" si="12"/>
        <v>3.7735849056603774E-3</v>
      </c>
      <c r="H43" s="6">
        <f>20000*0.48</f>
        <v>9600</v>
      </c>
      <c r="I43" s="19">
        <f t="shared" ref="I43:I47" si="13">H43*G43</f>
        <v>36.226415094339622</v>
      </c>
    </row>
    <row r="44" spans="1:12" s="1" customFormat="1">
      <c r="A44" s="18"/>
      <c r="B44" s="5" t="s">
        <v>58</v>
      </c>
      <c r="C44" s="5" t="s">
        <v>17</v>
      </c>
      <c r="D44" s="5">
        <v>1</v>
      </c>
      <c r="E44" s="7">
        <f>247*8*(A43/1974)</f>
        <v>265.26849037487335</v>
      </c>
      <c r="F44" s="35">
        <f>E44/A43</f>
        <v>1.0010131712259371</v>
      </c>
      <c r="G44" s="49">
        <f t="shared" si="12"/>
        <v>3.7735849056603774E-3</v>
      </c>
      <c r="H44" s="6">
        <f>19000*0.48</f>
        <v>9120</v>
      </c>
      <c r="I44" s="19">
        <f t="shared" si="13"/>
        <v>34.415094339622641</v>
      </c>
    </row>
    <row r="45" spans="1:12" s="1" customFormat="1">
      <c r="A45" s="18"/>
      <c r="B45" s="5" t="s">
        <v>106</v>
      </c>
      <c r="C45" s="5" t="s">
        <v>17</v>
      </c>
      <c r="D45" s="5">
        <v>1</v>
      </c>
      <c r="E45" s="7">
        <f>247*8*(A43/1974)</f>
        <v>265.26849037487335</v>
      </c>
      <c r="F45" s="35">
        <f>E45/A43</f>
        <v>1.0010131712259371</v>
      </c>
      <c r="G45" s="49">
        <f t="shared" si="12"/>
        <v>3.7735849056603774E-3</v>
      </c>
      <c r="H45" s="6">
        <f>10000*0.48</f>
        <v>4800</v>
      </c>
      <c r="I45" s="19">
        <f t="shared" si="13"/>
        <v>18.113207547169811</v>
      </c>
    </row>
    <row r="46" spans="1:12" s="1" customFormat="1">
      <c r="A46" s="18"/>
      <c r="B46" s="5" t="s">
        <v>67</v>
      </c>
      <c r="C46" s="5" t="s">
        <v>17</v>
      </c>
      <c r="D46" s="5">
        <v>1</v>
      </c>
      <c r="E46" s="7">
        <f>247*8*(A43/1974)</f>
        <v>265.26849037487335</v>
      </c>
      <c r="F46" s="35">
        <f>E46/A43</f>
        <v>1.0010131712259371</v>
      </c>
      <c r="G46" s="49">
        <f t="shared" si="12"/>
        <v>3.7735849056603774E-3</v>
      </c>
      <c r="H46" s="6">
        <f>(15600+7285+450)*0.48</f>
        <v>11200.8</v>
      </c>
      <c r="I46" s="19">
        <f t="shared" si="13"/>
        <v>42.267169811320755</v>
      </c>
    </row>
    <row r="47" spans="1:12" s="1" customFormat="1">
      <c r="A47" s="18"/>
      <c r="B47" s="5" t="s">
        <v>68</v>
      </c>
      <c r="C47" s="5" t="s">
        <v>17</v>
      </c>
      <c r="D47" s="5">
        <v>1</v>
      </c>
      <c r="E47" s="7">
        <f>247*8*(A43/1974)</f>
        <v>265.26849037487335</v>
      </c>
      <c r="F47" s="35">
        <f>E47/A43</f>
        <v>1.0010131712259371</v>
      </c>
      <c r="G47" s="49">
        <f t="shared" si="12"/>
        <v>3.7735849056603774E-3</v>
      </c>
      <c r="H47" s="6">
        <f>(14280+81197)*0.48</f>
        <v>45828.959999999999</v>
      </c>
      <c r="I47" s="19">
        <f t="shared" si="13"/>
        <v>172.93947169811321</v>
      </c>
    </row>
    <row r="48" spans="1:12" s="1" customFormat="1" ht="15.75" thickBot="1">
      <c r="A48" s="20"/>
      <c r="B48" s="21"/>
      <c r="C48" s="21"/>
      <c r="D48" s="21"/>
      <c r="E48" s="21"/>
      <c r="F48" s="21"/>
      <c r="G48" s="25"/>
      <c r="H48" s="51"/>
      <c r="I48" s="24">
        <f>SUM(I42:I47)</f>
        <v>416.38640328452828</v>
      </c>
      <c r="J48" s="3">
        <f>(14280+81197+15600+7285+450+20000+19000+62068+10000)*0.48</f>
        <v>110342.39999999999</v>
      </c>
      <c r="K48" s="1">
        <f>I48*A43</f>
        <v>110342.3968704</v>
      </c>
    </row>
    <row r="49" spans="1:12">
      <c r="A49" s="13" t="s">
        <v>81</v>
      </c>
      <c r="B49" s="14" t="s">
        <v>54</v>
      </c>
      <c r="C49" s="14" t="s">
        <v>56</v>
      </c>
      <c r="D49" s="14">
        <v>6310.1</v>
      </c>
      <c r="E49" s="16">
        <f>247*8*(A50/1974)</f>
        <v>354.35866261398178</v>
      </c>
      <c r="F49" s="34">
        <f>E49/A50</f>
        <v>1.0010131712259371</v>
      </c>
      <c r="G49" s="50">
        <f t="shared" ref="G49:G54" si="14">D49/E49*F49</f>
        <v>17.825141242937853</v>
      </c>
      <c r="H49" s="15">
        <v>6.6211799999999998</v>
      </c>
      <c r="I49" s="17">
        <f>H49*G49</f>
        <v>118.02346869491525</v>
      </c>
      <c r="J49" s="3">
        <f>107129*0.39</f>
        <v>41780.310000000005</v>
      </c>
      <c r="K49" s="1">
        <f>I49*A50</f>
        <v>41780.307917999999</v>
      </c>
      <c r="L49" s="3">
        <f>J49-K49</f>
        <v>2.0820000063395128E-3</v>
      </c>
    </row>
    <row r="50" spans="1:12" s="1" customFormat="1" ht="33" customHeight="1">
      <c r="A50" s="18">
        <v>354</v>
      </c>
      <c r="B50" s="44" t="s">
        <v>55</v>
      </c>
      <c r="C50" s="5" t="s">
        <v>17</v>
      </c>
      <c r="D50" s="5">
        <v>1</v>
      </c>
      <c r="E50" s="7">
        <f>247*8*(A50/1974)</f>
        <v>354.35866261398178</v>
      </c>
      <c r="F50" s="35">
        <f>E50/A50</f>
        <v>1.0010131712259371</v>
      </c>
      <c r="G50" s="49">
        <f t="shared" si="14"/>
        <v>2.8248587570621469E-3</v>
      </c>
      <c r="H50" s="6">
        <f>40000*0.39</f>
        <v>15600</v>
      </c>
      <c r="I50" s="19">
        <f t="shared" ref="I50:I54" si="15">H50*G50</f>
        <v>44.067796610169495</v>
      </c>
    </row>
    <row r="51" spans="1:12" s="1" customFormat="1">
      <c r="A51" s="18"/>
      <c r="B51" s="5" t="s">
        <v>58</v>
      </c>
      <c r="C51" s="5" t="s">
        <v>17</v>
      </c>
      <c r="D51" s="5">
        <v>1</v>
      </c>
      <c r="E51" s="7">
        <f>247*8*(A50/1974)</f>
        <v>354.35866261398178</v>
      </c>
      <c r="F51" s="35">
        <f>E51/A50</f>
        <v>1.0010131712259371</v>
      </c>
      <c r="G51" s="49">
        <f t="shared" si="14"/>
        <v>2.8248587570621469E-3</v>
      </c>
      <c r="H51" s="6">
        <f>36000*0.39</f>
        <v>14040</v>
      </c>
      <c r="I51" s="19">
        <f t="shared" si="15"/>
        <v>39.66101694915254</v>
      </c>
    </row>
    <row r="52" spans="1:12" s="1" customFormat="1">
      <c r="A52" s="18"/>
      <c r="B52" s="5" t="s">
        <v>106</v>
      </c>
      <c r="C52" s="5" t="s">
        <v>17</v>
      </c>
      <c r="D52" s="5">
        <v>1</v>
      </c>
      <c r="E52" s="7">
        <f>247*8*(A50/1974)</f>
        <v>354.35866261398178</v>
      </c>
      <c r="F52" s="35">
        <f>E52/A50</f>
        <v>1.0010131712259371</v>
      </c>
      <c r="G52" s="49">
        <f t="shared" si="14"/>
        <v>2.8248587570621469E-3</v>
      </c>
      <c r="H52" s="6"/>
      <c r="I52" s="19">
        <f t="shared" si="15"/>
        <v>0</v>
      </c>
    </row>
    <row r="53" spans="1:12" s="1" customFormat="1">
      <c r="A53" s="18"/>
      <c r="B53" s="5" t="s">
        <v>67</v>
      </c>
      <c r="C53" s="5" t="s">
        <v>17</v>
      </c>
      <c r="D53" s="5">
        <v>1</v>
      </c>
      <c r="E53" s="7">
        <f>247*8*(A50/1974)</f>
        <v>354.35866261398178</v>
      </c>
      <c r="F53" s="35">
        <f>E53/A50</f>
        <v>1.0010131712259371</v>
      </c>
      <c r="G53" s="49">
        <f t="shared" si="14"/>
        <v>2.8248587570621469E-3</v>
      </c>
      <c r="H53" s="6">
        <f>(15600+8503)*0.39</f>
        <v>9400.17</v>
      </c>
      <c r="I53" s="19">
        <f t="shared" si="15"/>
        <v>26.554152542372883</v>
      </c>
    </row>
    <row r="54" spans="1:12" s="1" customFormat="1">
      <c r="A54" s="18"/>
      <c r="B54" s="5" t="s">
        <v>68</v>
      </c>
      <c r="C54" s="5" t="s">
        <v>17</v>
      </c>
      <c r="D54" s="5">
        <v>1</v>
      </c>
      <c r="E54" s="7">
        <f>247*8*(A50/1974)</f>
        <v>354.35866261398178</v>
      </c>
      <c r="F54" s="35">
        <f>E54/A50</f>
        <v>1.0010131712259371</v>
      </c>
      <c r="G54" s="49">
        <f t="shared" si="14"/>
        <v>2.8248587570621469E-3</v>
      </c>
      <c r="H54" s="6">
        <f>97963*0.39</f>
        <v>38205.57</v>
      </c>
      <c r="I54" s="19">
        <f t="shared" si="15"/>
        <v>107.92533898305085</v>
      </c>
    </row>
    <row r="55" spans="1:12" s="1" customFormat="1" ht="15.75" thickBot="1">
      <c r="A55" s="20"/>
      <c r="B55" s="21"/>
      <c r="C55" s="21"/>
      <c r="D55" s="21"/>
      <c r="E55" s="21"/>
      <c r="F55" s="21"/>
      <c r="G55" s="25"/>
      <c r="H55" s="51"/>
      <c r="I55" s="24">
        <f>SUM(I49:I54)</f>
        <v>336.23177377966101</v>
      </c>
      <c r="J55" s="3">
        <f>(97963+15600+8503+40000+36000+107129)*0.39</f>
        <v>119026.05</v>
      </c>
      <c r="K55" s="1">
        <f>I55*A50</f>
        <v>119026.047918</v>
      </c>
    </row>
    <row r="56" spans="1:12">
      <c r="A56" s="13" t="s">
        <v>82</v>
      </c>
      <c r="B56" s="14" t="s">
        <v>54</v>
      </c>
      <c r="C56" s="14" t="s">
        <v>56</v>
      </c>
      <c r="D56" s="14">
        <v>4100.8999999999996</v>
      </c>
      <c r="E56" s="16">
        <f>247*8*(A57/1974)</f>
        <v>93.094224924012153</v>
      </c>
      <c r="F56" s="34">
        <f>E56/A57</f>
        <v>1.0010131712259371</v>
      </c>
      <c r="G56" s="50">
        <f t="shared" ref="G56:G61" si="16">D56/E56*F56</f>
        <v>44.095698924731181</v>
      </c>
      <c r="H56" s="15">
        <v>6.9607720000000004</v>
      </c>
      <c r="I56" s="17">
        <f>H56*G56</f>
        <v>306.94010639569893</v>
      </c>
      <c r="J56" s="3">
        <f>69623*0.41</f>
        <v>28545.429999999997</v>
      </c>
      <c r="K56" s="1">
        <f>I56*A57</f>
        <v>28545.4298948</v>
      </c>
      <c r="L56" s="3">
        <f>J56-K56</f>
        <v>1.0519999705138616E-4</v>
      </c>
    </row>
    <row r="57" spans="1:12" s="1" customFormat="1" ht="33" customHeight="1">
      <c r="A57" s="18">
        <v>93</v>
      </c>
      <c r="B57" s="44" t="s">
        <v>55</v>
      </c>
      <c r="C57" s="5" t="s">
        <v>17</v>
      </c>
      <c r="D57" s="5">
        <v>1</v>
      </c>
      <c r="E57" s="7">
        <f>247*8*(A57/1974)</f>
        <v>93.094224924012153</v>
      </c>
      <c r="F57" s="35">
        <f>E57/A57</f>
        <v>1.0010131712259371</v>
      </c>
      <c r="G57" s="49">
        <f t="shared" si="16"/>
        <v>1.0752688172043012E-2</v>
      </c>
      <c r="H57" s="6">
        <f>10000*0.41</f>
        <v>4100</v>
      </c>
      <c r="I57" s="19">
        <f t="shared" ref="I57:I61" si="17">H57*G57</f>
        <v>44.086021505376351</v>
      </c>
    </row>
    <row r="58" spans="1:12" s="1" customFormat="1">
      <c r="A58" s="18"/>
      <c r="B58" s="5" t="s">
        <v>58</v>
      </c>
      <c r="C58" s="5" t="s">
        <v>17</v>
      </c>
      <c r="D58" s="5">
        <v>1</v>
      </c>
      <c r="E58" s="7">
        <f>247*8*(A57/1974)</f>
        <v>93.094224924012153</v>
      </c>
      <c r="F58" s="35">
        <f>E58/A57</f>
        <v>1.0010131712259371</v>
      </c>
      <c r="G58" s="49">
        <f t="shared" si="16"/>
        <v>1.0752688172043012E-2</v>
      </c>
      <c r="H58" s="6">
        <f>11000*0.41</f>
        <v>4510</v>
      </c>
      <c r="I58" s="19">
        <f t="shared" si="17"/>
        <v>48.494623655913983</v>
      </c>
    </row>
    <row r="59" spans="1:12" s="1" customFormat="1">
      <c r="A59" s="18"/>
      <c r="B59" s="5" t="s">
        <v>106</v>
      </c>
      <c r="C59" s="5" t="s">
        <v>17</v>
      </c>
      <c r="D59" s="5">
        <v>1</v>
      </c>
      <c r="E59" s="7">
        <f>247*8*(A57/1974)</f>
        <v>93.094224924012153</v>
      </c>
      <c r="F59" s="35">
        <f>E59/A57</f>
        <v>1.0010131712259371</v>
      </c>
      <c r="G59" s="49">
        <f t="shared" si="16"/>
        <v>1.0752688172043012E-2</v>
      </c>
      <c r="H59" s="6"/>
      <c r="I59" s="19">
        <f t="shared" si="17"/>
        <v>0</v>
      </c>
    </row>
    <row r="60" spans="1:12" s="1" customFormat="1">
      <c r="A60" s="18"/>
      <c r="B60" s="5" t="s">
        <v>67</v>
      </c>
      <c r="C60" s="5" t="s">
        <v>17</v>
      </c>
      <c r="D60" s="5">
        <v>1</v>
      </c>
      <c r="E60" s="7">
        <f>247*8*(A57/1974)</f>
        <v>93.094224924012153</v>
      </c>
      <c r="F60" s="35">
        <f>E60/A57</f>
        <v>1.0010131712259371</v>
      </c>
      <c r="G60" s="49">
        <f t="shared" si="16"/>
        <v>1.0752688172043012E-2</v>
      </c>
      <c r="H60" s="6">
        <f>(15600+4240+2700)*0.41</f>
        <v>9241.4</v>
      </c>
      <c r="I60" s="19">
        <f t="shared" si="17"/>
        <v>99.369892473118284</v>
      </c>
    </row>
    <row r="61" spans="1:12" s="1" customFormat="1">
      <c r="A61" s="18"/>
      <c r="B61" s="5" t="s">
        <v>68</v>
      </c>
      <c r="C61" s="5" t="s">
        <v>17</v>
      </c>
      <c r="D61" s="5">
        <v>1</v>
      </c>
      <c r="E61" s="7">
        <f>247*8*(A57/1974)</f>
        <v>93.094224924012153</v>
      </c>
      <c r="F61" s="35">
        <f>E61/A57</f>
        <v>1.0010131712259371</v>
      </c>
      <c r="G61" s="49">
        <f t="shared" si="16"/>
        <v>1.0752688172043012E-2</v>
      </c>
      <c r="H61" s="6">
        <f>46471*0.41</f>
        <v>19053.11</v>
      </c>
      <c r="I61" s="19">
        <f t="shared" si="17"/>
        <v>204.87215053763444</v>
      </c>
    </row>
    <row r="62" spans="1:12" s="1" customFormat="1" ht="15.75" thickBot="1">
      <c r="A62" s="20"/>
      <c r="B62" s="21"/>
      <c r="C62" s="21"/>
      <c r="D62" s="21"/>
      <c r="E62" s="21"/>
      <c r="F62" s="21"/>
      <c r="G62" s="25"/>
      <c r="H62" s="51"/>
      <c r="I62" s="24">
        <f>SUM(I56:I61)</f>
        <v>703.76279456774193</v>
      </c>
      <c r="J62" s="3">
        <f>(46471+15600+4240+2700+10000+11000+69623)*0.41</f>
        <v>65449.939999999995</v>
      </c>
      <c r="K62" s="1">
        <f>I62*A57</f>
        <v>65449.939894800002</v>
      </c>
    </row>
    <row r="63" spans="1:12">
      <c r="A63" s="13" t="s">
        <v>83</v>
      </c>
      <c r="B63" s="14" t="s">
        <v>54</v>
      </c>
      <c r="C63" s="14" t="s">
        <v>56</v>
      </c>
      <c r="D63" s="14">
        <v>2611.1999999999998</v>
      </c>
      <c r="E63" s="16">
        <f>247*8*(A64/1974)</f>
        <v>106.10739614994934</v>
      </c>
      <c r="F63" s="34">
        <f>E63/A64</f>
        <v>1.0010131712259371</v>
      </c>
      <c r="G63" s="50">
        <f t="shared" ref="G63:G68" si="18">D63/E63*F63</f>
        <v>24.633962264150941</v>
      </c>
      <c r="H63" s="15">
        <v>8.8281700000000001</v>
      </c>
      <c r="I63" s="17">
        <f>H63*G63</f>
        <v>217.47280664150941</v>
      </c>
      <c r="J63" s="3">
        <f>44331*0.52</f>
        <v>23052.12</v>
      </c>
      <c r="K63" s="1">
        <f>I63*A64</f>
        <v>23052.117503999998</v>
      </c>
      <c r="L63" s="3">
        <f>J63-K63</f>
        <v>2.4960000009741634E-3</v>
      </c>
    </row>
    <row r="64" spans="1:12" s="1" customFormat="1" ht="33" customHeight="1">
      <c r="A64" s="18">
        <v>106</v>
      </c>
      <c r="B64" s="44" t="s">
        <v>55</v>
      </c>
      <c r="C64" s="5" t="s">
        <v>17</v>
      </c>
      <c r="D64" s="5">
        <v>1</v>
      </c>
      <c r="E64" s="7">
        <f>247*8*(A64/1974)</f>
        <v>106.10739614994934</v>
      </c>
      <c r="F64" s="35">
        <f>E64/A64</f>
        <v>1.0010131712259371</v>
      </c>
      <c r="G64" s="49">
        <f t="shared" si="18"/>
        <v>9.433962264150943E-3</v>
      </c>
      <c r="H64" s="6">
        <f>10000*0.52</f>
        <v>5200</v>
      </c>
      <c r="I64" s="19">
        <f t="shared" ref="I64:I68" si="19">H64*G64</f>
        <v>49.056603773584904</v>
      </c>
    </row>
    <row r="65" spans="1:20" s="1" customFormat="1">
      <c r="A65" s="18"/>
      <c r="B65" s="5" t="s">
        <v>58</v>
      </c>
      <c r="C65" s="5" t="s">
        <v>17</v>
      </c>
      <c r="D65" s="5">
        <v>1</v>
      </c>
      <c r="E65" s="7">
        <f>247*8*(A64/1974)</f>
        <v>106.10739614994934</v>
      </c>
      <c r="F65" s="35">
        <f>E65/A64</f>
        <v>1.0010131712259371</v>
      </c>
      <c r="G65" s="49">
        <f t="shared" si="18"/>
        <v>9.433962264150943E-3</v>
      </c>
      <c r="H65" s="6">
        <f>9000*0.52</f>
        <v>4680</v>
      </c>
      <c r="I65" s="19">
        <f t="shared" si="19"/>
        <v>44.150943396226417</v>
      </c>
    </row>
    <row r="66" spans="1:20" s="1" customFormat="1">
      <c r="A66" s="18"/>
      <c r="B66" s="5" t="s">
        <v>106</v>
      </c>
      <c r="C66" s="5" t="s">
        <v>17</v>
      </c>
      <c r="D66" s="5">
        <v>1</v>
      </c>
      <c r="E66" s="7">
        <f>247*8*(A64/1974)</f>
        <v>106.10739614994934</v>
      </c>
      <c r="F66" s="35">
        <f>E66/A64</f>
        <v>1.0010131712259371</v>
      </c>
      <c r="G66" s="49">
        <f t="shared" si="18"/>
        <v>9.433962264150943E-3</v>
      </c>
      <c r="H66" s="6"/>
      <c r="I66" s="19">
        <f t="shared" si="19"/>
        <v>0</v>
      </c>
    </row>
    <row r="67" spans="1:20" s="1" customFormat="1">
      <c r="A67" s="18"/>
      <c r="B67" s="5" t="s">
        <v>67</v>
      </c>
      <c r="C67" s="5" t="s">
        <v>17</v>
      </c>
      <c r="D67" s="5">
        <v>1</v>
      </c>
      <c r="E67" s="7">
        <f>247*8*(A64/1974)</f>
        <v>106.10739614994934</v>
      </c>
      <c r="F67" s="35">
        <f>E67/A64</f>
        <v>1.0010131712259371</v>
      </c>
      <c r="G67" s="49">
        <f t="shared" si="18"/>
        <v>9.433962264150943E-3</v>
      </c>
      <c r="H67" s="6">
        <f>(15600+4240+2700)*0.52</f>
        <v>11720.800000000001</v>
      </c>
      <c r="I67" s="19">
        <f t="shared" si="19"/>
        <v>110.57358490566038</v>
      </c>
    </row>
    <row r="68" spans="1:20" s="1" customFormat="1">
      <c r="A68" s="18"/>
      <c r="B68" s="5" t="s">
        <v>68</v>
      </c>
      <c r="C68" s="5" t="s">
        <v>17</v>
      </c>
      <c r="D68" s="5">
        <v>1</v>
      </c>
      <c r="E68" s="7">
        <f>247*8*(A64/1974)</f>
        <v>106.10739614994934</v>
      </c>
      <c r="F68" s="35">
        <f>E68/A64</f>
        <v>1.0010131712259371</v>
      </c>
      <c r="G68" s="49">
        <f t="shared" si="18"/>
        <v>9.433962264150943E-3</v>
      </c>
      <c r="H68" s="6">
        <f>47577*0.52</f>
        <v>24740.04</v>
      </c>
      <c r="I68" s="19">
        <f t="shared" si="19"/>
        <v>233.3966037735849</v>
      </c>
    </row>
    <row r="69" spans="1:20" s="1" customFormat="1" ht="15.75" thickBot="1">
      <c r="A69" s="20"/>
      <c r="B69" s="21"/>
      <c r="C69" s="21"/>
      <c r="D69" s="21"/>
      <c r="E69" s="21"/>
      <c r="F69" s="21"/>
      <c r="G69" s="25"/>
      <c r="H69" s="51"/>
      <c r="I69" s="24">
        <f>SUM(I63:I68)</f>
        <v>654.65054249056607</v>
      </c>
      <c r="J69" s="3">
        <f>(47577+15600+4240+2700+19000+44331)*0.52</f>
        <v>69392.960000000006</v>
      </c>
      <c r="K69" s="1">
        <f>I69*A64</f>
        <v>69392.957504000005</v>
      </c>
    </row>
    <row r="71" spans="1:20" ht="19.5" thickBot="1">
      <c r="A71" s="73" t="s">
        <v>85</v>
      </c>
      <c r="H71"/>
      <c r="S71" s="1"/>
      <c r="T71" s="1"/>
    </row>
    <row r="72" spans="1:20" ht="79.5" customHeight="1">
      <c r="A72" s="27" t="s">
        <v>2</v>
      </c>
      <c r="B72" s="28" t="s">
        <v>52</v>
      </c>
      <c r="C72" s="28" t="s">
        <v>14</v>
      </c>
      <c r="D72" s="28" t="s">
        <v>16</v>
      </c>
      <c r="E72" s="78" t="s">
        <v>27</v>
      </c>
      <c r="F72" s="28" t="s">
        <v>28</v>
      </c>
      <c r="G72" s="28" t="s">
        <v>53</v>
      </c>
      <c r="H72" s="28" t="s">
        <v>57</v>
      </c>
      <c r="I72" s="28" t="s">
        <v>11</v>
      </c>
      <c r="J72" s="2" t="s">
        <v>34</v>
      </c>
      <c r="K72" s="2" t="s">
        <v>33</v>
      </c>
    </row>
    <row r="73" spans="1:20" ht="15.75" thickBot="1">
      <c r="A73" s="47">
        <v>1</v>
      </c>
      <c r="B73" s="10">
        <v>2</v>
      </c>
      <c r="C73" s="10">
        <v>3</v>
      </c>
      <c r="D73" s="10">
        <v>4</v>
      </c>
      <c r="E73" s="10">
        <v>5</v>
      </c>
      <c r="F73" s="10">
        <v>6</v>
      </c>
      <c r="G73" s="10" t="s">
        <v>31</v>
      </c>
      <c r="H73" s="9">
        <v>8</v>
      </c>
      <c r="I73" s="48" t="s">
        <v>32</v>
      </c>
    </row>
    <row r="74" spans="1:20">
      <c r="A74" s="13" t="s">
        <v>71</v>
      </c>
      <c r="B74" s="14" t="s">
        <v>54</v>
      </c>
      <c r="C74" s="14" t="s">
        <v>56</v>
      </c>
      <c r="D74" s="14">
        <v>2528.5</v>
      </c>
      <c r="E74" s="16">
        <f>247*8*(A75/1974)</f>
        <v>211.21377912867277</v>
      </c>
      <c r="F74" s="34">
        <f>E74/A75</f>
        <v>1.0010131712259374</v>
      </c>
      <c r="G74" s="50">
        <f t="shared" ref="G74:G79" si="20">D74/E74*F74</f>
        <v>11.983412322274882</v>
      </c>
      <c r="H74" s="15">
        <v>8.1926749999999995</v>
      </c>
      <c r="I74" s="17">
        <f>H74*G74</f>
        <v>98.176202547393359</v>
      </c>
      <c r="J74" s="3">
        <f>45033*0.46</f>
        <v>20715.18</v>
      </c>
      <c r="K74" s="1">
        <f>I74*A75</f>
        <v>20715.178737499999</v>
      </c>
      <c r="L74" s="3">
        <f>J74-K74</f>
        <v>1.2625000017578714E-3</v>
      </c>
      <c r="M74" s="1">
        <f>J74/A75/G74</f>
        <v>8.1926754993078905</v>
      </c>
    </row>
    <row r="75" spans="1:20" s="1" customFormat="1" ht="33" customHeight="1">
      <c r="A75" s="18">
        <v>211</v>
      </c>
      <c r="B75" s="44" t="s">
        <v>55</v>
      </c>
      <c r="C75" s="5" t="s">
        <v>17</v>
      </c>
      <c r="D75" s="5">
        <v>1</v>
      </c>
      <c r="E75" s="7">
        <f>247*8*(A75/1974)</f>
        <v>211.21377912867277</v>
      </c>
      <c r="F75" s="35">
        <f>E75/A75</f>
        <v>1.0010131712259374</v>
      </c>
      <c r="G75" s="49">
        <f t="shared" si="20"/>
        <v>4.7393364928909956E-3</v>
      </c>
      <c r="H75" s="6">
        <f>10000*0.46</f>
        <v>4600</v>
      </c>
      <c r="I75" s="19">
        <f t="shared" ref="I75:I79" si="21">H75*G75</f>
        <v>21.800947867298579</v>
      </c>
    </row>
    <row r="76" spans="1:20" s="1" customFormat="1">
      <c r="A76" s="18"/>
      <c r="B76" s="5" t="s">
        <v>58</v>
      </c>
      <c r="C76" s="5" t="s">
        <v>17</v>
      </c>
      <c r="D76" s="5">
        <v>1</v>
      </c>
      <c r="E76" s="7">
        <f>247*8*(A75/1974)</f>
        <v>211.21377912867277</v>
      </c>
      <c r="F76" s="35">
        <f>E76/A75</f>
        <v>1.0010131712259374</v>
      </c>
      <c r="G76" s="49">
        <f t="shared" si="20"/>
        <v>4.7393364928909956E-3</v>
      </c>
      <c r="H76" s="6">
        <f>20000*0.46</f>
        <v>9200</v>
      </c>
      <c r="I76" s="19">
        <f t="shared" si="21"/>
        <v>43.601895734597157</v>
      </c>
    </row>
    <row r="77" spans="1:20" s="1" customFormat="1">
      <c r="A77" s="18"/>
      <c r="B77" s="5" t="s">
        <v>106</v>
      </c>
      <c r="C77" s="5" t="s">
        <v>17</v>
      </c>
      <c r="D77" s="5">
        <v>1</v>
      </c>
      <c r="E77" s="7">
        <f>247*8*(A75/1974)</f>
        <v>211.21377912867277</v>
      </c>
      <c r="F77" s="35">
        <f>E77/A75</f>
        <v>1.0010131712259374</v>
      </c>
      <c r="G77" s="49">
        <f t="shared" si="20"/>
        <v>4.7393364928909956E-3</v>
      </c>
      <c r="H77" s="6">
        <f>10000*0.46</f>
        <v>4600</v>
      </c>
      <c r="I77" s="19">
        <f t="shared" si="21"/>
        <v>21.800947867298579</v>
      </c>
    </row>
    <row r="78" spans="1:20" s="1" customFormat="1">
      <c r="A78" s="18"/>
      <c r="B78" s="5" t="s">
        <v>67</v>
      </c>
      <c r="C78" s="5" t="s">
        <v>17</v>
      </c>
      <c r="D78" s="5">
        <v>1</v>
      </c>
      <c r="E78" s="7">
        <f>247*8*(A75/1974)</f>
        <v>211.21377912867277</v>
      </c>
      <c r="F78" s="35">
        <f>E78/A75</f>
        <v>1.0010131712259374</v>
      </c>
      <c r="G78" s="49">
        <f t="shared" si="20"/>
        <v>4.7393364928909956E-3</v>
      </c>
      <c r="H78" s="6">
        <f>(15600+5458+450)*0.46</f>
        <v>9893.68</v>
      </c>
      <c r="I78" s="19">
        <f t="shared" si="21"/>
        <v>46.889478672985788</v>
      </c>
    </row>
    <row r="79" spans="1:20" s="1" customFormat="1">
      <c r="A79" s="18"/>
      <c r="B79" s="5" t="s">
        <v>68</v>
      </c>
      <c r="C79" s="5" t="s">
        <v>17</v>
      </c>
      <c r="D79" s="5">
        <v>1</v>
      </c>
      <c r="E79" s="7">
        <f>247*8*(A75/1974)</f>
        <v>211.21377912867277</v>
      </c>
      <c r="F79" s="35">
        <f>E79/A75</f>
        <v>1.0010131712259374</v>
      </c>
      <c r="G79" s="49">
        <f t="shared" si="20"/>
        <v>4.7393364928909956E-3</v>
      </c>
      <c r="H79" s="6">
        <f>(14700+63237)*0.46</f>
        <v>35851.020000000004</v>
      </c>
      <c r="I79" s="19">
        <f t="shared" si="21"/>
        <v>169.91004739336495</v>
      </c>
    </row>
    <row r="80" spans="1:20" s="1" customFormat="1" ht="15.75" thickBot="1">
      <c r="A80" s="20"/>
      <c r="B80" s="21"/>
      <c r="C80" s="21"/>
      <c r="D80" s="21"/>
      <c r="E80" s="21"/>
      <c r="F80" s="21"/>
      <c r="G80" s="25"/>
      <c r="H80" s="51"/>
      <c r="I80" s="24">
        <f>SUM(I74:I79)</f>
        <v>402.17952008293844</v>
      </c>
      <c r="J80" s="3">
        <f>(14700+63237+15600+5458+450+10000+20000+45033+10000)*0.46</f>
        <v>84859.88</v>
      </c>
      <c r="K80" s="1">
        <f>I80*A75</f>
        <v>84859.87873750001</v>
      </c>
    </row>
    <row r="81" spans="1:13">
      <c r="A81" s="13" t="s">
        <v>76</v>
      </c>
      <c r="B81" s="14" t="s">
        <v>54</v>
      </c>
      <c r="C81" s="14" t="s">
        <v>56</v>
      </c>
      <c r="D81" s="14">
        <v>4047.75</v>
      </c>
      <c r="E81" s="16">
        <f>247*8*(A82/1974)</f>
        <v>219.22188449848025</v>
      </c>
      <c r="F81" s="34">
        <f>E81/A82</f>
        <v>1.0010131712259371</v>
      </c>
      <c r="G81" s="50">
        <f t="shared" ref="G81:G86" si="22">D81/E81*F81</f>
        <v>18.482876712328764</v>
      </c>
      <c r="H81" s="15">
        <v>6.7909329999999999</v>
      </c>
      <c r="I81" s="17">
        <f>H81*G81</f>
        <v>125.5159774006849</v>
      </c>
      <c r="J81" s="3">
        <f>68720*0.4</f>
        <v>27488</v>
      </c>
      <c r="K81" s="1">
        <f>I81*A82</f>
        <v>27487.999050749993</v>
      </c>
      <c r="L81" s="3">
        <f>J81-K81</f>
        <v>9.4925000666989945E-4</v>
      </c>
      <c r="M81" s="1">
        <f>J81/A82/G81</f>
        <v>6.7909332345130018</v>
      </c>
    </row>
    <row r="82" spans="1:13" s="1" customFormat="1" ht="33" customHeight="1">
      <c r="A82" s="18">
        <v>219</v>
      </c>
      <c r="B82" s="44" t="s">
        <v>55</v>
      </c>
      <c r="C82" s="5" t="s">
        <v>17</v>
      </c>
      <c r="D82" s="5">
        <v>1</v>
      </c>
      <c r="E82" s="7">
        <f>247*8*(A82/1974)</f>
        <v>219.22188449848025</v>
      </c>
      <c r="F82" s="35">
        <f>E82/A82</f>
        <v>1.0010131712259371</v>
      </c>
      <c r="G82" s="49">
        <f t="shared" si="22"/>
        <v>4.5662100456621002E-3</v>
      </c>
      <c r="H82" s="6">
        <f>20000*0.4</f>
        <v>8000</v>
      </c>
      <c r="I82" s="19">
        <f t="shared" ref="I82:I86" si="23">H82*G82</f>
        <v>36.529680365296798</v>
      </c>
    </row>
    <row r="83" spans="1:13" s="1" customFormat="1">
      <c r="A83" s="18"/>
      <c r="B83" s="5" t="s">
        <v>58</v>
      </c>
      <c r="C83" s="5" t="s">
        <v>17</v>
      </c>
      <c r="D83" s="5">
        <v>1</v>
      </c>
      <c r="E83" s="7">
        <f>247*8*(A82/1974)</f>
        <v>219.22188449848025</v>
      </c>
      <c r="F83" s="35">
        <f>E83/A82</f>
        <v>1.0010131712259371</v>
      </c>
      <c r="G83" s="49">
        <f t="shared" si="22"/>
        <v>4.5662100456621002E-3</v>
      </c>
      <c r="H83" s="6">
        <f>24000*0.4</f>
        <v>9600</v>
      </c>
      <c r="I83" s="19">
        <f t="shared" si="23"/>
        <v>43.835616438356162</v>
      </c>
    </row>
    <row r="84" spans="1:13" s="1" customFormat="1">
      <c r="A84" s="18"/>
      <c r="B84" s="5" t="s">
        <v>106</v>
      </c>
      <c r="C84" s="5" t="s">
        <v>17</v>
      </c>
      <c r="D84" s="5">
        <v>1</v>
      </c>
      <c r="E84" s="7">
        <f>247*8*(A82/1974)</f>
        <v>219.22188449848025</v>
      </c>
      <c r="F84" s="35">
        <f>E84/A82</f>
        <v>1.0010131712259371</v>
      </c>
      <c r="G84" s="49">
        <f t="shared" si="22"/>
        <v>4.5662100456621002E-3</v>
      </c>
      <c r="H84" s="6"/>
      <c r="I84" s="19">
        <f t="shared" si="23"/>
        <v>0</v>
      </c>
    </row>
    <row r="85" spans="1:13" s="1" customFormat="1">
      <c r="A85" s="18"/>
      <c r="B85" s="5" t="s">
        <v>67</v>
      </c>
      <c r="C85" s="5" t="s">
        <v>17</v>
      </c>
      <c r="D85" s="5">
        <v>1</v>
      </c>
      <c r="E85" s="7">
        <f>247*8*(A82/1974)</f>
        <v>219.22188449848025</v>
      </c>
      <c r="F85" s="35">
        <f>E85/A82</f>
        <v>1.0010131712259371</v>
      </c>
      <c r="G85" s="49">
        <f t="shared" si="22"/>
        <v>4.5662100456621002E-3</v>
      </c>
      <c r="H85" s="6">
        <f>(15600+9112)*0.4</f>
        <v>9884.8000000000011</v>
      </c>
      <c r="I85" s="19">
        <f t="shared" si="23"/>
        <v>45.136073059360733</v>
      </c>
    </row>
    <row r="86" spans="1:13" s="1" customFormat="1">
      <c r="A86" s="18"/>
      <c r="B86" s="5" t="s">
        <v>68</v>
      </c>
      <c r="C86" s="5" t="s">
        <v>17</v>
      </c>
      <c r="D86" s="5">
        <v>1</v>
      </c>
      <c r="E86" s="7">
        <f>247*8*(A82/1974)</f>
        <v>219.22188449848025</v>
      </c>
      <c r="F86" s="35">
        <f>E86/A82</f>
        <v>1.0010131712259371</v>
      </c>
      <c r="G86" s="49">
        <f t="shared" si="22"/>
        <v>4.5662100456621002E-3</v>
      </c>
      <c r="H86" s="6">
        <f>111323*0.4</f>
        <v>44529.200000000004</v>
      </c>
      <c r="I86" s="19">
        <f t="shared" si="23"/>
        <v>203.32968036529681</v>
      </c>
    </row>
    <row r="87" spans="1:13" s="1" customFormat="1" ht="15.75" thickBot="1">
      <c r="A87" s="20"/>
      <c r="B87" s="21"/>
      <c r="C87" s="21"/>
      <c r="D87" s="21"/>
      <c r="E87" s="21"/>
      <c r="F87" s="21"/>
      <c r="G87" s="25"/>
      <c r="H87" s="51"/>
      <c r="I87" s="24">
        <f>SUM(I81:I86)</f>
        <v>454.34702762899542</v>
      </c>
      <c r="J87" s="3">
        <f>(111323+15600+9112+20000+24000+68720)*0.4</f>
        <v>99502</v>
      </c>
      <c r="K87" s="1">
        <f>I87*A82</f>
        <v>99501.99905074999</v>
      </c>
    </row>
    <row r="88" spans="1:13">
      <c r="A88" s="13" t="s">
        <v>77</v>
      </c>
      <c r="B88" s="14" t="s">
        <v>54</v>
      </c>
      <c r="C88" s="14" t="s">
        <v>56</v>
      </c>
      <c r="D88" s="14">
        <v>2283.3000000000002</v>
      </c>
      <c r="E88" s="16">
        <f>247*8*(A89/1974)</f>
        <v>188.19047619047618</v>
      </c>
      <c r="F88" s="34">
        <f>E88/A89</f>
        <v>1.0010131712259371</v>
      </c>
      <c r="G88" s="50">
        <f t="shared" ref="G88:G93" si="24">D88/E88*F88</f>
        <v>12.145212765957448</v>
      </c>
      <c r="H88" s="15">
        <v>8.3190340000000003</v>
      </c>
      <c r="I88" s="17">
        <f>H88*G88</f>
        <v>101.03643793723406</v>
      </c>
      <c r="J88" s="3">
        <f>38765*0.49</f>
        <v>18994.849999999999</v>
      </c>
      <c r="K88" s="1">
        <f>I88*A89</f>
        <v>18994.850332200003</v>
      </c>
      <c r="L88" s="3">
        <f>J88-K88</f>
        <v>-3.3220000477740541E-4</v>
      </c>
      <c r="M88" s="1">
        <f>J88/A89/G88</f>
        <v>8.3190338545088238</v>
      </c>
    </row>
    <row r="89" spans="1:13" s="1" customFormat="1" ht="33" customHeight="1">
      <c r="A89" s="18">
        <v>188</v>
      </c>
      <c r="B89" s="44" t="s">
        <v>55</v>
      </c>
      <c r="C89" s="5" t="s">
        <v>17</v>
      </c>
      <c r="D89" s="5">
        <v>1</v>
      </c>
      <c r="E89" s="7">
        <f>247*8*(A89/1974)</f>
        <v>188.19047619047618</v>
      </c>
      <c r="F89" s="35">
        <f>E89/A89</f>
        <v>1.0010131712259371</v>
      </c>
      <c r="G89" s="49">
        <f t="shared" si="24"/>
        <v>5.3191489361702135E-3</v>
      </c>
      <c r="H89" s="6">
        <f>10000*0.49</f>
        <v>4900</v>
      </c>
      <c r="I89" s="19">
        <f t="shared" ref="I89:I93" si="25">H89*G89</f>
        <v>26.063829787234045</v>
      </c>
    </row>
    <row r="90" spans="1:13" s="1" customFormat="1">
      <c r="A90" s="18"/>
      <c r="B90" s="5" t="s">
        <v>58</v>
      </c>
      <c r="C90" s="5" t="s">
        <v>17</v>
      </c>
      <c r="D90" s="5">
        <v>1</v>
      </c>
      <c r="E90" s="7">
        <f>247*8*(A89/1974)</f>
        <v>188.19047619047618</v>
      </c>
      <c r="F90" s="35">
        <f>E90/A89</f>
        <v>1.0010131712259371</v>
      </c>
      <c r="G90" s="49">
        <f t="shared" si="24"/>
        <v>5.3191489361702135E-3</v>
      </c>
      <c r="H90" s="6">
        <f>19000*0.49</f>
        <v>9310</v>
      </c>
      <c r="I90" s="19">
        <f t="shared" si="25"/>
        <v>49.521276595744688</v>
      </c>
    </row>
    <row r="91" spans="1:13" s="1" customFormat="1">
      <c r="A91" s="18"/>
      <c r="B91" s="5" t="s">
        <v>106</v>
      </c>
      <c r="C91" s="5" t="s">
        <v>17</v>
      </c>
      <c r="D91" s="5">
        <v>1</v>
      </c>
      <c r="E91" s="7">
        <f>247*8*(A89/1974)</f>
        <v>188.19047619047618</v>
      </c>
      <c r="F91" s="35">
        <f>E91/A89</f>
        <v>1.0010131712259371</v>
      </c>
      <c r="G91" s="49">
        <f t="shared" si="24"/>
        <v>5.3191489361702135E-3</v>
      </c>
      <c r="H91" s="6"/>
      <c r="I91" s="19">
        <f t="shared" si="25"/>
        <v>0</v>
      </c>
    </row>
    <row r="92" spans="1:13" s="1" customFormat="1">
      <c r="A92" s="18"/>
      <c r="B92" s="5" t="s">
        <v>67</v>
      </c>
      <c r="C92" s="5" t="s">
        <v>17</v>
      </c>
      <c r="D92" s="5">
        <v>1</v>
      </c>
      <c r="E92" s="7">
        <f>247*8*(A89/1974)</f>
        <v>188.19047619047618</v>
      </c>
      <c r="F92" s="35">
        <f>E92/A89</f>
        <v>1.0010131712259371</v>
      </c>
      <c r="G92" s="49">
        <f t="shared" si="24"/>
        <v>5.3191489361702135E-3</v>
      </c>
      <c r="H92" s="6">
        <f>(15600+4545+2700)*0.49</f>
        <v>11194.05</v>
      </c>
      <c r="I92" s="19">
        <f t="shared" si="25"/>
        <v>59.542819148936175</v>
      </c>
    </row>
    <row r="93" spans="1:13" s="1" customFormat="1">
      <c r="A93" s="18"/>
      <c r="B93" s="5" t="s">
        <v>68</v>
      </c>
      <c r="C93" s="5" t="s">
        <v>17</v>
      </c>
      <c r="D93" s="5">
        <v>1</v>
      </c>
      <c r="E93" s="7">
        <f>247*8*(A89/1974)</f>
        <v>188.19047619047618</v>
      </c>
      <c r="F93" s="35">
        <f>E93/A89</f>
        <v>1.0010131712259371</v>
      </c>
      <c r="G93" s="49">
        <f t="shared" si="24"/>
        <v>5.3191489361702135E-3</v>
      </c>
      <c r="H93" s="6">
        <f>51492*0.49</f>
        <v>25231.079999999998</v>
      </c>
      <c r="I93" s="19">
        <f t="shared" si="25"/>
        <v>134.20787234042555</v>
      </c>
    </row>
    <row r="94" spans="1:13" s="1" customFormat="1" ht="15.75" thickBot="1">
      <c r="A94" s="20"/>
      <c r="B94" s="21"/>
      <c r="C94" s="21"/>
      <c r="D94" s="21"/>
      <c r="E94" s="21"/>
      <c r="F94" s="21"/>
      <c r="G94" s="25"/>
      <c r="H94" s="51"/>
      <c r="I94" s="24">
        <f>SUM(I88:I93)</f>
        <v>370.37223580957448</v>
      </c>
      <c r="J94" s="3">
        <f>(51492+15600+4545+2700+29000+38765)*0.49</f>
        <v>69629.98</v>
      </c>
      <c r="K94" s="1">
        <f>I94*A89</f>
        <v>69629.980332200008</v>
      </c>
    </row>
    <row r="95" spans="1:13">
      <c r="A95" s="13" t="s">
        <v>78</v>
      </c>
      <c r="B95" s="14" t="s">
        <v>54</v>
      </c>
      <c r="C95" s="14" t="s">
        <v>56</v>
      </c>
      <c r="D95" s="14">
        <v>6105.7</v>
      </c>
      <c r="E95" s="16">
        <f>247*8*(A96/1974)</f>
        <v>370.37487335359674</v>
      </c>
      <c r="F95" s="34">
        <f>E95/A96</f>
        <v>1.0010131712259371</v>
      </c>
      <c r="G95" s="50">
        <f t="shared" ref="G95:G100" si="26">D95/E95*F95</f>
        <v>16.501891891891891</v>
      </c>
      <c r="H95" s="15">
        <v>8.1491589999999992</v>
      </c>
      <c r="I95" s="17">
        <f>H95*G95</f>
        <v>134.47654082783782</v>
      </c>
      <c r="J95" s="3">
        <f>103659*0.48</f>
        <v>49756.32</v>
      </c>
      <c r="K95" s="1">
        <f>I95*A96</f>
        <v>49756.320106299994</v>
      </c>
      <c r="L95" s="3">
        <f>J95-K95</f>
        <v>-1.0629999451339245E-4</v>
      </c>
      <c r="M95" s="1">
        <f>J95/A96/G95</f>
        <v>8.1491589825900377</v>
      </c>
    </row>
    <row r="96" spans="1:13" s="1" customFormat="1" ht="33" customHeight="1">
      <c r="A96" s="18">
        <v>370</v>
      </c>
      <c r="B96" s="44" t="s">
        <v>55</v>
      </c>
      <c r="C96" s="5" t="s">
        <v>17</v>
      </c>
      <c r="D96" s="5">
        <v>1</v>
      </c>
      <c r="E96" s="7">
        <f>247*8*(A96/1974)</f>
        <v>370.37487335359674</v>
      </c>
      <c r="F96" s="35">
        <f>E96/A96</f>
        <v>1.0010131712259371</v>
      </c>
      <c r="G96" s="49">
        <f t="shared" si="26"/>
        <v>2.7027027027027029E-3</v>
      </c>
      <c r="H96" s="6">
        <f>30000*0.48</f>
        <v>14400</v>
      </c>
      <c r="I96" s="19">
        <f t="shared" ref="I96:I100" si="27">H96*G96</f>
        <v>38.918918918918919</v>
      </c>
    </row>
    <row r="97" spans="1:13" s="1" customFormat="1">
      <c r="A97" s="18"/>
      <c r="B97" s="5" t="s">
        <v>58</v>
      </c>
      <c r="C97" s="5" t="s">
        <v>17</v>
      </c>
      <c r="D97" s="5">
        <v>1</v>
      </c>
      <c r="E97" s="7">
        <f>247*8*(A96/1974)</f>
        <v>370.37487335359674</v>
      </c>
      <c r="F97" s="35">
        <f>E97/A96</f>
        <v>1.0010131712259371</v>
      </c>
      <c r="G97" s="49">
        <f t="shared" si="26"/>
        <v>2.7027027027027029E-3</v>
      </c>
      <c r="H97" s="6">
        <f>31000*0.48</f>
        <v>14880</v>
      </c>
      <c r="I97" s="19">
        <f t="shared" si="27"/>
        <v>40.216216216216218</v>
      </c>
    </row>
    <row r="98" spans="1:13" s="1" customFormat="1">
      <c r="A98" s="18"/>
      <c r="B98" s="5" t="s">
        <v>106</v>
      </c>
      <c r="C98" s="5" t="s">
        <v>17</v>
      </c>
      <c r="D98" s="5">
        <v>1</v>
      </c>
      <c r="E98" s="7">
        <f>247*8*(A96/1974)</f>
        <v>370.37487335359674</v>
      </c>
      <c r="F98" s="35">
        <f>E98/A96</f>
        <v>1.0010131712259371</v>
      </c>
      <c r="G98" s="49">
        <f t="shared" si="26"/>
        <v>2.7027027027027029E-3</v>
      </c>
      <c r="H98" s="6">
        <f>10000*0.48</f>
        <v>4800</v>
      </c>
      <c r="I98" s="19">
        <f t="shared" si="27"/>
        <v>12.972972972972974</v>
      </c>
    </row>
    <row r="99" spans="1:13" s="1" customFormat="1">
      <c r="A99" s="18"/>
      <c r="B99" s="5" t="s">
        <v>67</v>
      </c>
      <c r="C99" s="5" t="s">
        <v>17</v>
      </c>
      <c r="D99" s="5">
        <v>1</v>
      </c>
      <c r="E99" s="7">
        <f>247*8*(A96/1974)</f>
        <v>370.37487335359674</v>
      </c>
      <c r="F99" s="35">
        <f>E99/A96</f>
        <v>1.0010131712259371</v>
      </c>
      <c r="G99" s="49">
        <f t="shared" si="26"/>
        <v>2.7027027027027029E-3</v>
      </c>
      <c r="H99" s="6">
        <f>(15600+7894+450)*0.48</f>
        <v>11493.119999999999</v>
      </c>
      <c r="I99" s="19">
        <f t="shared" si="27"/>
        <v>31.062486486486485</v>
      </c>
    </row>
    <row r="100" spans="1:13" s="1" customFormat="1">
      <c r="A100" s="18"/>
      <c r="B100" s="5" t="s">
        <v>68</v>
      </c>
      <c r="C100" s="5" t="s">
        <v>17</v>
      </c>
      <c r="D100" s="5">
        <v>1</v>
      </c>
      <c r="E100" s="7">
        <f>247*8*(A96/1974)</f>
        <v>370.37487335359674</v>
      </c>
      <c r="F100" s="35">
        <f>E100/A96</f>
        <v>1.0010131712259371</v>
      </c>
      <c r="G100" s="49">
        <f t="shared" si="26"/>
        <v>2.7027027027027029E-3</v>
      </c>
      <c r="H100" s="6">
        <f>(14700+90133)*0.48</f>
        <v>50319.839999999997</v>
      </c>
      <c r="I100" s="19">
        <f t="shared" si="27"/>
        <v>135.99956756756757</v>
      </c>
    </row>
    <row r="101" spans="1:13" s="1" customFormat="1" ht="15.75" thickBot="1">
      <c r="A101" s="20"/>
      <c r="B101" s="21"/>
      <c r="C101" s="21"/>
      <c r="D101" s="21"/>
      <c r="E101" s="21"/>
      <c r="F101" s="21"/>
      <c r="G101" s="25"/>
      <c r="H101" s="51"/>
      <c r="I101" s="24">
        <f>SUM(I95:I100)</f>
        <v>393.64670298999999</v>
      </c>
      <c r="J101" s="3">
        <f>(14700+90133+15600+7894+30000+31000+103659+10000+450)*0.48</f>
        <v>145649.28</v>
      </c>
      <c r="K101" s="1">
        <f>I101*A96</f>
        <v>145649.28010629999</v>
      </c>
    </row>
    <row r="102" spans="1:13">
      <c r="A102" s="13" t="s">
        <v>79</v>
      </c>
      <c r="B102" s="14" t="s">
        <v>54</v>
      </c>
      <c r="C102" s="14" t="s">
        <v>56</v>
      </c>
      <c r="D102" s="14">
        <v>7407.6</v>
      </c>
      <c r="E102" s="16">
        <f>247*8*(A103/1974)</f>
        <v>370.37487335359674</v>
      </c>
      <c r="F102" s="34">
        <f>E102/A103</f>
        <v>1.0010131712259371</v>
      </c>
      <c r="G102" s="50">
        <f t="shared" ref="G102:G107" si="28">D102/E102*F102</f>
        <v>20.020540540540541</v>
      </c>
      <c r="H102" s="15">
        <v>7.3002940000000001</v>
      </c>
      <c r="I102" s="17">
        <f>H102*G102</f>
        <v>146.15583198486488</v>
      </c>
      <c r="J102" s="3">
        <f>125762*0.43</f>
        <v>54077.659999999996</v>
      </c>
      <c r="K102" s="1">
        <f>I102*A103</f>
        <v>54077.657834400001</v>
      </c>
      <c r="L102" s="3">
        <f>J102-K102</f>
        <v>2.1655999953509308E-3</v>
      </c>
      <c r="M102" s="1">
        <f>J102/A103/G102</f>
        <v>7.300294292348398</v>
      </c>
    </row>
    <row r="103" spans="1:13" s="1" customFormat="1" ht="33" customHeight="1">
      <c r="A103" s="18">
        <v>370</v>
      </c>
      <c r="B103" s="44" t="s">
        <v>55</v>
      </c>
      <c r="C103" s="5" t="s">
        <v>17</v>
      </c>
      <c r="D103" s="5">
        <v>1</v>
      </c>
      <c r="E103" s="7">
        <f>247*8*(A103/1974)</f>
        <v>370.37487335359674</v>
      </c>
      <c r="F103" s="35">
        <f>E103/A103</f>
        <v>1.0010131712259371</v>
      </c>
      <c r="G103" s="49">
        <f t="shared" si="28"/>
        <v>2.7027027027027029E-3</v>
      </c>
      <c r="H103" s="6">
        <f>30000*0.43</f>
        <v>12900</v>
      </c>
      <c r="I103" s="19">
        <f t="shared" ref="I103:I107" si="29">H103*G103</f>
        <v>34.86486486486487</v>
      </c>
    </row>
    <row r="104" spans="1:13" s="1" customFormat="1">
      <c r="A104" s="18"/>
      <c r="B104" s="5" t="s">
        <v>58</v>
      </c>
      <c r="C104" s="5" t="s">
        <v>17</v>
      </c>
      <c r="D104" s="5">
        <v>1</v>
      </c>
      <c r="E104" s="7">
        <f>247*8*(A103/1974)</f>
        <v>370.37487335359674</v>
      </c>
      <c r="F104" s="35">
        <f>E104/A103</f>
        <v>1.0010131712259371</v>
      </c>
      <c r="G104" s="49">
        <f t="shared" si="28"/>
        <v>2.7027027027027029E-3</v>
      </c>
      <c r="H104" s="6">
        <f>35000*0.43</f>
        <v>15050</v>
      </c>
      <c r="I104" s="19">
        <f t="shared" si="29"/>
        <v>40.675675675675677</v>
      </c>
    </row>
    <row r="105" spans="1:13" s="1" customFormat="1">
      <c r="A105" s="18"/>
      <c r="B105" s="5" t="s">
        <v>106</v>
      </c>
      <c r="C105" s="5" t="s">
        <v>17</v>
      </c>
      <c r="D105" s="5">
        <v>1</v>
      </c>
      <c r="E105" s="7">
        <f>247*8*(A103/1974)</f>
        <v>370.37487335359674</v>
      </c>
      <c r="F105" s="35">
        <f>E105/A103</f>
        <v>1.0010131712259371</v>
      </c>
      <c r="G105" s="49">
        <f t="shared" si="28"/>
        <v>2.7027027027027029E-3</v>
      </c>
      <c r="H105" s="6"/>
      <c r="I105" s="19">
        <f t="shared" si="29"/>
        <v>0</v>
      </c>
    </row>
    <row r="106" spans="1:13" s="1" customFormat="1">
      <c r="A106" s="18"/>
      <c r="B106" s="5" t="s">
        <v>67</v>
      </c>
      <c r="C106" s="5" t="s">
        <v>17</v>
      </c>
      <c r="D106" s="5">
        <v>1</v>
      </c>
      <c r="E106" s="7">
        <f>247*8*(A103/1974)</f>
        <v>370.37487335359674</v>
      </c>
      <c r="F106" s="35">
        <f>E106/A103</f>
        <v>1.0010131712259371</v>
      </c>
      <c r="G106" s="49">
        <f t="shared" si="28"/>
        <v>2.7027027027027029E-3</v>
      </c>
      <c r="H106" s="6">
        <f>(23400+8807+1350)*0.43</f>
        <v>14429.51</v>
      </c>
      <c r="I106" s="19">
        <f t="shared" si="29"/>
        <v>38.998675675675678</v>
      </c>
    </row>
    <row r="107" spans="1:13" s="1" customFormat="1">
      <c r="A107" s="18"/>
      <c r="B107" s="5" t="s">
        <v>68</v>
      </c>
      <c r="C107" s="5" t="s">
        <v>17</v>
      </c>
      <c r="D107" s="5">
        <v>1</v>
      </c>
      <c r="E107" s="7">
        <f>247*8*(A103/1974)</f>
        <v>370.37487335359674</v>
      </c>
      <c r="F107" s="35">
        <f>E107/A103</f>
        <v>1.0010131712259371</v>
      </c>
      <c r="G107" s="49">
        <f t="shared" si="28"/>
        <v>2.7027027027027029E-3</v>
      </c>
      <c r="H107" s="6">
        <f>104090*0.43</f>
        <v>44758.7</v>
      </c>
      <c r="I107" s="19">
        <f t="shared" si="29"/>
        <v>120.96945945945946</v>
      </c>
    </row>
    <row r="108" spans="1:13" s="1" customFormat="1" ht="15.75" thickBot="1">
      <c r="A108" s="20"/>
      <c r="B108" s="21"/>
      <c r="C108" s="21"/>
      <c r="D108" s="21"/>
      <c r="E108" s="21"/>
      <c r="F108" s="21"/>
      <c r="G108" s="25"/>
      <c r="H108" s="51"/>
      <c r="I108" s="24">
        <f>SUM(I102:I107)</f>
        <v>381.66450766054055</v>
      </c>
      <c r="J108" s="3">
        <f>(104090+23400+8807+1350+65000+125762)*0.43</f>
        <v>141215.87</v>
      </c>
      <c r="K108" s="1">
        <f>I108*A103</f>
        <v>141215.86783440001</v>
      </c>
    </row>
    <row r="109" spans="1:13">
      <c r="A109" s="13" t="s">
        <v>80</v>
      </c>
      <c r="B109" s="14" t="s">
        <v>54</v>
      </c>
      <c r="C109" s="14" t="s">
        <v>56</v>
      </c>
      <c r="D109" s="14">
        <v>3950.4</v>
      </c>
      <c r="E109" s="16">
        <f>247*8*(A110/1974)</f>
        <v>244.24721377912866</v>
      </c>
      <c r="F109" s="34">
        <f>E109/A110</f>
        <v>1.0010131712259371</v>
      </c>
      <c r="G109" s="50">
        <f t="shared" ref="G109:G114" si="30">D109/E109*F109</f>
        <v>16.190163934426231</v>
      </c>
      <c r="H109" s="15">
        <v>6.9132040000000003</v>
      </c>
      <c r="I109" s="17">
        <f>H109*G109</f>
        <v>111.92590607213116</v>
      </c>
      <c r="J109" s="3">
        <f>62068*0.44</f>
        <v>27309.920000000002</v>
      </c>
      <c r="K109" s="1">
        <f>I109*A110</f>
        <v>27309.921081600001</v>
      </c>
      <c r="L109" s="3">
        <f>J109-K109</f>
        <v>-1.0815999994520098E-3</v>
      </c>
      <c r="M109" s="1">
        <f>J109/A110/G109</f>
        <v>6.9132037262049417</v>
      </c>
    </row>
    <row r="110" spans="1:13" s="1" customFormat="1" ht="33" customHeight="1">
      <c r="A110" s="18">
        <v>244</v>
      </c>
      <c r="B110" s="44" t="s">
        <v>55</v>
      </c>
      <c r="C110" s="5" t="s">
        <v>17</v>
      </c>
      <c r="D110" s="5">
        <v>1</v>
      </c>
      <c r="E110" s="7">
        <f>247*8*(A110/1974)</f>
        <v>244.24721377912866</v>
      </c>
      <c r="F110" s="35">
        <f>E110/A110</f>
        <v>1.0010131712259371</v>
      </c>
      <c r="G110" s="49">
        <f t="shared" si="30"/>
        <v>4.0983606557377051E-3</v>
      </c>
      <c r="H110" s="6">
        <f>20000*0.44</f>
        <v>8800</v>
      </c>
      <c r="I110" s="19">
        <f t="shared" ref="I110:I114" si="31">H110*G110</f>
        <v>36.065573770491802</v>
      </c>
    </row>
    <row r="111" spans="1:13" s="1" customFormat="1">
      <c r="A111" s="18"/>
      <c r="B111" s="5" t="s">
        <v>58</v>
      </c>
      <c r="C111" s="5" t="s">
        <v>17</v>
      </c>
      <c r="D111" s="5">
        <v>1</v>
      </c>
      <c r="E111" s="7">
        <f>247*8*(A110/1974)</f>
        <v>244.24721377912866</v>
      </c>
      <c r="F111" s="35">
        <f>E111/A110</f>
        <v>1.0010131712259371</v>
      </c>
      <c r="G111" s="49">
        <f t="shared" si="30"/>
        <v>4.0983606557377051E-3</v>
      </c>
      <c r="H111" s="6">
        <f>19000*0.44</f>
        <v>8360</v>
      </c>
      <c r="I111" s="19">
        <f t="shared" si="31"/>
        <v>34.262295081967217</v>
      </c>
    </row>
    <row r="112" spans="1:13" s="1" customFormat="1">
      <c r="A112" s="18"/>
      <c r="B112" s="5" t="s">
        <v>106</v>
      </c>
      <c r="C112" s="5" t="s">
        <v>17</v>
      </c>
      <c r="D112" s="5">
        <v>1</v>
      </c>
      <c r="E112" s="7">
        <f>247*8*(A110/1974)</f>
        <v>244.24721377912866</v>
      </c>
      <c r="F112" s="35">
        <f>E112/A110</f>
        <v>1.0010131712259371</v>
      </c>
      <c r="G112" s="49">
        <f t="shared" si="30"/>
        <v>4.0983606557377051E-3</v>
      </c>
      <c r="H112" s="6">
        <f>10000*0.44</f>
        <v>4400</v>
      </c>
      <c r="I112" s="19">
        <f t="shared" si="31"/>
        <v>18.032786885245901</v>
      </c>
    </row>
    <row r="113" spans="1:13" s="1" customFormat="1">
      <c r="A113" s="18"/>
      <c r="B113" s="5" t="s">
        <v>67</v>
      </c>
      <c r="C113" s="5" t="s">
        <v>17</v>
      </c>
      <c r="D113" s="5">
        <v>1</v>
      </c>
      <c r="E113" s="7">
        <f>247*8*(A110/1974)</f>
        <v>244.24721377912866</v>
      </c>
      <c r="F113" s="35">
        <f>E113/A110</f>
        <v>1.0010131712259371</v>
      </c>
      <c r="G113" s="49">
        <f t="shared" si="30"/>
        <v>4.0983606557377051E-3</v>
      </c>
      <c r="H113" s="6">
        <f>(15600+7285+450)*0.44</f>
        <v>10267.4</v>
      </c>
      <c r="I113" s="19">
        <f t="shared" si="31"/>
        <v>42.079508196721314</v>
      </c>
    </row>
    <row r="114" spans="1:13" s="1" customFormat="1">
      <c r="A114" s="18"/>
      <c r="B114" s="5" t="s">
        <v>68</v>
      </c>
      <c r="C114" s="5" t="s">
        <v>17</v>
      </c>
      <c r="D114" s="5">
        <v>1</v>
      </c>
      <c r="E114" s="7">
        <f>247*8*(A110/1974)</f>
        <v>244.24721377912866</v>
      </c>
      <c r="F114" s="35">
        <f>E114/A110</f>
        <v>1.0010131712259371</v>
      </c>
      <c r="G114" s="49">
        <f t="shared" si="30"/>
        <v>4.0983606557377051E-3</v>
      </c>
      <c r="H114" s="6">
        <f>(14280+81197)*0.44</f>
        <v>42009.88</v>
      </c>
      <c r="I114" s="19">
        <f t="shared" si="31"/>
        <v>172.1716393442623</v>
      </c>
    </row>
    <row r="115" spans="1:13" s="1" customFormat="1" ht="15.75" thickBot="1">
      <c r="A115" s="20"/>
      <c r="B115" s="21"/>
      <c r="C115" s="21"/>
      <c r="D115" s="21"/>
      <c r="E115" s="21"/>
      <c r="F115" s="21"/>
      <c r="G115" s="25"/>
      <c r="H115" s="51"/>
      <c r="I115" s="24">
        <f>SUM(I109:I114)</f>
        <v>414.53770935081968</v>
      </c>
      <c r="J115" s="3">
        <f>(14280+81197+15600+7285+450+20000+19000+62068+10000)*0.44</f>
        <v>101147.2</v>
      </c>
      <c r="K115" s="1">
        <f>I115*A110</f>
        <v>101147.2010816</v>
      </c>
    </row>
    <row r="116" spans="1:13">
      <c r="A116" s="13" t="s">
        <v>81</v>
      </c>
      <c r="B116" s="14" t="s">
        <v>54</v>
      </c>
      <c r="C116" s="14" t="s">
        <v>56</v>
      </c>
      <c r="D116" s="14">
        <v>6310.1</v>
      </c>
      <c r="E116" s="16">
        <f>247*8*(A117/1974)</f>
        <v>433.4387031408308</v>
      </c>
      <c r="F116" s="34">
        <f>E116/A117</f>
        <v>1.0010131712259371</v>
      </c>
      <c r="G116" s="50">
        <f t="shared" ref="G116:G121" si="32">D116/E116*F116</f>
        <v>14.572979214780601</v>
      </c>
      <c r="H116" s="15">
        <v>8.1491450000000007</v>
      </c>
      <c r="I116" s="17">
        <f>H116*G116</f>
        <v>118.75732070323326</v>
      </c>
      <c r="J116" s="3">
        <f>107129*0.48</f>
        <v>51421.919999999998</v>
      </c>
      <c r="K116" s="1">
        <f>I116*A117</f>
        <v>51421.9198645</v>
      </c>
      <c r="L116" s="3">
        <f>J116-K116</f>
        <v>1.3549999857787043E-4</v>
      </c>
      <c r="M116" s="1">
        <f>J116/A117/G116</f>
        <v>8.1491450214735099</v>
      </c>
    </row>
    <row r="117" spans="1:13" s="1" customFormat="1" ht="33" customHeight="1">
      <c r="A117" s="18">
        <v>433</v>
      </c>
      <c r="B117" s="44" t="s">
        <v>55</v>
      </c>
      <c r="C117" s="5" t="s">
        <v>17</v>
      </c>
      <c r="D117" s="5">
        <v>1</v>
      </c>
      <c r="E117" s="7">
        <f>247*8*(A117/1974)</f>
        <v>433.4387031408308</v>
      </c>
      <c r="F117" s="35">
        <f>E117/A117</f>
        <v>1.0010131712259371</v>
      </c>
      <c r="G117" s="49">
        <f t="shared" si="32"/>
        <v>2.3094688221709007E-3</v>
      </c>
      <c r="H117" s="6">
        <f>40000*0.48</f>
        <v>19200</v>
      </c>
      <c r="I117" s="19">
        <f t="shared" ref="I117:I121" si="33">H117*G117</f>
        <v>44.341801385681293</v>
      </c>
    </row>
    <row r="118" spans="1:13" s="1" customFormat="1">
      <c r="A118" s="18"/>
      <c r="B118" s="5" t="s">
        <v>58</v>
      </c>
      <c r="C118" s="5" t="s">
        <v>17</v>
      </c>
      <c r="D118" s="5">
        <v>1</v>
      </c>
      <c r="E118" s="7">
        <f>247*8*(A117/1974)</f>
        <v>433.4387031408308</v>
      </c>
      <c r="F118" s="35">
        <f>E118/A117</f>
        <v>1.0010131712259371</v>
      </c>
      <c r="G118" s="49">
        <f t="shared" si="32"/>
        <v>2.3094688221709007E-3</v>
      </c>
      <c r="H118" s="6">
        <f>36000*0.48</f>
        <v>17280</v>
      </c>
      <c r="I118" s="19">
        <f t="shared" si="33"/>
        <v>39.907621247113163</v>
      </c>
    </row>
    <row r="119" spans="1:13" s="1" customFormat="1">
      <c r="A119" s="18"/>
      <c r="B119" s="5" t="s">
        <v>106</v>
      </c>
      <c r="C119" s="5" t="s">
        <v>17</v>
      </c>
      <c r="D119" s="5">
        <v>1</v>
      </c>
      <c r="E119" s="7">
        <f>247*8*(A117/1974)</f>
        <v>433.4387031408308</v>
      </c>
      <c r="F119" s="35">
        <f>E119/A117</f>
        <v>1.0010131712259371</v>
      </c>
      <c r="G119" s="49">
        <f t="shared" si="32"/>
        <v>2.3094688221709007E-3</v>
      </c>
      <c r="H119" s="6"/>
      <c r="I119" s="19">
        <f t="shared" si="33"/>
        <v>0</v>
      </c>
    </row>
    <row r="120" spans="1:13" s="1" customFormat="1">
      <c r="A120" s="18"/>
      <c r="B120" s="5" t="s">
        <v>67</v>
      </c>
      <c r="C120" s="5" t="s">
        <v>17</v>
      </c>
      <c r="D120" s="5">
        <v>1</v>
      </c>
      <c r="E120" s="7">
        <f>247*8*(A117/1974)</f>
        <v>433.4387031408308</v>
      </c>
      <c r="F120" s="35">
        <f>E120/A117</f>
        <v>1.0010131712259371</v>
      </c>
      <c r="G120" s="49">
        <f t="shared" si="32"/>
        <v>2.3094688221709007E-3</v>
      </c>
      <c r="H120" s="6">
        <f>(15600+8503)*0.48</f>
        <v>11569.439999999999</v>
      </c>
      <c r="I120" s="19">
        <f t="shared" si="33"/>
        <v>26.719260969976901</v>
      </c>
    </row>
    <row r="121" spans="1:13" s="1" customFormat="1">
      <c r="A121" s="18"/>
      <c r="B121" s="5" t="s">
        <v>68</v>
      </c>
      <c r="C121" s="5" t="s">
        <v>17</v>
      </c>
      <c r="D121" s="5">
        <v>1</v>
      </c>
      <c r="E121" s="7">
        <f>247*8*(A117/1974)</f>
        <v>433.4387031408308</v>
      </c>
      <c r="F121" s="35">
        <f>E121/A117</f>
        <v>1.0010131712259371</v>
      </c>
      <c r="G121" s="49">
        <f t="shared" si="32"/>
        <v>2.3094688221709007E-3</v>
      </c>
      <c r="H121" s="6">
        <f>97963*0.48</f>
        <v>47022.239999999998</v>
      </c>
      <c r="I121" s="19">
        <f t="shared" si="33"/>
        <v>108.5963972286374</v>
      </c>
    </row>
    <row r="122" spans="1:13" s="1" customFormat="1" ht="15.75" thickBot="1">
      <c r="A122" s="20"/>
      <c r="B122" s="21"/>
      <c r="C122" s="21"/>
      <c r="D122" s="21"/>
      <c r="E122" s="21"/>
      <c r="F122" s="21"/>
      <c r="G122" s="25"/>
      <c r="H122" s="51"/>
      <c r="I122" s="24">
        <f>SUM(I116:I121)</f>
        <v>338.32240153464198</v>
      </c>
      <c r="J122" s="3">
        <f>(97963+15600+8503+40000+36000+107129)*0.48</f>
        <v>146493.6</v>
      </c>
      <c r="K122" s="1">
        <f>I122*A117</f>
        <v>146493.59986449999</v>
      </c>
    </row>
    <row r="123" spans="1:13">
      <c r="A123" s="13" t="s">
        <v>82</v>
      </c>
      <c r="B123" s="14" t="s">
        <v>54</v>
      </c>
      <c r="C123" s="14" t="s">
        <v>56</v>
      </c>
      <c r="D123" s="14">
        <v>4100.8999999999996</v>
      </c>
      <c r="E123" s="16">
        <f>247*8*(A124/1974)</f>
        <v>103.10435663627153</v>
      </c>
      <c r="F123" s="34">
        <f>E123/A124</f>
        <v>1.0010131712259371</v>
      </c>
      <c r="G123" s="50">
        <f t="shared" ref="G123:G128" si="34">D123/E123*F123</f>
        <v>39.814563106796115</v>
      </c>
      <c r="H123" s="15">
        <v>7.6398720000000004</v>
      </c>
      <c r="I123" s="17">
        <f>H123*G123</f>
        <v>304.17816587184467</v>
      </c>
      <c r="J123" s="3">
        <f>69623*0.45</f>
        <v>31330.350000000002</v>
      </c>
      <c r="K123" s="1">
        <f>I123*A124</f>
        <v>31330.351084800001</v>
      </c>
      <c r="L123" s="3">
        <f>J123-K123</f>
        <v>-1.0847999983525369E-3</v>
      </c>
      <c r="M123" s="1">
        <f>J123/A124/G123</f>
        <v>7.6398717354727026</v>
      </c>
    </row>
    <row r="124" spans="1:13" s="1" customFormat="1" ht="33" customHeight="1">
      <c r="A124" s="18">
        <v>103</v>
      </c>
      <c r="B124" s="44" t="s">
        <v>55</v>
      </c>
      <c r="C124" s="5" t="s">
        <v>17</v>
      </c>
      <c r="D124" s="5">
        <v>1</v>
      </c>
      <c r="E124" s="7">
        <f>247*8*(A124/1974)</f>
        <v>103.10435663627153</v>
      </c>
      <c r="F124" s="35">
        <f>E124/A124</f>
        <v>1.0010131712259371</v>
      </c>
      <c r="G124" s="49">
        <f t="shared" si="34"/>
        <v>9.7087378640776708E-3</v>
      </c>
      <c r="H124" s="6">
        <f>10000*0.45</f>
        <v>4500</v>
      </c>
      <c r="I124" s="19">
        <f t="shared" ref="I124:I128" si="35">H124*G124</f>
        <v>43.689320388349522</v>
      </c>
    </row>
    <row r="125" spans="1:13" s="1" customFormat="1">
      <c r="A125" s="18"/>
      <c r="B125" s="5" t="s">
        <v>58</v>
      </c>
      <c r="C125" s="5" t="s">
        <v>17</v>
      </c>
      <c r="D125" s="5">
        <v>1</v>
      </c>
      <c r="E125" s="7">
        <f>247*8*(A124/1974)</f>
        <v>103.10435663627153</v>
      </c>
      <c r="F125" s="35">
        <f>E125/A124</f>
        <v>1.0010131712259371</v>
      </c>
      <c r="G125" s="49">
        <f t="shared" si="34"/>
        <v>9.7087378640776708E-3</v>
      </c>
      <c r="H125" s="6">
        <f>11000*0.45</f>
        <v>4950</v>
      </c>
      <c r="I125" s="19">
        <f t="shared" si="35"/>
        <v>48.05825242718447</v>
      </c>
    </row>
    <row r="126" spans="1:13" s="1" customFormat="1">
      <c r="A126" s="18"/>
      <c r="B126" s="5" t="s">
        <v>106</v>
      </c>
      <c r="C126" s="5" t="s">
        <v>17</v>
      </c>
      <c r="D126" s="5">
        <v>1</v>
      </c>
      <c r="E126" s="7">
        <f>247*8*(A124/1974)</f>
        <v>103.10435663627153</v>
      </c>
      <c r="F126" s="35">
        <f>E126/A124</f>
        <v>1.0010131712259371</v>
      </c>
      <c r="G126" s="49">
        <f t="shared" si="34"/>
        <v>9.7087378640776708E-3</v>
      </c>
      <c r="H126" s="6"/>
      <c r="I126" s="19">
        <f t="shared" si="35"/>
        <v>0</v>
      </c>
    </row>
    <row r="127" spans="1:13" s="1" customFormat="1">
      <c r="A127" s="18"/>
      <c r="B127" s="5" t="s">
        <v>67</v>
      </c>
      <c r="C127" s="5" t="s">
        <v>17</v>
      </c>
      <c r="D127" s="5">
        <v>1</v>
      </c>
      <c r="E127" s="7">
        <f>247*8*(A124/1974)</f>
        <v>103.10435663627153</v>
      </c>
      <c r="F127" s="35">
        <f>E127/A124</f>
        <v>1.0010131712259371</v>
      </c>
      <c r="G127" s="49">
        <f t="shared" si="34"/>
        <v>9.7087378640776708E-3</v>
      </c>
      <c r="H127" s="6">
        <f>(15600+4240+2700)*0.45</f>
        <v>10143</v>
      </c>
      <c r="I127" s="19">
        <f t="shared" si="35"/>
        <v>98.475728155339809</v>
      </c>
    </row>
    <row r="128" spans="1:13" s="1" customFormat="1">
      <c r="A128" s="18"/>
      <c r="B128" s="5" t="s">
        <v>68</v>
      </c>
      <c r="C128" s="5" t="s">
        <v>17</v>
      </c>
      <c r="D128" s="5">
        <v>1</v>
      </c>
      <c r="E128" s="7">
        <f>247*8*(A124/1974)</f>
        <v>103.10435663627153</v>
      </c>
      <c r="F128" s="35">
        <f>E128/A124</f>
        <v>1.0010131712259371</v>
      </c>
      <c r="G128" s="49">
        <f t="shared" si="34"/>
        <v>9.7087378640776708E-3</v>
      </c>
      <c r="H128" s="6">
        <f>46471*0.45</f>
        <v>20911.95</v>
      </c>
      <c r="I128" s="19">
        <f t="shared" si="35"/>
        <v>203.02864077669906</v>
      </c>
    </row>
    <row r="129" spans="1:20" s="1" customFormat="1" ht="15.75" thickBot="1">
      <c r="A129" s="20"/>
      <c r="B129" s="21"/>
      <c r="C129" s="21"/>
      <c r="D129" s="21"/>
      <c r="E129" s="21"/>
      <c r="F129" s="21"/>
      <c r="G129" s="25"/>
      <c r="H129" s="51"/>
      <c r="I129" s="24">
        <f>SUM(I123:I128)</f>
        <v>697.43010761941753</v>
      </c>
      <c r="J129" s="3">
        <f>(46471+15600+4240+2700+10000+11000+69623)*0.45</f>
        <v>71835.3</v>
      </c>
      <c r="K129" s="1">
        <f>I129*A124</f>
        <v>71835.301084800012</v>
      </c>
    </row>
    <row r="130" spans="1:20">
      <c r="A130" s="13" t="s">
        <v>83</v>
      </c>
      <c r="B130" s="14" t="s">
        <v>54</v>
      </c>
      <c r="C130" s="14" t="s">
        <v>56</v>
      </c>
      <c r="D130" s="14">
        <v>2611.1999999999998</v>
      </c>
      <c r="E130" s="16">
        <f>247*8*(A131/1974)</f>
        <v>115.11651469098277</v>
      </c>
      <c r="F130" s="34">
        <f>E130/A131</f>
        <v>1.0010131712259371</v>
      </c>
      <c r="G130" s="50">
        <f t="shared" ref="G130:G135" si="36">D130/E130*F130</f>
        <v>22.706086956521737</v>
      </c>
      <c r="H130" s="15">
        <v>8.1490810000000007</v>
      </c>
      <c r="I130" s="17">
        <f>H130*G130</f>
        <v>185.03374180173913</v>
      </c>
      <c r="J130" s="3">
        <f>44331*0.48</f>
        <v>21278.880000000001</v>
      </c>
      <c r="K130" s="1">
        <f>I130*A131</f>
        <v>21278.880307200001</v>
      </c>
      <c r="L130" s="3">
        <f>J130-K130</f>
        <v>-3.0719999995199032E-4</v>
      </c>
      <c r="M130" s="1">
        <f>J130/A131/G130</f>
        <v>8.1490808823529424</v>
      </c>
    </row>
    <row r="131" spans="1:20" s="1" customFormat="1" ht="33" customHeight="1">
      <c r="A131" s="18">
        <v>115</v>
      </c>
      <c r="B131" s="44" t="s">
        <v>55</v>
      </c>
      <c r="C131" s="5" t="s">
        <v>17</v>
      </c>
      <c r="D131" s="5">
        <v>1</v>
      </c>
      <c r="E131" s="7">
        <f>247*8*(A131/1974)</f>
        <v>115.11651469098277</v>
      </c>
      <c r="F131" s="35">
        <f>E131/A131</f>
        <v>1.0010131712259371</v>
      </c>
      <c r="G131" s="49">
        <f t="shared" si="36"/>
        <v>8.6956521739130436E-3</v>
      </c>
      <c r="H131" s="6">
        <f>10000*0.48</f>
        <v>4800</v>
      </c>
      <c r="I131" s="19">
        <f t="shared" ref="I131:I135" si="37">H131*G131</f>
        <v>41.739130434782609</v>
      </c>
    </row>
    <row r="132" spans="1:20" s="1" customFormat="1">
      <c r="A132" s="18"/>
      <c r="B132" s="5" t="s">
        <v>58</v>
      </c>
      <c r="C132" s="5" t="s">
        <v>17</v>
      </c>
      <c r="D132" s="5">
        <v>1</v>
      </c>
      <c r="E132" s="7">
        <f>247*8*(A131/1974)</f>
        <v>115.11651469098277</v>
      </c>
      <c r="F132" s="35">
        <f>E132/A131</f>
        <v>1.0010131712259371</v>
      </c>
      <c r="G132" s="49">
        <f t="shared" si="36"/>
        <v>8.6956521739130436E-3</v>
      </c>
      <c r="H132" s="6">
        <f>9000*0.48</f>
        <v>4320</v>
      </c>
      <c r="I132" s="19">
        <f t="shared" si="37"/>
        <v>37.565217391304351</v>
      </c>
    </row>
    <row r="133" spans="1:20" s="1" customFormat="1">
      <c r="A133" s="18"/>
      <c r="B133" s="5" t="s">
        <v>106</v>
      </c>
      <c r="C133" s="5" t="s">
        <v>17</v>
      </c>
      <c r="D133" s="5">
        <v>1</v>
      </c>
      <c r="E133" s="7">
        <f>247*8*(A131/1974)</f>
        <v>115.11651469098277</v>
      </c>
      <c r="F133" s="35">
        <f>E133/A131</f>
        <v>1.0010131712259371</v>
      </c>
      <c r="G133" s="49">
        <f t="shared" si="36"/>
        <v>8.6956521739130436E-3</v>
      </c>
      <c r="H133" s="6"/>
      <c r="I133" s="19">
        <f t="shared" si="37"/>
        <v>0</v>
      </c>
    </row>
    <row r="134" spans="1:20" s="1" customFormat="1">
      <c r="A134" s="18"/>
      <c r="B134" s="5" t="s">
        <v>67</v>
      </c>
      <c r="C134" s="5" t="s">
        <v>17</v>
      </c>
      <c r="D134" s="5">
        <v>1</v>
      </c>
      <c r="E134" s="7">
        <f>247*8*(A131/1974)</f>
        <v>115.11651469098277</v>
      </c>
      <c r="F134" s="35">
        <f>E134/A131</f>
        <v>1.0010131712259371</v>
      </c>
      <c r="G134" s="49">
        <f t="shared" si="36"/>
        <v>8.6956521739130436E-3</v>
      </c>
      <c r="H134" s="6">
        <f>(15600+4240+2700)*0.48</f>
        <v>10819.199999999999</v>
      </c>
      <c r="I134" s="19">
        <f t="shared" si="37"/>
        <v>94.08</v>
      </c>
    </row>
    <row r="135" spans="1:20" s="1" customFormat="1">
      <c r="A135" s="18"/>
      <c r="B135" s="5" t="s">
        <v>68</v>
      </c>
      <c r="C135" s="5" t="s">
        <v>17</v>
      </c>
      <c r="D135" s="5">
        <v>1</v>
      </c>
      <c r="E135" s="7">
        <f>247*8*(A131/1974)</f>
        <v>115.11651469098277</v>
      </c>
      <c r="F135" s="35">
        <f>E135/A131</f>
        <v>1.0010131712259371</v>
      </c>
      <c r="G135" s="49">
        <f t="shared" si="36"/>
        <v>8.6956521739130436E-3</v>
      </c>
      <c r="H135" s="6">
        <f>47577*0.48</f>
        <v>22836.959999999999</v>
      </c>
      <c r="I135" s="19">
        <f t="shared" si="37"/>
        <v>198.5822608695652</v>
      </c>
    </row>
    <row r="136" spans="1:20" s="1" customFormat="1" ht="15.75" thickBot="1">
      <c r="A136" s="20"/>
      <c r="B136" s="21"/>
      <c r="C136" s="21"/>
      <c r="D136" s="21"/>
      <c r="E136" s="21"/>
      <c r="F136" s="21"/>
      <c r="G136" s="25"/>
      <c r="H136" s="51"/>
      <c r="I136" s="24">
        <f>SUM(I130:I135)</f>
        <v>557.00035049739131</v>
      </c>
      <c r="J136" s="3">
        <f>(47577+15600+4240+2700+19000+44331)*0.48</f>
        <v>64055.040000000001</v>
      </c>
      <c r="K136" s="1">
        <f>I136*A131</f>
        <v>64055.040307199997</v>
      </c>
    </row>
    <row r="138" spans="1:20" ht="19.5" thickBot="1">
      <c r="A138" s="73" t="s">
        <v>86</v>
      </c>
      <c r="H138"/>
      <c r="S138" s="1"/>
      <c r="T138" s="1"/>
    </row>
    <row r="139" spans="1:20" ht="79.5" customHeight="1">
      <c r="A139" s="27" t="s">
        <v>2</v>
      </c>
      <c r="B139" s="28" t="s">
        <v>52</v>
      </c>
      <c r="C139" s="28" t="s">
        <v>14</v>
      </c>
      <c r="D139" s="28" t="s">
        <v>16</v>
      </c>
      <c r="E139" s="78" t="s">
        <v>27</v>
      </c>
      <c r="F139" s="28" t="s">
        <v>28</v>
      </c>
      <c r="G139" s="28" t="s">
        <v>53</v>
      </c>
      <c r="H139" s="28" t="s">
        <v>57</v>
      </c>
      <c r="I139" s="28" t="s">
        <v>11</v>
      </c>
      <c r="J139" s="2" t="s">
        <v>34</v>
      </c>
      <c r="K139" s="2" t="s">
        <v>33</v>
      </c>
    </row>
    <row r="140" spans="1:20" ht="15.75" thickBot="1">
      <c r="A140" s="47">
        <v>1</v>
      </c>
      <c r="B140" s="10">
        <v>2</v>
      </c>
      <c r="C140" s="10">
        <v>3</v>
      </c>
      <c r="D140" s="10">
        <v>4</v>
      </c>
      <c r="E140" s="10">
        <v>5</v>
      </c>
      <c r="F140" s="10">
        <v>6</v>
      </c>
      <c r="G140" s="10" t="s">
        <v>31</v>
      </c>
      <c r="H140" s="9">
        <v>8</v>
      </c>
      <c r="I140" s="48" t="s">
        <v>32</v>
      </c>
    </row>
    <row r="141" spans="1:20">
      <c r="A141" s="13" t="s">
        <v>71</v>
      </c>
      <c r="B141" s="14" t="s">
        <v>54</v>
      </c>
      <c r="C141" s="14" t="s">
        <v>56</v>
      </c>
      <c r="D141" s="14">
        <v>2528.5</v>
      </c>
      <c r="E141" s="16">
        <f>247*8*(A142/1974)</f>
        <v>61.061803444782164</v>
      </c>
      <c r="F141" s="34">
        <f>E141/A142</f>
        <v>1.0010131712259371</v>
      </c>
      <c r="G141" s="50">
        <f t="shared" ref="G141:G147" si="38">D141/E141*F141</f>
        <v>41.450819672131146</v>
      </c>
      <c r="H141" s="15">
        <v>2.4934229999999999</v>
      </c>
      <c r="I141" s="17">
        <f>H141*G141</f>
        <v>103.35442713934425</v>
      </c>
      <c r="J141" s="3">
        <f>45033*0.14</f>
        <v>6304.6200000000008</v>
      </c>
      <c r="K141" s="1">
        <f>I141*A142</f>
        <v>6304.6200554999996</v>
      </c>
      <c r="L141" s="3">
        <f>J141-K141</f>
        <v>-5.5499998779851012E-5</v>
      </c>
      <c r="M141" s="1">
        <f>J141/A142/G141</f>
        <v>2.4934229780502277</v>
      </c>
    </row>
    <row r="142" spans="1:20" s="1" customFormat="1" ht="33" customHeight="1">
      <c r="A142" s="18">
        <v>61</v>
      </c>
      <c r="B142" s="44" t="s">
        <v>55</v>
      </c>
      <c r="C142" s="5" t="s">
        <v>17</v>
      </c>
      <c r="D142" s="5">
        <v>1</v>
      </c>
      <c r="E142" s="7">
        <f>247*8*(A142/1974)</f>
        <v>61.061803444782164</v>
      </c>
      <c r="F142" s="35">
        <f>E142/A142</f>
        <v>1.0010131712259371</v>
      </c>
      <c r="G142" s="49">
        <f t="shared" si="38"/>
        <v>1.6393442622950821E-2</v>
      </c>
      <c r="H142" s="6">
        <f>10000*0.14</f>
        <v>1400.0000000000002</v>
      </c>
      <c r="I142" s="19">
        <f t="shared" ref="I142:I147" si="39">H142*G142</f>
        <v>22.950819672131153</v>
      </c>
    </row>
    <row r="143" spans="1:20" s="1" customFormat="1">
      <c r="A143" s="18"/>
      <c r="B143" s="5" t="s">
        <v>58</v>
      </c>
      <c r="C143" s="5" t="s">
        <v>17</v>
      </c>
      <c r="D143" s="5">
        <v>1</v>
      </c>
      <c r="E143" s="7">
        <f>247*8*(A142/1974)</f>
        <v>61.061803444782164</v>
      </c>
      <c r="F143" s="35">
        <f>E143/A142</f>
        <v>1.0010131712259371</v>
      </c>
      <c r="G143" s="49">
        <f t="shared" si="38"/>
        <v>1.6393442622950821E-2</v>
      </c>
      <c r="H143" s="6">
        <f>20000*0.14</f>
        <v>2800.0000000000005</v>
      </c>
      <c r="I143" s="19">
        <f t="shared" si="39"/>
        <v>45.901639344262307</v>
      </c>
    </row>
    <row r="144" spans="1:20" s="1" customFormat="1">
      <c r="A144" s="18"/>
      <c r="B144" s="5" t="s">
        <v>106</v>
      </c>
      <c r="C144" s="5" t="s">
        <v>17</v>
      </c>
      <c r="D144" s="5">
        <v>1</v>
      </c>
      <c r="E144" s="7">
        <f>247*8*(A142/1974)</f>
        <v>61.061803444782164</v>
      </c>
      <c r="F144" s="35">
        <f>E144/A142</f>
        <v>1.0010131712259371</v>
      </c>
      <c r="G144" s="49">
        <f t="shared" si="38"/>
        <v>1.6393442622950821E-2</v>
      </c>
      <c r="H144" s="6">
        <f>10000*0.14</f>
        <v>1400.0000000000002</v>
      </c>
      <c r="I144" s="19">
        <f t="shared" si="39"/>
        <v>22.950819672131153</v>
      </c>
    </row>
    <row r="145" spans="1:13" s="1" customFormat="1">
      <c r="A145" s="18"/>
      <c r="B145" s="5" t="s">
        <v>107</v>
      </c>
      <c r="C145" s="5" t="s">
        <v>17</v>
      </c>
      <c r="D145" s="5">
        <v>1</v>
      </c>
      <c r="E145" s="7">
        <f>247*8*(A142/1974)</f>
        <v>61.061803444782164</v>
      </c>
      <c r="F145" s="35">
        <f>E145/A142</f>
        <v>1.0010131712259371</v>
      </c>
      <c r="G145" s="49">
        <f t="shared" ref="G145" si="40">D145/E145*F145</f>
        <v>1.6393442622950821E-2</v>
      </c>
      <c r="H145" s="6">
        <f>5964</f>
        <v>5964</v>
      </c>
      <c r="I145" s="19">
        <f t="shared" ref="I145" si="41">H145*G145</f>
        <v>97.770491803278688</v>
      </c>
    </row>
    <row r="146" spans="1:13" s="1" customFormat="1">
      <c r="A146" s="18"/>
      <c r="B146" s="5" t="s">
        <v>67</v>
      </c>
      <c r="C146" s="5" t="s">
        <v>17</v>
      </c>
      <c r="D146" s="5">
        <v>1</v>
      </c>
      <c r="E146" s="7">
        <f>247*8*(A142/1974)</f>
        <v>61.061803444782164</v>
      </c>
      <c r="F146" s="35">
        <f>E146/A142</f>
        <v>1.0010131712259371</v>
      </c>
      <c r="G146" s="49">
        <f t="shared" si="38"/>
        <v>1.6393442622950821E-2</v>
      </c>
      <c r="H146" s="6">
        <f>(15600+5458+450)*0.14</f>
        <v>3011.1200000000003</v>
      </c>
      <c r="I146" s="19">
        <f t="shared" si="39"/>
        <v>49.362622950819677</v>
      </c>
    </row>
    <row r="147" spans="1:13" s="1" customFormat="1">
      <c r="A147" s="18"/>
      <c r="B147" s="5" t="s">
        <v>68</v>
      </c>
      <c r="C147" s="5" t="s">
        <v>17</v>
      </c>
      <c r="D147" s="5">
        <v>1</v>
      </c>
      <c r="E147" s="7">
        <f>247*8*(A142/1974)</f>
        <v>61.061803444782164</v>
      </c>
      <c r="F147" s="35">
        <f>E147/A142</f>
        <v>1.0010131712259371</v>
      </c>
      <c r="G147" s="49">
        <f t="shared" si="38"/>
        <v>1.6393442622950821E-2</v>
      </c>
      <c r="H147" s="6">
        <f>(14700+63237)*0.14</f>
        <v>10911.18</v>
      </c>
      <c r="I147" s="19">
        <f t="shared" si="39"/>
        <v>178.87180327868853</v>
      </c>
    </row>
    <row r="148" spans="1:13" s="1" customFormat="1" ht="15.75" thickBot="1">
      <c r="A148" s="20"/>
      <c r="B148" s="21"/>
      <c r="C148" s="21"/>
      <c r="D148" s="21"/>
      <c r="E148" s="21"/>
      <c r="F148" s="21"/>
      <c r="G148" s="25"/>
      <c r="H148" s="51"/>
      <c r="I148" s="24">
        <f>SUM(I141:I147)</f>
        <v>521.1626238606558</v>
      </c>
      <c r="J148" s="3">
        <f>(14700+63237+15600+5458+450+10000+20000+45033+10000)*0.14+5964</f>
        <v>31790.920000000002</v>
      </c>
      <c r="K148" s="1">
        <f>I148*A142</f>
        <v>31790.920055500002</v>
      </c>
    </row>
    <row r="149" spans="1:13">
      <c r="A149" s="13" t="s">
        <v>76</v>
      </c>
      <c r="B149" s="14" t="s">
        <v>54</v>
      </c>
      <c r="C149" s="14" t="s">
        <v>56</v>
      </c>
      <c r="D149" s="14">
        <v>4047.75</v>
      </c>
      <c r="E149" s="16">
        <f>247*8*(A150/1974)</f>
        <v>34.034447821681866</v>
      </c>
      <c r="F149" s="34">
        <f>E149/A150</f>
        <v>1.0010131712259371</v>
      </c>
      <c r="G149" s="50">
        <f t="shared" ref="G149:G154" si="42">D149/E149*F149</f>
        <v>119.05147058823528</v>
      </c>
      <c r="H149" s="15">
        <v>1.01864</v>
      </c>
      <c r="I149" s="17">
        <f>H149*G149</f>
        <v>121.27058999999998</v>
      </c>
      <c r="J149" s="3">
        <f>68720*0.06</f>
        <v>4123.2</v>
      </c>
      <c r="K149" s="1">
        <f>I149*A150</f>
        <v>4123.2000599999992</v>
      </c>
      <c r="L149" s="3">
        <f>J149-K149</f>
        <v>-5.9999999393767212E-5</v>
      </c>
      <c r="M149" s="1">
        <f>J149/A150/G149</f>
        <v>1.0186399851769503</v>
      </c>
    </row>
    <row r="150" spans="1:13" s="1" customFormat="1" ht="33" customHeight="1">
      <c r="A150" s="18">
        <v>34</v>
      </c>
      <c r="B150" s="44" t="s">
        <v>55</v>
      </c>
      <c r="C150" s="5" t="s">
        <v>17</v>
      </c>
      <c r="D150" s="5">
        <v>1</v>
      </c>
      <c r="E150" s="7">
        <f>247*8*(A150/1974)</f>
        <v>34.034447821681866</v>
      </c>
      <c r="F150" s="35">
        <f>E150/A150</f>
        <v>1.0010131712259371</v>
      </c>
      <c r="G150" s="49">
        <f t="shared" si="42"/>
        <v>2.9411764705882353E-2</v>
      </c>
      <c r="H150" s="6">
        <f>20000*0.06</f>
        <v>1200</v>
      </c>
      <c r="I150" s="19">
        <f t="shared" ref="I150:I154" si="43">H150*G150</f>
        <v>35.294117647058826</v>
      </c>
    </row>
    <row r="151" spans="1:13" s="1" customFormat="1">
      <c r="A151" s="18"/>
      <c r="B151" s="5" t="s">
        <v>58</v>
      </c>
      <c r="C151" s="5" t="s">
        <v>17</v>
      </c>
      <c r="D151" s="5">
        <v>1</v>
      </c>
      <c r="E151" s="7">
        <f>247*8*(A150/1974)</f>
        <v>34.034447821681866</v>
      </c>
      <c r="F151" s="35">
        <f>E151/A150</f>
        <v>1.0010131712259371</v>
      </c>
      <c r="G151" s="49">
        <f t="shared" si="42"/>
        <v>2.9411764705882353E-2</v>
      </c>
      <c r="H151" s="6">
        <f>24000*0.06</f>
        <v>1440</v>
      </c>
      <c r="I151" s="19">
        <f t="shared" si="43"/>
        <v>42.352941176470587</v>
      </c>
    </row>
    <row r="152" spans="1:13" s="1" customFormat="1">
      <c r="A152" s="18"/>
      <c r="B152" s="5" t="s">
        <v>107</v>
      </c>
      <c r="C152" s="5" t="s">
        <v>17</v>
      </c>
      <c r="D152" s="5">
        <v>1</v>
      </c>
      <c r="E152" s="7">
        <f>247*8*(A150/1974)</f>
        <v>34.034447821681866</v>
      </c>
      <c r="F152" s="35">
        <f>E152/A150</f>
        <v>1.0010131712259371</v>
      </c>
      <c r="G152" s="49">
        <f t="shared" si="42"/>
        <v>2.9411764705882353E-2</v>
      </c>
      <c r="H152" s="6">
        <v>4970</v>
      </c>
      <c r="I152" s="19">
        <f t="shared" si="43"/>
        <v>146.1764705882353</v>
      </c>
    </row>
    <row r="153" spans="1:13" s="1" customFormat="1">
      <c r="A153" s="18"/>
      <c r="B153" s="5" t="s">
        <v>67</v>
      </c>
      <c r="C153" s="5" t="s">
        <v>17</v>
      </c>
      <c r="D153" s="5">
        <v>1</v>
      </c>
      <c r="E153" s="7">
        <f>247*8*(A150/1974)</f>
        <v>34.034447821681866</v>
      </c>
      <c r="F153" s="35">
        <f>E153/A150</f>
        <v>1.0010131712259371</v>
      </c>
      <c r="G153" s="49">
        <f t="shared" si="42"/>
        <v>2.9411764705882353E-2</v>
      </c>
      <c r="H153" s="6">
        <f>(15600+9112)*0.06</f>
        <v>1482.72</v>
      </c>
      <c r="I153" s="19">
        <f t="shared" si="43"/>
        <v>43.609411764705882</v>
      </c>
    </row>
    <row r="154" spans="1:13" s="1" customFormat="1">
      <c r="A154" s="18"/>
      <c r="B154" s="5" t="s">
        <v>68</v>
      </c>
      <c r="C154" s="5" t="s">
        <v>17</v>
      </c>
      <c r="D154" s="5">
        <v>1</v>
      </c>
      <c r="E154" s="7">
        <f>247*8*(A150/1974)</f>
        <v>34.034447821681866</v>
      </c>
      <c r="F154" s="35">
        <f>E154/A150</f>
        <v>1.0010131712259371</v>
      </c>
      <c r="G154" s="49">
        <f t="shared" si="42"/>
        <v>2.9411764705882353E-2</v>
      </c>
      <c r="H154" s="6">
        <f>111323*0.06</f>
        <v>6679.38</v>
      </c>
      <c r="I154" s="19">
        <f t="shared" si="43"/>
        <v>196.45235294117646</v>
      </c>
    </row>
    <row r="155" spans="1:13" s="1" customFormat="1" ht="15.75" thickBot="1">
      <c r="A155" s="20"/>
      <c r="B155" s="21"/>
      <c r="C155" s="21"/>
      <c r="D155" s="21"/>
      <c r="E155" s="21"/>
      <c r="F155" s="21"/>
      <c r="G155" s="25"/>
      <c r="H155" s="51"/>
      <c r="I155" s="24">
        <f>SUM(I149:I154)</f>
        <v>585.15588411764702</v>
      </c>
      <c r="J155" s="3">
        <f>(111323+15600+9112+20000+24000+68720)*0.06+4970</f>
        <v>19895.3</v>
      </c>
      <c r="K155" s="1">
        <f>I155*A150</f>
        <v>19895.300059999998</v>
      </c>
    </row>
    <row r="156" spans="1:13">
      <c r="A156" s="13" t="s">
        <v>77</v>
      </c>
      <c r="B156" s="14" t="s">
        <v>54</v>
      </c>
      <c r="C156" s="14" t="s">
        <v>56</v>
      </c>
      <c r="D156" s="14">
        <v>2283.3000000000002</v>
      </c>
      <c r="E156" s="16">
        <f>247*8*(A157/1974)</f>
        <v>35.035460992907801</v>
      </c>
      <c r="F156" s="34">
        <f>E156/A157</f>
        <v>1.0010131712259371</v>
      </c>
      <c r="G156" s="50">
        <f t="shared" ref="G156:G161" si="44">D156/E156*F156</f>
        <v>65.237142857142857</v>
      </c>
      <c r="H156" s="15">
        <v>1.5279860000000001</v>
      </c>
      <c r="I156" s="17">
        <f>H156*G156</f>
        <v>99.681440965714287</v>
      </c>
      <c r="J156" s="3">
        <f>38765*0.09</f>
        <v>3488.85</v>
      </c>
      <c r="K156" s="1">
        <f>I156*A157</f>
        <v>3488.8504338000002</v>
      </c>
      <c r="L156" s="3">
        <f>J156-K156</f>
        <v>-4.3380000033721444E-4</v>
      </c>
      <c r="M156" s="1">
        <f>J156/A157/G156</f>
        <v>1.5279858100118249</v>
      </c>
    </row>
    <row r="157" spans="1:13" s="1" customFormat="1" ht="33" customHeight="1">
      <c r="A157" s="18">
        <v>35</v>
      </c>
      <c r="B157" s="44" t="s">
        <v>55</v>
      </c>
      <c r="C157" s="5" t="s">
        <v>17</v>
      </c>
      <c r="D157" s="5">
        <v>1</v>
      </c>
      <c r="E157" s="7">
        <f>247*8*(A157/1974)</f>
        <v>35.035460992907801</v>
      </c>
      <c r="F157" s="35">
        <f>E157/A157</f>
        <v>1.0010131712259371</v>
      </c>
      <c r="G157" s="49">
        <f t="shared" si="44"/>
        <v>2.8571428571428571E-2</v>
      </c>
      <c r="H157" s="6">
        <f>10000*0.09</f>
        <v>900</v>
      </c>
      <c r="I157" s="19">
        <f t="shared" ref="I157:I161" si="45">H157*G157</f>
        <v>25.714285714285712</v>
      </c>
    </row>
    <row r="158" spans="1:13" s="1" customFormat="1">
      <c r="A158" s="18"/>
      <c r="B158" s="5" t="s">
        <v>58</v>
      </c>
      <c r="C158" s="5" t="s">
        <v>17</v>
      </c>
      <c r="D158" s="5">
        <v>1</v>
      </c>
      <c r="E158" s="7">
        <f>247*8*(A157/1974)</f>
        <v>35.035460992907801</v>
      </c>
      <c r="F158" s="35">
        <f>E158/A157</f>
        <v>1.0010131712259371</v>
      </c>
      <c r="G158" s="49">
        <f t="shared" si="44"/>
        <v>2.8571428571428571E-2</v>
      </c>
      <c r="H158" s="6">
        <f>19000*0.09</f>
        <v>1710</v>
      </c>
      <c r="I158" s="19">
        <f t="shared" si="45"/>
        <v>48.857142857142854</v>
      </c>
    </row>
    <row r="159" spans="1:13" s="1" customFormat="1">
      <c r="A159" s="18"/>
      <c r="B159" s="5" t="s">
        <v>107</v>
      </c>
      <c r="C159" s="5" t="s">
        <v>17</v>
      </c>
      <c r="D159" s="5">
        <v>1</v>
      </c>
      <c r="E159" s="7">
        <f>247*8*(A157/1974)</f>
        <v>35.035460992907801</v>
      </c>
      <c r="F159" s="35">
        <f>E159/A157</f>
        <v>1.0010131712259371</v>
      </c>
      <c r="G159" s="49">
        <f t="shared" si="44"/>
        <v>2.8571428571428571E-2</v>
      </c>
      <c r="H159" s="6">
        <v>5964</v>
      </c>
      <c r="I159" s="19">
        <f t="shared" si="45"/>
        <v>170.4</v>
      </c>
    </row>
    <row r="160" spans="1:13" s="1" customFormat="1">
      <c r="A160" s="18"/>
      <c r="B160" s="5" t="s">
        <v>67</v>
      </c>
      <c r="C160" s="5" t="s">
        <v>17</v>
      </c>
      <c r="D160" s="5">
        <v>1</v>
      </c>
      <c r="E160" s="7">
        <f>247*8*(A157/1974)</f>
        <v>35.035460992907801</v>
      </c>
      <c r="F160" s="35">
        <f>E160/A157</f>
        <v>1.0010131712259371</v>
      </c>
      <c r="G160" s="49">
        <f t="shared" si="44"/>
        <v>2.8571428571428571E-2</v>
      </c>
      <c r="H160" s="6">
        <f>(15600+4545+2700)*0.09</f>
        <v>2056.0499999999997</v>
      </c>
      <c r="I160" s="19">
        <f t="shared" si="45"/>
        <v>58.744285714285702</v>
      </c>
    </row>
    <row r="161" spans="1:13" s="1" customFormat="1">
      <c r="A161" s="18"/>
      <c r="B161" s="5" t="s">
        <v>68</v>
      </c>
      <c r="C161" s="5" t="s">
        <v>17</v>
      </c>
      <c r="D161" s="5">
        <v>1</v>
      </c>
      <c r="E161" s="7">
        <f>247*8*(A157/1974)</f>
        <v>35.035460992907801</v>
      </c>
      <c r="F161" s="35">
        <f>E161/A157</f>
        <v>1.0010131712259371</v>
      </c>
      <c r="G161" s="49">
        <f t="shared" si="44"/>
        <v>2.8571428571428571E-2</v>
      </c>
      <c r="H161" s="6">
        <f>51492*0.09</f>
        <v>4634.28</v>
      </c>
      <c r="I161" s="19">
        <f t="shared" si="45"/>
        <v>132.40799999999999</v>
      </c>
    </row>
    <row r="162" spans="1:13" s="1" customFormat="1" ht="15.75" thickBot="1">
      <c r="A162" s="20"/>
      <c r="B162" s="21"/>
      <c r="C162" s="21"/>
      <c r="D162" s="21"/>
      <c r="E162" s="21"/>
      <c r="F162" s="21"/>
      <c r="G162" s="25"/>
      <c r="H162" s="51"/>
      <c r="I162" s="24">
        <f>SUM(I156:I161)</f>
        <v>535.80515525142857</v>
      </c>
      <c r="J162" s="3">
        <f>(51492+15600+4545+2700+29000+38765)*0.09+5964</f>
        <v>18753.18</v>
      </c>
      <c r="K162" s="1">
        <f>I162*A157</f>
        <v>18753.1804338</v>
      </c>
    </row>
    <row r="163" spans="1:13">
      <c r="A163" s="13" t="s">
        <v>78</v>
      </c>
      <c r="B163" s="14" t="s">
        <v>54</v>
      </c>
      <c r="C163" s="14" t="s">
        <v>56</v>
      </c>
      <c r="D163" s="14">
        <v>6105.7</v>
      </c>
      <c r="E163" s="16">
        <f>247*8*(A164/1974)</f>
        <v>60.060790273556229</v>
      </c>
      <c r="F163" s="34">
        <f>E163/A164</f>
        <v>1.0010131712259371</v>
      </c>
      <c r="G163" s="50">
        <f t="shared" ref="G163:G169" si="46">D163/E163*F163</f>
        <v>101.76166666666667</v>
      </c>
      <c r="H163" s="15">
        <v>1.358193</v>
      </c>
      <c r="I163" s="17">
        <f>H163*G163</f>
        <v>138.21198333500001</v>
      </c>
      <c r="J163" s="3">
        <f>103659*0.08</f>
        <v>8292.7199999999993</v>
      </c>
      <c r="K163" s="1">
        <f>I163*A164</f>
        <v>8292.7190001000017</v>
      </c>
      <c r="L163" s="3">
        <f>J163-K163</f>
        <v>9.9989999762328807E-4</v>
      </c>
      <c r="M163" s="1">
        <f>J163/A164/G163</f>
        <v>1.3581931637650062</v>
      </c>
    </row>
    <row r="164" spans="1:13" s="1" customFormat="1" ht="33" customHeight="1">
      <c r="A164" s="18">
        <v>60</v>
      </c>
      <c r="B164" s="44" t="s">
        <v>55</v>
      </c>
      <c r="C164" s="5" t="s">
        <v>17</v>
      </c>
      <c r="D164" s="5">
        <v>1</v>
      </c>
      <c r="E164" s="7">
        <f>247*8*(A164/1974)</f>
        <v>60.060790273556229</v>
      </c>
      <c r="F164" s="35">
        <f>E164/A164</f>
        <v>1.0010131712259371</v>
      </c>
      <c r="G164" s="49">
        <f t="shared" si="46"/>
        <v>1.6666666666666666E-2</v>
      </c>
      <c r="H164" s="6">
        <f>30000*0.08</f>
        <v>2400</v>
      </c>
      <c r="I164" s="19">
        <f t="shared" ref="I164:I169" si="47">H164*G164</f>
        <v>40</v>
      </c>
    </row>
    <row r="165" spans="1:13" s="1" customFormat="1">
      <c r="A165" s="18"/>
      <c r="B165" s="5" t="s">
        <v>58</v>
      </c>
      <c r="C165" s="5" t="s">
        <v>17</v>
      </c>
      <c r="D165" s="5">
        <v>1</v>
      </c>
      <c r="E165" s="7">
        <f>247*8*(A164/1974)</f>
        <v>60.060790273556229</v>
      </c>
      <c r="F165" s="35">
        <f>E165/A164</f>
        <v>1.0010131712259371</v>
      </c>
      <c r="G165" s="49">
        <f t="shared" si="46"/>
        <v>1.6666666666666666E-2</v>
      </c>
      <c r="H165" s="6">
        <f>31000*0.08</f>
        <v>2480</v>
      </c>
      <c r="I165" s="19">
        <f t="shared" si="47"/>
        <v>41.333333333333336</v>
      </c>
    </row>
    <row r="166" spans="1:13" s="1" customFormat="1">
      <c r="A166" s="18"/>
      <c r="B166" s="5" t="s">
        <v>106</v>
      </c>
      <c r="C166" s="5" t="s">
        <v>17</v>
      </c>
      <c r="D166" s="5">
        <v>1</v>
      </c>
      <c r="E166" s="7">
        <f>247*8*(A164/1974)</f>
        <v>60.060790273556229</v>
      </c>
      <c r="F166" s="35">
        <f>E166/A164</f>
        <v>1.0010131712259371</v>
      </c>
      <c r="G166" s="49">
        <f t="shared" si="46"/>
        <v>1.6666666666666666E-2</v>
      </c>
      <c r="H166" s="6">
        <f>10000*0.08</f>
        <v>800</v>
      </c>
      <c r="I166" s="19">
        <f t="shared" si="47"/>
        <v>13.333333333333334</v>
      </c>
    </row>
    <row r="167" spans="1:13" s="1" customFormat="1">
      <c r="A167" s="18"/>
      <c r="B167" s="5" t="s">
        <v>107</v>
      </c>
      <c r="C167" s="5" t="s">
        <v>17</v>
      </c>
      <c r="D167" s="5">
        <v>1</v>
      </c>
      <c r="E167" s="7">
        <f>247*8*(A164/1974)</f>
        <v>60.060790273556229</v>
      </c>
      <c r="F167" s="35">
        <f>E167/A164</f>
        <v>1.0010131712259371</v>
      </c>
      <c r="G167" s="49">
        <f t="shared" si="46"/>
        <v>1.6666666666666666E-2</v>
      </c>
      <c r="H167" s="6">
        <v>9940</v>
      </c>
      <c r="I167" s="19">
        <f t="shared" si="47"/>
        <v>165.66666666666666</v>
      </c>
    </row>
    <row r="168" spans="1:13" s="1" customFormat="1">
      <c r="A168" s="18"/>
      <c r="B168" s="5" t="s">
        <v>67</v>
      </c>
      <c r="C168" s="5" t="s">
        <v>17</v>
      </c>
      <c r="D168" s="5">
        <v>1</v>
      </c>
      <c r="E168" s="7">
        <f>247*8*(A164/1974)</f>
        <v>60.060790273556229</v>
      </c>
      <c r="F168" s="35">
        <f>E168/A164</f>
        <v>1.0010131712259371</v>
      </c>
      <c r="G168" s="49">
        <f t="shared" si="46"/>
        <v>1.6666666666666666E-2</v>
      </c>
      <c r="H168" s="6">
        <f>(15600+7894+450)*0.08</f>
        <v>1915.52</v>
      </c>
      <c r="I168" s="19">
        <f t="shared" si="47"/>
        <v>31.925333333333331</v>
      </c>
    </row>
    <row r="169" spans="1:13" s="1" customFormat="1">
      <c r="A169" s="18"/>
      <c r="B169" s="5" t="s">
        <v>68</v>
      </c>
      <c r="C169" s="5" t="s">
        <v>17</v>
      </c>
      <c r="D169" s="5">
        <v>1</v>
      </c>
      <c r="E169" s="7">
        <f>247*8*(A164/1974)</f>
        <v>60.060790273556229</v>
      </c>
      <c r="F169" s="35">
        <f>E169/A164</f>
        <v>1.0010131712259371</v>
      </c>
      <c r="G169" s="49">
        <f t="shared" si="46"/>
        <v>1.6666666666666666E-2</v>
      </c>
      <c r="H169" s="6">
        <f>(14700+90133)*0.08</f>
        <v>8386.64</v>
      </c>
      <c r="I169" s="19">
        <f t="shared" si="47"/>
        <v>139.77733333333333</v>
      </c>
    </row>
    <row r="170" spans="1:13" s="1" customFormat="1" ht="15.75" thickBot="1">
      <c r="A170" s="20"/>
      <c r="B170" s="21"/>
      <c r="C170" s="21"/>
      <c r="D170" s="21"/>
      <c r="E170" s="21"/>
      <c r="F170" s="21"/>
      <c r="G170" s="25"/>
      <c r="H170" s="51"/>
      <c r="I170" s="24">
        <f>SUM(I163:I169)</f>
        <v>570.24798333500007</v>
      </c>
      <c r="J170" s="3">
        <f>(14700+90133+15600+7894+30000+31000+103659+10000+450)*0.08+9940</f>
        <v>34214.880000000005</v>
      </c>
      <c r="K170" s="1">
        <f>I170*A164</f>
        <v>34214.879000100002</v>
      </c>
    </row>
    <row r="171" spans="1:13">
      <c r="A171" s="13" t="s">
        <v>79</v>
      </c>
      <c r="B171" s="14" t="s">
        <v>54</v>
      </c>
      <c r="C171" s="14" t="s">
        <v>56</v>
      </c>
      <c r="D171" s="14">
        <v>7407.6</v>
      </c>
      <c r="E171" s="16">
        <f>247*8*(A172/1974)</f>
        <v>92.093211752786218</v>
      </c>
      <c r="F171" s="34">
        <f>E171/A172</f>
        <v>1.0010131712259371</v>
      </c>
      <c r="G171" s="50">
        <f t="shared" ref="G171:G176" si="48">D171/E171*F171</f>
        <v>80.517391304347825</v>
      </c>
      <c r="H171" s="15">
        <v>1.8675170000000001</v>
      </c>
      <c r="I171" s="17">
        <f>H171*G171</f>
        <v>150.36759705652173</v>
      </c>
      <c r="J171" s="3">
        <f>125762*0.11</f>
        <v>13833.82</v>
      </c>
      <c r="K171" s="1">
        <f>I171*A172</f>
        <v>13833.818929199999</v>
      </c>
      <c r="L171" s="3">
        <f>J171-K171</f>
        <v>1.070800000888994E-3</v>
      </c>
      <c r="M171" s="1">
        <f>J171/A172/G171</f>
        <v>1.8675171445542416</v>
      </c>
    </row>
    <row r="172" spans="1:13" s="1" customFormat="1" ht="33" customHeight="1">
      <c r="A172" s="18">
        <v>92</v>
      </c>
      <c r="B172" s="44" t="s">
        <v>55</v>
      </c>
      <c r="C172" s="5" t="s">
        <v>17</v>
      </c>
      <c r="D172" s="5">
        <v>1</v>
      </c>
      <c r="E172" s="7">
        <f>247*8*(A172/1974)</f>
        <v>92.093211752786218</v>
      </c>
      <c r="F172" s="35">
        <f>E172/A172</f>
        <v>1.0010131712259371</v>
      </c>
      <c r="G172" s="49">
        <f t="shared" si="48"/>
        <v>1.0869565217391304E-2</v>
      </c>
      <c r="H172" s="6">
        <f>30000*0.11</f>
        <v>3300</v>
      </c>
      <c r="I172" s="19">
        <f t="shared" ref="I172:I176" si="49">H172*G172</f>
        <v>35.869565217391305</v>
      </c>
    </row>
    <row r="173" spans="1:13" s="1" customFormat="1">
      <c r="A173" s="18"/>
      <c r="B173" s="5" t="s">
        <v>58</v>
      </c>
      <c r="C173" s="5" t="s">
        <v>17</v>
      </c>
      <c r="D173" s="5">
        <v>1</v>
      </c>
      <c r="E173" s="7">
        <f>247*8*(A172/1974)</f>
        <v>92.093211752786218</v>
      </c>
      <c r="F173" s="35">
        <f>E173/A172</f>
        <v>1.0010131712259371</v>
      </c>
      <c r="G173" s="49">
        <f t="shared" si="48"/>
        <v>1.0869565217391304E-2</v>
      </c>
      <c r="H173" s="6">
        <f>35000*0.11</f>
        <v>3850</v>
      </c>
      <c r="I173" s="19">
        <f t="shared" si="49"/>
        <v>41.847826086956523</v>
      </c>
    </row>
    <row r="174" spans="1:13" s="1" customFormat="1">
      <c r="A174" s="18"/>
      <c r="B174" s="5" t="s">
        <v>107</v>
      </c>
      <c r="C174" s="5" t="s">
        <v>17</v>
      </c>
      <c r="D174" s="5">
        <v>1</v>
      </c>
      <c r="E174" s="7">
        <f>247*8*(A172/1974)</f>
        <v>92.093211752786218</v>
      </c>
      <c r="F174" s="35">
        <f>E174/A172</f>
        <v>1.0010131712259371</v>
      </c>
      <c r="G174" s="49">
        <f t="shared" si="48"/>
        <v>1.0869565217391304E-2</v>
      </c>
      <c r="H174" s="6">
        <v>9940</v>
      </c>
      <c r="I174" s="19">
        <f t="shared" si="49"/>
        <v>108.04347826086956</v>
      </c>
    </row>
    <row r="175" spans="1:13" s="1" customFormat="1">
      <c r="A175" s="18"/>
      <c r="B175" s="5" t="s">
        <v>67</v>
      </c>
      <c r="C175" s="5" t="s">
        <v>17</v>
      </c>
      <c r="D175" s="5">
        <v>1</v>
      </c>
      <c r="E175" s="7">
        <f>247*8*(A172/1974)</f>
        <v>92.093211752786218</v>
      </c>
      <c r="F175" s="35">
        <f>E175/A172</f>
        <v>1.0010131712259371</v>
      </c>
      <c r="G175" s="49">
        <f t="shared" si="48"/>
        <v>1.0869565217391304E-2</v>
      </c>
      <c r="H175" s="6">
        <f>(23400+8807+1350)*0.11</f>
        <v>3691.27</v>
      </c>
      <c r="I175" s="19">
        <f t="shared" si="49"/>
        <v>40.122499999999995</v>
      </c>
    </row>
    <row r="176" spans="1:13" s="1" customFormat="1">
      <c r="A176" s="18"/>
      <c r="B176" s="5" t="s">
        <v>68</v>
      </c>
      <c r="C176" s="5" t="s">
        <v>17</v>
      </c>
      <c r="D176" s="5">
        <v>1</v>
      </c>
      <c r="E176" s="7">
        <f>247*8*(A172/1974)</f>
        <v>92.093211752786218</v>
      </c>
      <c r="F176" s="35">
        <f>E176/A172</f>
        <v>1.0010131712259371</v>
      </c>
      <c r="G176" s="49">
        <f t="shared" si="48"/>
        <v>1.0869565217391304E-2</v>
      </c>
      <c r="H176" s="6">
        <f>104090*0.11</f>
        <v>11449.9</v>
      </c>
      <c r="I176" s="19">
        <f t="shared" si="49"/>
        <v>124.45543478260869</v>
      </c>
    </row>
    <row r="177" spans="1:13" s="1" customFormat="1" ht="15.75" thickBot="1">
      <c r="A177" s="20"/>
      <c r="B177" s="21"/>
      <c r="C177" s="21"/>
      <c r="D177" s="21"/>
      <c r="E177" s="21"/>
      <c r="F177" s="21"/>
      <c r="G177" s="25"/>
      <c r="H177" s="51"/>
      <c r="I177" s="24">
        <f>SUM(I171:I176)</f>
        <v>500.70640140434779</v>
      </c>
      <c r="J177" s="3">
        <f>(104090+23400+8807+1350+65000+125762)*0.11+9940</f>
        <v>46064.99</v>
      </c>
      <c r="K177" s="1">
        <f>I177*A172</f>
        <v>46064.988929199993</v>
      </c>
    </row>
    <row r="178" spans="1:13">
      <c r="A178" s="13" t="s">
        <v>80</v>
      </c>
      <c r="B178" s="14" t="s">
        <v>54</v>
      </c>
      <c r="C178" s="14" t="s">
        <v>56</v>
      </c>
      <c r="D178" s="14">
        <v>3950.4</v>
      </c>
      <c r="E178" s="16">
        <f>247*8*(A179/1974)</f>
        <v>40.040526849037491</v>
      </c>
      <c r="F178" s="34">
        <f>E178/A179</f>
        <v>1.0010131712259374</v>
      </c>
      <c r="G178" s="50">
        <f t="shared" ref="G178:G184" si="50">D178/E178*F178</f>
        <v>98.76</v>
      </c>
      <c r="H178" s="15">
        <v>1.2569459999999999</v>
      </c>
      <c r="I178" s="17">
        <f>H178*G178</f>
        <v>124.13598696</v>
      </c>
      <c r="J178" s="3">
        <f>62068*0.08</f>
        <v>4965.4400000000005</v>
      </c>
      <c r="K178" s="1">
        <f>I178*A179</f>
        <v>4965.4394783999996</v>
      </c>
      <c r="L178" s="3">
        <f>J178-K178</f>
        <v>5.2160000086587388E-4</v>
      </c>
      <c r="M178" s="1">
        <f>J178/A179/G178</f>
        <v>1.2569461320372621</v>
      </c>
    </row>
    <row r="179" spans="1:13" s="1" customFormat="1" ht="33" customHeight="1">
      <c r="A179" s="18">
        <v>40</v>
      </c>
      <c r="B179" s="44" t="s">
        <v>55</v>
      </c>
      <c r="C179" s="5" t="s">
        <v>17</v>
      </c>
      <c r="D179" s="5">
        <v>1</v>
      </c>
      <c r="E179" s="7">
        <f>247*8*(A179/1974)</f>
        <v>40.040526849037491</v>
      </c>
      <c r="F179" s="35">
        <f>E179/A179</f>
        <v>1.0010131712259374</v>
      </c>
      <c r="G179" s="49">
        <f t="shared" si="50"/>
        <v>2.5000000000000001E-2</v>
      </c>
      <c r="H179" s="6">
        <f>20000*0.08</f>
        <v>1600</v>
      </c>
      <c r="I179" s="19">
        <f t="shared" ref="I179:I184" si="51">H179*G179</f>
        <v>40</v>
      </c>
    </row>
    <row r="180" spans="1:13" s="1" customFormat="1">
      <c r="A180" s="18"/>
      <c r="B180" s="5" t="s">
        <v>58</v>
      </c>
      <c r="C180" s="5" t="s">
        <v>17</v>
      </c>
      <c r="D180" s="5">
        <v>1</v>
      </c>
      <c r="E180" s="7">
        <f>247*8*(A179/1974)</f>
        <v>40.040526849037491</v>
      </c>
      <c r="F180" s="35">
        <f>E180/A179</f>
        <v>1.0010131712259374</v>
      </c>
      <c r="G180" s="49">
        <f t="shared" si="50"/>
        <v>2.5000000000000001E-2</v>
      </c>
      <c r="H180" s="6">
        <f>19000*0.08</f>
        <v>1520</v>
      </c>
      <c r="I180" s="19">
        <f t="shared" si="51"/>
        <v>38</v>
      </c>
    </row>
    <row r="181" spans="1:13" s="1" customFormat="1">
      <c r="A181" s="18"/>
      <c r="B181" s="5" t="s">
        <v>106</v>
      </c>
      <c r="C181" s="5" t="s">
        <v>17</v>
      </c>
      <c r="D181" s="5">
        <v>1</v>
      </c>
      <c r="E181" s="7">
        <f>247*8*(A179/1974)</f>
        <v>40.040526849037491</v>
      </c>
      <c r="F181" s="35">
        <f>E181/A179</f>
        <v>1.0010131712259374</v>
      </c>
      <c r="G181" s="49">
        <f t="shared" si="50"/>
        <v>2.5000000000000001E-2</v>
      </c>
      <c r="H181" s="6">
        <f>10000*0.08</f>
        <v>800</v>
      </c>
      <c r="I181" s="19">
        <f t="shared" si="51"/>
        <v>20</v>
      </c>
    </row>
    <row r="182" spans="1:13" s="1" customFormat="1">
      <c r="A182" s="18"/>
      <c r="B182" s="5" t="s">
        <v>107</v>
      </c>
      <c r="C182" s="5" t="s">
        <v>17</v>
      </c>
      <c r="D182" s="5">
        <v>1</v>
      </c>
      <c r="E182" s="7">
        <f>247*8*(A179/1974)</f>
        <v>40.040526849037491</v>
      </c>
      <c r="F182" s="35">
        <f>E182/A179</f>
        <v>1.0010131712259374</v>
      </c>
      <c r="G182" s="49">
        <f t="shared" ref="G182" si="52">D182/E182*F182</f>
        <v>2.5000000000000001E-2</v>
      </c>
      <c r="H182" s="6">
        <v>9940</v>
      </c>
      <c r="I182" s="19">
        <f t="shared" si="51"/>
        <v>248.5</v>
      </c>
    </row>
    <row r="183" spans="1:13" s="1" customFormat="1">
      <c r="A183" s="18"/>
      <c r="B183" s="5" t="s">
        <v>67</v>
      </c>
      <c r="C183" s="5" t="s">
        <v>17</v>
      </c>
      <c r="D183" s="5">
        <v>1</v>
      </c>
      <c r="E183" s="7">
        <f>247*8*(A179/1974)</f>
        <v>40.040526849037491</v>
      </c>
      <c r="F183" s="35">
        <f>E183/A179</f>
        <v>1.0010131712259374</v>
      </c>
      <c r="G183" s="49">
        <f t="shared" si="50"/>
        <v>2.5000000000000001E-2</v>
      </c>
      <c r="H183" s="6">
        <f>(15600+7285+450)*0.08</f>
        <v>1866.8</v>
      </c>
      <c r="I183" s="19">
        <f t="shared" si="51"/>
        <v>46.67</v>
      </c>
    </row>
    <row r="184" spans="1:13" s="1" customFormat="1">
      <c r="A184" s="18"/>
      <c r="B184" s="5" t="s">
        <v>68</v>
      </c>
      <c r="C184" s="5" t="s">
        <v>17</v>
      </c>
      <c r="D184" s="5">
        <v>1</v>
      </c>
      <c r="E184" s="7">
        <f>247*8*(A179/1974)</f>
        <v>40.040526849037491</v>
      </c>
      <c r="F184" s="35">
        <f>E184/A179</f>
        <v>1.0010131712259374</v>
      </c>
      <c r="G184" s="49">
        <f t="shared" si="50"/>
        <v>2.5000000000000001E-2</v>
      </c>
      <c r="H184" s="6">
        <f>(14280+81197)*0.08</f>
        <v>7638.16</v>
      </c>
      <c r="I184" s="19">
        <f t="shared" si="51"/>
        <v>190.95400000000001</v>
      </c>
    </row>
    <row r="185" spans="1:13" s="1" customFormat="1" ht="15.75" thickBot="1">
      <c r="A185" s="20"/>
      <c r="B185" s="21"/>
      <c r="C185" s="21"/>
      <c r="D185" s="21"/>
      <c r="E185" s="21"/>
      <c r="F185" s="21"/>
      <c r="G185" s="25"/>
      <c r="H185" s="51"/>
      <c r="I185" s="24">
        <f>SUM(I178:I184)</f>
        <v>708.25998695999988</v>
      </c>
      <c r="J185" s="3">
        <f>(14280+81197+15600+7285+450+20000+19000+62068+10000)*0.08+9940</f>
        <v>28330.400000000001</v>
      </c>
      <c r="K185" s="1">
        <f>I185*A179</f>
        <v>28330.399478399995</v>
      </c>
    </row>
    <row r="186" spans="1:13">
      <c r="A186" s="13" t="s">
        <v>81</v>
      </c>
      <c r="B186" s="14" t="s">
        <v>54</v>
      </c>
      <c r="C186" s="14" t="s">
        <v>56</v>
      </c>
      <c r="D186" s="14">
        <v>6310.1</v>
      </c>
      <c r="E186" s="16">
        <f>247*8*(A187/1974)</f>
        <v>114.11550151975685</v>
      </c>
      <c r="F186" s="34">
        <f>E186/A187</f>
        <v>1.0010131712259374</v>
      </c>
      <c r="G186" s="50">
        <f t="shared" ref="G186:G191" si="53">D186/E186*F186</f>
        <v>55.351754385964917</v>
      </c>
      <c r="H186" s="15">
        <v>2.2070599999999998</v>
      </c>
      <c r="I186" s="17">
        <f>H186*G186</f>
        <v>122.16464303508772</v>
      </c>
      <c r="J186" s="3">
        <f>107129*0.13</f>
        <v>13926.77</v>
      </c>
      <c r="K186" s="1">
        <f>I186*A187</f>
        <v>13926.769306</v>
      </c>
      <c r="L186" s="3">
        <f>J186-K186</f>
        <v>6.9400000029418152E-4</v>
      </c>
      <c r="M186" s="1">
        <f>J186/A187/G186</f>
        <v>2.2070601099824092</v>
      </c>
    </row>
    <row r="187" spans="1:13" s="1" customFormat="1" ht="33" customHeight="1">
      <c r="A187" s="18">
        <v>114</v>
      </c>
      <c r="B187" s="44" t="s">
        <v>55</v>
      </c>
      <c r="C187" s="5" t="s">
        <v>17</v>
      </c>
      <c r="D187" s="5">
        <v>1</v>
      </c>
      <c r="E187" s="7">
        <f>247*8*(A187/1974)</f>
        <v>114.11550151975685</v>
      </c>
      <c r="F187" s="35">
        <f>E187/A187</f>
        <v>1.0010131712259374</v>
      </c>
      <c r="G187" s="49">
        <f t="shared" si="53"/>
        <v>8.7719298245614048E-3</v>
      </c>
      <c r="H187" s="6">
        <f>40000*0.13</f>
        <v>5200</v>
      </c>
      <c r="I187" s="19">
        <f t="shared" ref="I187:I191" si="54">H187*G187</f>
        <v>45.614035087719301</v>
      </c>
    </row>
    <row r="188" spans="1:13" s="1" customFormat="1">
      <c r="A188" s="18"/>
      <c r="B188" s="5" t="s">
        <v>58</v>
      </c>
      <c r="C188" s="5" t="s">
        <v>17</v>
      </c>
      <c r="D188" s="5">
        <v>1</v>
      </c>
      <c r="E188" s="7">
        <f>247*8*(A187/1974)</f>
        <v>114.11550151975685</v>
      </c>
      <c r="F188" s="35">
        <f>E188/A187</f>
        <v>1.0010131712259374</v>
      </c>
      <c r="G188" s="49">
        <f t="shared" si="53"/>
        <v>8.7719298245614048E-3</v>
      </c>
      <c r="H188" s="6">
        <f>36000*0.13</f>
        <v>4680</v>
      </c>
      <c r="I188" s="19">
        <f t="shared" si="54"/>
        <v>41.052631578947377</v>
      </c>
    </row>
    <row r="189" spans="1:13" s="1" customFormat="1">
      <c r="A189" s="18"/>
      <c r="B189" s="5" t="s">
        <v>107</v>
      </c>
      <c r="C189" s="5" t="s">
        <v>17</v>
      </c>
      <c r="D189" s="5">
        <v>1</v>
      </c>
      <c r="E189" s="7">
        <f>247*8*(A187/1974)</f>
        <v>114.11550151975685</v>
      </c>
      <c r="F189" s="35">
        <f>E189/A187</f>
        <v>1.0010131712259374</v>
      </c>
      <c r="G189" s="49">
        <f t="shared" si="53"/>
        <v>8.7719298245614048E-3</v>
      </c>
      <c r="H189" s="6">
        <v>11928</v>
      </c>
      <c r="I189" s="19">
        <f t="shared" si="54"/>
        <v>104.63157894736844</v>
      </c>
    </row>
    <row r="190" spans="1:13" s="1" customFormat="1">
      <c r="A190" s="18"/>
      <c r="B190" s="5" t="s">
        <v>67</v>
      </c>
      <c r="C190" s="5" t="s">
        <v>17</v>
      </c>
      <c r="D190" s="5">
        <v>1</v>
      </c>
      <c r="E190" s="7">
        <f>247*8*(A187/1974)</f>
        <v>114.11550151975685</v>
      </c>
      <c r="F190" s="35">
        <f>E190/A187</f>
        <v>1.0010131712259374</v>
      </c>
      <c r="G190" s="49">
        <f t="shared" si="53"/>
        <v>8.7719298245614048E-3</v>
      </c>
      <c r="H190" s="6">
        <f>(15600+8503)*0.13</f>
        <v>3133.3900000000003</v>
      </c>
      <c r="I190" s="19">
        <f t="shared" si="54"/>
        <v>27.485877192982464</v>
      </c>
    </row>
    <row r="191" spans="1:13" s="1" customFormat="1">
      <c r="A191" s="18"/>
      <c r="B191" s="5" t="s">
        <v>68</v>
      </c>
      <c r="C191" s="5" t="s">
        <v>17</v>
      </c>
      <c r="D191" s="5">
        <v>1</v>
      </c>
      <c r="E191" s="7">
        <f>247*8*(A187/1974)</f>
        <v>114.11550151975685</v>
      </c>
      <c r="F191" s="35">
        <f>E191/A187</f>
        <v>1.0010131712259374</v>
      </c>
      <c r="G191" s="49">
        <f t="shared" si="53"/>
        <v>8.7719298245614048E-3</v>
      </c>
      <c r="H191" s="6">
        <f>97963*0.13</f>
        <v>12735.19</v>
      </c>
      <c r="I191" s="19">
        <f t="shared" si="54"/>
        <v>111.71219298245616</v>
      </c>
    </row>
    <row r="192" spans="1:13" s="1" customFormat="1" ht="15.75" thickBot="1">
      <c r="A192" s="20"/>
      <c r="B192" s="21"/>
      <c r="C192" s="21"/>
      <c r="D192" s="21"/>
      <c r="E192" s="21"/>
      <c r="F192" s="21"/>
      <c r="G192" s="25"/>
      <c r="H192" s="51"/>
      <c r="I192" s="24">
        <f>SUM(I186:I191)</f>
        <v>452.66095882456148</v>
      </c>
      <c r="J192" s="3">
        <f>(97963+15600+8503+40000+36000+107129)*0.13+11928</f>
        <v>51603.35</v>
      </c>
      <c r="K192" s="1">
        <f>I192*A187</f>
        <v>51603.349306000011</v>
      </c>
    </row>
    <row r="193" spans="1:13">
      <c r="A193" s="13" t="s">
        <v>82</v>
      </c>
      <c r="B193" s="14" t="s">
        <v>54</v>
      </c>
      <c r="C193" s="14" t="s">
        <v>56</v>
      </c>
      <c r="D193" s="14">
        <v>4100.8999999999996</v>
      </c>
      <c r="E193" s="16">
        <f>247*8*(A194/1974)</f>
        <v>33.033434650455924</v>
      </c>
      <c r="F193" s="34">
        <f>E193/A194</f>
        <v>1.0010131712259371</v>
      </c>
      <c r="G193" s="50">
        <f t="shared" ref="G193:G198" si="55">D193/E193*F193</f>
        <v>124.26969696969697</v>
      </c>
      <c r="H193" s="15">
        <v>2.376849</v>
      </c>
      <c r="I193" s="17">
        <f>H193*G193</f>
        <v>295.37030497272724</v>
      </c>
      <c r="J193" s="3">
        <f>69623*0.14</f>
        <v>9747.2200000000012</v>
      </c>
      <c r="K193" s="1">
        <f>I193*A194</f>
        <v>9747.2200640999981</v>
      </c>
      <c r="L193" s="3">
        <f>J193-K193</f>
        <v>-6.4099996961886063E-5</v>
      </c>
      <c r="M193" s="1">
        <f>J193/A194/G193</f>
        <v>2.3768489843692855</v>
      </c>
    </row>
    <row r="194" spans="1:13" s="1" customFormat="1" ht="33" customHeight="1">
      <c r="A194" s="18">
        <v>33</v>
      </c>
      <c r="B194" s="44" t="s">
        <v>55</v>
      </c>
      <c r="C194" s="5" t="s">
        <v>17</v>
      </c>
      <c r="D194" s="5">
        <v>1</v>
      </c>
      <c r="E194" s="7">
        <f>247*8*(A194/1974)</f>
        <v>33.033434650455924</v>
      </c>
      <c r="F194" s="35">
        <f>E194/A194</f>
        <v>1.0010131712259371</v>
      </c>
      <c r="G194" s="49">
        <f t="shared" si="55"/>
        <v>3.0303030303030304E-2</v>
      </c>
      <c r="H194" s="6">
        <f>10000*0.14</f>
        <v>1400.0000000000002</v>
      </c>
      <c r="I194" s="19">
        <f t="shared" ref="I194:I198" si="56">H194*G194</f>
        <v>42.424242424242429</v>
      </c>
    </row>
    <row r="195" spans="1:13" s="1" customFormat="1">
      <c r="A195" s="18"/>
      <c r="B195" s="5" t="s">
        <v>58</v>
      </c>
      <c r="C195" s="5" t="s">
        <v>17</v>
      </c>
      <c r="D195" s="5">
        <v>1</v>
      </c>
      <c r="E195" s="7">
        <f>247*8*(A194/1974)</f>
        <v>33.033434650455924</v>
      </c>
      <c r="F195" s="35">
        <f>E195/A194</f>
        <v>1.0010131712259371</v>
      </c>
      <c r="G195" s="49">
        <f t="shared" si="55"/>
        <v>3.0303030303030304E-2</v>
      </c>
      <c r="H195" s="6">
        <f>11000*0.14</f>
        <v>1540.0000000000002</v>
      </c>
      <c r="I195" s="19">
        <f t="shared" si="56"/>
        <v>46.666666666666671</v>
      </c>
    </row>
    <row r="196" spans="1:13" s="1" customFormat="1">
      <c r="A196" s="18"/>
      <c r="B196" s="5" t="s">
        <v>107</v>
      </c>
      <c r="C196" s="5" t="s">
        <v>17</v>
      </c>
      <c r="D196" s="5">
        <v>1</v>
      </c>
      <c r="E196" s="7">
        <f>247*8*(A194/1974)</f>
        <v>33.033434650455924</v>
      </c>
      <c r="F196" s="35">
        <f>E196/A194</f>
        <v>1.0010131712259371</v>
      </c>
      <c r="G196" s="49">
        <f t="shared" si="55"/>
        <v>3.0303030303030304E-2</v>
      </c>
      <c r="H196" s="6">
        <v>3479</v>
      </c>
      <c r="I196" s="19">
        <f t="shared" si="56"/>
        <v>105.42424242424242</v>
      </c>
    </row>
    <row r="197" spans="1:13" s="1" customFormat="1">
      <c r="A197" s="18"/>
      <c r="B197" s="5" t="s">
        <v>67</v>
      </c>
      <c r="C197" s="5" t="s">
        <v>17</v>
      </c>
      <c r="D197" s="5">
        <v>1</v>
      </c>
      <c r="E197" s="7">
        <f>247*8*(A194/1974)</f>
        <v>33.033434650455924</v>
      </c>
      <c r="F197" s="35">
        <f>E197/A194</f>
        <v>1.0010131712259371</v>
      </c>
      <c r="G197" s="49">
        <f t="shared" si="55"/>
        <v>3.0303030303030304E-2</v>
      </c>
      <c r="H197" s="6">
        <f>(15600+4240+2700)*0.14</f>
        <v>3155.6000000000004</v>
      </c>
      <c r="I197" s="19">
        <f t="shared" si="56"/>
        <v>95.624242424242439</v>
      </c>
    </row>
    <row r="198" spans="1:13" s="1" customFormat="1">
      <c r="A198" s="18"/>
      <c r="B198" s="5" t="s">
        <v>68</v>
      </c>
      <c r="C198" s="5" t="s">
        <v>17</v>
      </c>
      <c r="D198" s="5">
        <v>1</v>
      </c>
      <c r="E198" s="7">
        <f>247*8*(A194/1974)</f>
        <v>33.033434650455924</v>
      </c>
      <c r="F198" s="35">
        <f>E198/A194</f>
        <v>1.0010131712259371</v>
      </c>
      <c r="G198" s="49">
        <f t="shared" si="55"/>
        <v>3.0303030303030304E-2</v>
      </c>
      <c r="H198" s="6">
        <f>46471*0.14</f>
        <v>6505.9400000000005</v>
      </c>
      <c r="I198" s="19">
        <f t="shared" si="56"/>
        <v>197.149696969697</v>
      </c>
    </row>
    <row r="199" spans="1:13" s="1" customFormat="1" ht="15.75" thickBot="1">
      <c r="A199" s="20"/>
      <c r="B199" s="21"/>
      <c r="C199" s="21"/>
      <c r="D199" s="21"/>
      <c r="E199" s="21"/>
      <c r="F199" s="21"/>
      <c r="G199" s="25"/>
      <c r="H199" s="51"/>
      <c r="I199" s="24">
        <f>SUM(I193:I198)</f>
        <v>782.65939588181823</v>
      </c>
      <c r="J199" s="3">
        <f>(46471+15600+4240+2700+10000+11000+69623)*0.14+3479</f>
        <v>25827.760000000002</v>
      </c>
      <c r="K199" s="1">
        <f>I199*A194</f>
        <v>25827.760064100003</v>
      </c>
    </row>
    <row r="200" spans="1:13">
      <c r="A200" s="13" t="s">
        <v>83</v>
      </c>
      <c r="B200" s="14" t="s">
        <v>54</v>
      </c>
      <c r="C200" s="14" t="s">
        <v>56</v>
      </c>
      <c r="D200" s="14">
        <v>2611.1999999999998</v>
      </c>
      <c r="E200" s="16">
        <f>247*8*(A201/1974)</f>
        <v>0</v>
      </c>
      <c r="F200" s="34" t="e">
        <f>E200/A201</f>
        <v>#DIV/0!</v>
      </c>
      <c r="G200" s="50" t="e">
        <f t="shared" ref="G200:G205" si="57">D200/E200*F200</f>
        <v>#DIV/0!</v>
      </c>
      <c r="H200" s="15">
        <v>8.3188530000000007</v>
      </c>
      <c r="I200" s="17" t="e">
        <f>H200*G200</f>
        <v>#DIV/0!</v>
      </c>
      <c r="J200" s="3">
        <v>0</v>
      </c>
      <c r="K200" s="1">
        <v>0</v>
      </c>
      <c r="L200" s="3">
        <v>0</v>
      </c>
      <c r="M200" s="1">
        <v>0</v>
      </c>
    </row>
    <row r="201" spans="1:13" s="1" customFormat="1" ht="33" customHeight="1">
      <c r="A201" s="18"/>
      <c r="B201" s="44" t="s">
        <v>55</v>
      </c>
      <c r="C201" s="5" t="s">
        <v>17</v>
      </c>
      <c r="D201" s="5">
        <v>1</v>
      </c>
      <c r="E201" s="7">
        <f>247*8*(A201/1974)</f>
        <v>0</v>
      </c>
      <c r="F201" s="35" t="e">
        <f>E201/A201</f>
        <v>#DIV/0!</v>
      </c>
      <c r="G201" s="49" t="e">
        <f t="shared" si="57"/>
        <v>#DIV/0!</v>
      </c>
      <c r="H201" s="6">
        <f>10000*0.49</f>
        <v>4900</v>
      </c>
      <c r="I201" s="19" t="e">
        <f t="shared" ref="I201:I205" si="58">H201*G201</f>
        <v>#DIV/0!</v>
      </c>
    </row>
    <row r="202" spans="1:13" s="1" customFormat="1">
      <c r="A202" s="18"/>
      <c r="B202" s="5" t="s">
        <v>58</v>
      </c>
      <c r="C202" s="5" t="s">
        <v>17</v>
      </c>
      <c r="D202" s="5">
        <v>1</v>
      </c>
      <c r="E202" s="7">
        <f>247*8*(A201/1974)</f>
        <v>0</v>
      </c>
      <c r="F202" s="35" t="e">
        <f>E202/A201</f>
        <v>#DIV/0!</v>
      </c>
      <c r="G202" s="49" t="e">
        <f t="shared" si="57"/>
        <v>#DIV/0!</v>
      </c>
      <c r="H202" s="6">
        <f>9000*0.49</f>
        <v>4410</v>
      </c>
      <c r="I202" s="19" t="e">
        <f t="shared" si="58"/>
        <v>#DIV/0!</v>
      </c>
    </row>
    <row r="203" spans="1:13" s="1" customFormat="1">
      <c r="A203" s="18"/>
      <c r="B203" s="5" t="s">
        <v>106</v>
      </c>
      <c r="C203" s="5" t="s">
        <v>17</v>
      </c>
      <c r="D203" s="5">
        <v>1</v>
      </c>
      <c r="E203" s="7">
        <f>247*8*(A201/1974)</f>
        <v>0</v>
      </c>
      <c r="F203" s="35" t="e">
        <f>E203/A201</f>
        <v>#DIV/0!</v>
      </c>
      <c r="G203" s="49" t="e">
        <f t="shared" si="57"/>
        <v>#DIV/0!</v>
      </c>
      <c r="H203" s="6"/>
      <c r="I203" s="19" t="e">
        <f t="shared" si="58"/>
        <v>#DIV/0!</v>
      </c>
    </row>
    <row r="204" spans="1:13" s="1" customFormat="1">
      <c r="A204" s="18"/>
      <c r="B204" s="5" t="s">
        <v>67</v>
      </c>
      <c r="C204" s="5" t="s">
        <v>17</v>
      </c>
      <c r="D204" s="5">
        <v>1</v>
      </c>
      <c r="E204" s="7">
        <f>247*8*(A201/1974)</f>
        <v>0</v>
      </c>
      <c r="F204" s="35" t="e">
        <f>E204/A201</f>
        <v>#DIV/0!</v>
      </c>
      <c r="G204" s="49" t="e">
        <f t="shared" si="57"/>
        <v>#DIV/0!</v>
      </c>
      <c r="H204" s="6">
        <f>(15600+4240+2700)*0.49</f>
        <v>11044.6</v>
      </c>
      <c r="I204" s="19" t="e">
        <f t="shared" si="58"/>
        <v>#DIV/0!</v>
      </c>
    </row>
    <row r="205" spans="1:13" s="1" customFormat="1">
      <c r="A205" s="18"/>
      <c r="B205" s="5" t="s">
        <v>68</v>
      </c>
      <c r="C205" s="5" t="s">
        <v>17</v>
      </c>
      <c r="D205" s="5">
        <v>1</v>
      </c>
      <c r="E205" s="7">
        <f>247*8*(A201/1974)</f>
        <v>0</v>
      </c>
      <c r="F205" s="35" t="e">
        <f>E205/A201</f>
        <v>#DIV/0!</v>
      </c>
      <c r="G205" s="49" t="e">
        <f t="shared" si="57"/>
        <v>#DIV/0!</v>
      </c>
      <c r="H205" s="6">
        <f>47577*0.49</f>
        <v>23312.73</v>
      </c>
      <c r="I205" s="19" t="e">
        <f t="shared" si="58"/>
        <v>#DIV/0!</v>
      </c>
    </row>
    <row r="206" spans="1:13" s="1" customFormat="1" ht="15.75" thickBot="1">
      <c r="A206" s="20"/>
      <c r="B206" s="21"/>
      <c r="C206" s="21"/>
      <c r="D206" s="21"/>
      <c r="E206" s="21"/>
      <c r="F206" s="21"/>
      <c r="G206" s="25"/>
      <c r="H206" s="51"/>
      <c r="I206" s="24" t="e">
        <f>SUM(I200:I205)</f>
        <v>#DIV/0!</v>
      </c>
      <c r="J206" s="3">
        <v>0</v>
      </c>
      <c r="K206" s="1">
        <v>0</v>
      </c>
    </row>
    <row r="208" spans="1:13">
      <c r="I208" s="1">
        <v>1</v>
      </c>
      <c r="J208" s="1">
        <f>14700+63237+15600+5458+450+5964+85033</f>
        <v>190442</v>
      </c>
      <c r="K208" s="1">
        <f>K148+K80+K13</f>
        <v>190441.9971455</v>
      </c>
      <c r="L208" s="1">
        <f>J208-K208</f>
        <v>2.8544999950099736E-3</v>
      </c>
    </row>
    <row r="209" spans="9:12">
      <c r="I209" s="1">
        <v>2</v>
      </c>
      <c r="J209" s="1">
        <f>111323+15600+9112+4970+44000+68720</f>
        <v>253725</v>
      </c>
      <c r="K209" s="1">
        <f>K155+K87+K20</f>
        <v>253724.99965075002</v>
      </c>
      <c r="L209" s="1">
        <f t="shared" ref="L209:L216" si="59">J209-K209</f>
        <v>3.4924998180940747E-4</v>
      </c>
    </row>
    <row r="210" spans="9:12">
      <c r="I210" s="1">
        <v>3</v>
      </c>
      <c r="J210" s="1">
        <f>51492+15600+4545+2700+5964+29000+38765</f>
        <v>148066</v>
      </c>
      <c r="K210" s="1">
        <f>K162+K94+K27</f>
        <v>148065.99974600002</v>
      </c>
      <c r="L210" s="1">
        <f t="shared" si="59"/>
        <v>2.5399998412467539E-4</v>
      </c>
    </row>
    <row r="211" spans="9:12">
      <c r="I211" s="1">
        <v>7</v>
      </c>
      <c r="J211" s="1">
        <f>14700+90133+15600+7894+450+9940+71000+103659</f>
        <v>313376</v>
      </c>
      <c r="K211" s="1">
        <f>K170+K101+K34</f>
        <v>313376.00276549999</v>
      </c>
      <c r="L211" s="1">
        <f t="shared" si="59"/>
        <v>-2.7654999867081642E-3</v>
      </c>
    </row>
    <row r="212" spans="9:12">
      <c r="I212" s="1">
        <v>9</v>
      </c>
      <c r="J212" s="1">
        <f>104090+23400+8807+1350+9940+65000+125762</f>
        <v>338349</v>
      </c>
      <c r="K212" s="1">
        <f>K177+K108+K41</f>
        <v>338348.99565279996</v>
      </c>
      <c r="L212" s="1">
        <f t="shared" si="59"/>
        <v>4.3472000397741795E-3</v>
      </c>
    </row>
    <row r="213" spans="9:12">
      <c r="I213" s="1">
        <v>14</v>
      </c>
      <c r="J213" s="1">
        <f>81197+15600+7285+450+9940+49000+62068+14280</f>
        <v>239820</v>
      </c>
      <c r="K213" s="1">
        <f>K185+K115+K48</f>
        <v>239819.99743039999</v>
      </c>
      <c r="L213" s="1">
        <f t="shared" si="59"/>
        <v>2.5696000084280968E-3</v>
      </c>
    </row>
    <row r="214" spans="9:12">
      <c r="I214" s="1">
        <v>8</v>
      </c>
      <c r="J214" s="1">
        <f>97963+15600+8503+11928+76000+107129</f>
        <v>317123</v>
      </c>
      <c r="K214" s="1">
        <f>K192+K122+K55</f>
        <v>317122.99708850001</v>
      </c>
      <c r="L214" s="1">
        <f t="shared" si="59"/>
        <v>2.9114999924786389E-3</v>
      </c>
    </row>
    <row r="215" spans="9:12">
      <c r="I215" s="1">
        <v>4</v>
      </c>
      <c r="J215" s="1">
        <f>46471+15600+4240+2700+3479+21000+69623</f>
        <v>163113</v>
      </c>
      <c r="K215" s="1">
        <f>K199+K129+K62</f>
        <v>163113.00104370003</v>
      </c>
      <c r="L215" s="1">
        <f t="shared" si="59"/>
        <v>-1.0437000310048461E-3</v>
      </c>
    </row>
    <row r="216" spans="9:12">
      <c r="I216" s="1">
        <v>11</v>
      </c>
      <c r="J216" s="1">
        <f>47577+15600+4240+2700+19000+44331</f>
        <v>133448</v>
      </c>
      <c r="K216" s="1">
        <f>K206+K136+K69</f>
        <v>133447.99781120001</v>
      </c>
      <c r="L216" s="1">
        <f t="shared" si="59"/>
        <v>2.1887999901082367E-3</v>
      </c>
    </row>
  </sheetData>
  <mergeCells count="1">
    <mergeCell ref="A1:H1"/>
  </mergeCells>
  <pageMargins left="0.11811023622047245" right="0" top="0.15748031496062992" bottom="0" header="0.31496062992125984" footer="0.31496062992125984"/>
  <pageSetup paperSize="9" scale="8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ком.усл</vt:lpstr>
      <vt:lpstr>сод.недв.им.</vt:lpstr>
      <vt:lpstr>сод.ОЦДИ</vt:lpstr>
      <vt:lpstr>з.пл.</vt:lpstr>
      <vt:lpstr>прочие общ.х.н</vt:lpstr>
      <vt:lpstr>з.пл.!Заголовки_для_печати</vt:lpstr>
      <vt:lpstr>ком.усл!Заголовки_для_печати</vt:lpstr>
      <vt:lpstr>'прочие общ.х.н'!Заголовки_для_печати</vt:lpstr>
      <vt:lpstr>сод.недв.им.!Заголовки_для_печати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2016-01-20T08:57:35Z</dcterms:modified>
</cp:coreProperties>
</file>