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8345" windowHeight="11430" activeTab="3"/>
  </bookViews>
  <sheets>
    <sheet name="СВОД" sheetId="14" r:id="rId1"/>
    <sheet name="Услуга №1  " sheetId="11" r:id="rId2"/>
    <sheet name="Работа №1" sheetId="12" r:id="rId3"/>
    <sheet name="Работа №2" sheetId="13" r:id="rId4"/>
  </sheets>
  <definedNames>
    <definedName name="_xlnm.Print_Area" localSheetId="2">'Работа №1'!$A$1:$L$92</definedName>
    <definedName name="_xlnm.Print_Area" localSheetId="1">'Услуга №1  '!$A$1:$L$92</definedName>
  </definedNames>
  <calcPr calcId="162913"/>
</workbook>
</file>

<file path=xl/calcChain.xml><?xml version="1.0" encoding="utf-8"?>
<calcChain xmlns="http://schemas.openxmlformats.org/spreadsheetml/2006/main">
  <c r="K64" i="13" l="1"/>
  <c r="K70" i="13"/>
  <c r="K77" i="13"/>
  <c r="K81" i="13"/>
  <c r="K84" i="13"/>
  <c r="K80" i="12"/>
  <c r="K73" i="12"/>
  <c r="K66" i="12"/>
  <c r="K60" i="12"/>
  <c r="I87" i="11"/>
  <c r="K80" i="11"/>
  <c r="I84" i="13"/>
  <c r="I83" i="13"/>
  <c r="J83" i="13"/>
  <c r="K83" i="13"/>
  <c r="I80" i="12"/>
  <c r="J79" i="12"/>
  <c r="I79" i="12"/>
  <c r="K79" i="12" s="1"/>
  <c r="I80" i="11"/>
  <c r="I79" i="11"/>
  <c r="J79" i="11"/>
  <c r="K79" i="11" s="1"/>
  <c r="I46" i="13"/>
  <c r="K46" i="13"/>
  <c r="G57" i="11"/>
  <c r="K59" i="11" l="1"/>
  <c r="G56" i="11"/>
  <c r="G57" i="12"/>
  <c r="J64" i="12"/>
  <c r="J59" i="12"/>
  <c r="J63" i="11"/>
  <c r="K58" i="11"/>
  <c r="G45" i="11"/>
  <c r="G46" i="11"/>
  <c r="G47" i="11"/>
  <c r="G48" i="11"/>
  <c r="G49" i="11"/>
  <c r="G51" i="11"/>
  <c r="G50" i="11"/>
  <c r="I41" i="13"/>
  <c r="G40" i="11"/>
  <c r="G39" i="11"/>
  <c r="G38" i="11"/>
  <c r="G37" i="11"/>
  <c r="K59" i="12"/>
  <c r="A91" i="12" l="1"/>
  <c r="A95" i="13" s="1"/>
  <c r="H71" i="11" l="1"/>
  <c r="I71" i="11" s="1"/>
  <c r="H56" i="13" l="1"/>
  <c r="G56" i="13" s="1"/>
  <c r="H51" i="12"/>
  <c r="G51" i="12" s="1"/>
  <c r="F75" i="13"/>
  <c r="F76" i="13"/>
  <c r="I45" i="13" l="1"/>
  <c r="H78" i="12" l="1"/>
  <c r="H77" i="12"/>
  <c r="H82" i="13"/>
  <c r="H81" i="13"/>
  <c r="H69" i="13"/>
  <c r="H68" i="13"/>
  <c r="H65" i="12"/>
  <c r="H64" i="12"/>
  <c r="H62" i="13"/>
  <c r="G62" i="13" s="1"/>
  <c r="H58" i="12"/>
  <c r="G58" i="12" s="1"/>
  <c r="H55" i="13"/>
  <c r="G55" i="13" s="1"/>
  <c r="H61" i="13"/>
  <c r="G61" i="13" s="1"/>
  <c r="H53" i="13"/>
  <c r="G53" i="13" s="1"/>
  <c r="H54" i="13"/>
  <c r="G54" i="13" s="1"/>
  <c r="H51" i="13"/>
  <c r="G51" i="13" s="1"/>
  <c r="H52" i="13"/>
  <c r="G52" i="13" s="1"/>
  <c r="H50" i="13"/>
  <c r="G50" i="13" s="1"/>
  <c r="H50" i="12"/>
  <c r="G50" i="12" s="1"/>
  <c r="H56" i="12"/>
  <c r="G56" i="12" s="1"/>
  <c r="H48" i="12"/>
  <c r="G48" i="12" s="1"/>
  <c r="H49" i="12"/>
  <c r="G49" i="12" s="1"/>
  <c r="H46" i="12"/>
  <c r="G46" i="12" s="1"/>
  <c r="H47" i="12"/>
  <c r="G47" i="12" s="1"/>
  <c r="H45" i="12"/>
  <c r="G45" i="12" s="1"/>
  <c r="H38" i="13"/>
  <c r="G38" i="13" s="1"/>
  <c r="H39" i="13"/>
  <c r="G39" i="13" s="1"/>
  <c r="H40" i="13"/>
  <c r="G40" i="13" s="1"/>
  <c r="H37" i="13"/>
  <c r="G37" i="13" s="1"/>
  <c r="H38" i="12"/>
  <c r="G38" i="12" s="1"/>
  <c r="H39" i="12"/>
  <c r="G39" i="12" s="1"/>
  <c r="H40" i="12"/>
  <c r="G40" i="12" s="1"/>
  <c r="H37" i="12"/>
  <c r="G37" i="12" s="1"/>
  <c r="F28" i="13"/>
  <c r="F29" i="13"/>
  <c r="F30" i="13"/>
  <c r="F31" i="13"/>
  <c r="F32" i="13"/>
  <c r="F27" i="13"/>
  <c r="F72" i="12"/>
  <c r="F71" i="12"/>
  <c r="F28" i="12"/>
  <c r="F29" i="12"/>
  <c r="F30" i="12"/>
  <c r="F31" i="12"/>
  <c r="F32" i="12"/>
  <c r="F27" i="12"/>
  <c r="I78" i="11" l="1"/>
  <c r="I77" i="11"/>
  <c r="H72" i="11"/>
  <c r="I72" i="11" s="1"/>
  <c r="I64" i="11"/>
  <c r="I63" i="11"/>
  <c r="I52" i="11"/>
  <c r="I41" i="11"/>
  <c r="H32" i="11"/>
  <c r="I32" i="11" s="1"/>
  <c r="H31" i="11"/>
  <c r="I31" i="11" s="1"/>
  <c r="H30" i="11"/>
  <c r="I30" i="11" s="1"/>
  <c r="H29" i="11"/>
  <c r="I29" i="11" s="1"/>
  <c r="H28" i="11"/>
  <c r="I28" i="11" s="1"/>
  <c r="J27" i="11"/>
  <c r="J28" i="11" s="1"/>
  <c r="H27" i="11"/>
  <c r="I27" i="11" s="1"/>
  <c r="I78" i="12"/>
  <c r="I77" i="12"/>
  <c r="H72" i="12"/>
  <c r="I72" i="12" s="1"/>
  <c r="H71" i="12"/>
  <c r="I71" i="12" s="1"/>
  <c r="I65" i="12"/>
  <c r="I64" i="12"/>
  <c r="H32" i="12"/>
  <c r="I32" i="12" s="1"/>
  <c r="H31" i="12"/>
  <c r="I31" i="12" s="1"/>
  <c r="H30" i="12"/>
  <c r="I30" i="12" s="1"/>
  <c r="H29" i="12"/>
  <c r="I29" i="12" s="1"/>
  <c r="H28" i="12"/>
  <c r="I28" i="12" s="1"/>
  <c r="J27" i="12"/>
  <c r="J28" i="12" s="1"/>
  <c r="H27" i="12"/>
  <c r="I27" i="12" s="1"/>
  <c r="I82" i="13"/>
  <c r="I81" i="13"/>
  <c r="H76" i="13"/>
  <c r="I76" i="13" s="1"/>
  <c r="H75" i="13"/>
  <c r="I75" i="13" s="1"/>
  <c r="I69" i="13"/>
  <c r="I68" i="13"/>
  <c r="I64" i="13"/>
  <c r="I103" i="13"/>
  <c r="B13" i="14" s="1"/>
  <c r="H32" i="13"/>
  <c r="I32" i="13" s="1"/>
  <c r="H31" i="13"/>
  <c r="I31" i="13" s="1"/>
  <c r="H30" i="13"/>
  <c r="I30" i="13" s="1"/>
  <c r="H29" i="13"/>
  <c r="I29" i="13" s="1"/>
  <c r="H28" i="13"/>
  <c r="I28" i="13" s="1"/>
  <c r="J27" i="13"/>
  <c r="J28" i="13" s="1"/>
  <c r="H27" i="13"/>
  <c r="I27" i="13" s="1"/>
  <c r="I98" i="11" l="1"/>
  <c r="I97" i="11"/>
  <c r="K28" i="13"/>
  <c r="I70" i="13"/>
  <c r="I101" i="13" s="1"/>
  <c r="I102" i="13"/>
  <c r="I57" i="13"/>
  <c r="I99" i="13" s="1"/>
  <c r="I52" i="12"/>
  <c r="I98" i="12" s="1"/>
  <c r="K28" i="11"/>
  <c r="I65" i="11"/>
  <c r="I100" i="11" s="1"/>
  <c r="I101" i="11"/>
  <c r="I66" i="12"/>
  <c r="I98" i="13"/>
  <c r="K27" i="11"/>
  <c r="I33" i="11"/>
  <c r="J71" i="11"/>
  <c r="J72" i="11" s="1"/>
  <c r="J77" i="11" s="1"/>
  <c r="J78" i="11" s="1"/>
  <c r="K78" i="11" s="1"/>
  <c r="J29" i="11"/>
  <c r="K29" i="11" s="1"/>
  <c r="I73" i="11"/>
  <c r="J31" i="12"/>
  <c r="J29" i="12"/>
  <c r="K31" i="12"/>
  <c r="I73" i="12"/>
  <c r="I33" i="12"/>
  <c r="K27" i="12"/>
  <c r="K28" i="12"/>
  <c r="I33" i="13"/>
  <c r="K27" i="13"/>
  <c r="I77" i="13"/>
  <c r="J29" i="13"/>
  <c r="J37" i="13"/>
  <c r="J38" i="13" s="1"/>
  <c r="K29" i="13"/>
  <c r="I100" i="13"/>
  <c r="I101" i="12" l="1"/>
  <c r="B12" i="14" s="1"/>
  <c r="I100" i="12"/>
  <c r="B11" i="14" s="1"/>
  <c r="B9" i="14"/>
  <c r="K37" i="13"/>
  <c r="I97" i="13"/>
  <c r="I96" i="12"/>
  <c r="K71" i="11"/>
  <c r="I96" i="11"/>
  <c r="I91" i="13"/>
  <c r="K72" i="11"/>
  <c r="K77" i="11"/>
  <c r="K101" i="11" s="1"/>
  <c r="J31" i="11"/>
  <c r="J30" i="11"/>
  <c r="K30" i="11" s="1"/>
  <c r="J71" i="12"/>
  <c r="J30" i="12"/>
  <c r="J37" i="12"/>
  <c r="K29" i="12"/>
  <c r="J31" i="13"/>
  <c r="K31" i="13" s="1"/>
  <c r="J30" i="13"/>
  <c r="J75" i="13"/>
  <c r="J40" i="13"/>
  <c r="J45" i="13" s="1"/>
  <c r="J51" i="13"/>
  <c r="J39" i="13"/>
  <c r="K39" i="13" s="1"/>
  <c r="K38" i="13"/>
  <c r="K73" i="11" l="1"/>
  <c r="B7" i="14"/>
  <c r="J37" i="11"/>
  <c r="J32" i="11"/>
  <c r="K32" i="11" s="1"/>
  <c r="K31" i="11"/>
  <c r="J32" i="12"/>
  <c r="K32" i="12" s="1"/>
  <c r="K30" i="12"/>
  <c r="J38" i="12"/>
  <c r="J72" i="12"/>
  <c r="K71" i="12"/>
  <c r="J50" i="13"/>
  <c r="K50" i="13" s="1"/>
  <c r="K40" i="13"/>
  <c r="K41" i="13" s="1"/>
  <c r="J32" i="13"/>
  <c r="K32" i="13" s="1"/>
  <c r="K30" i="13"/>
  <c r="J52" i="13"/>
  <c r="K51" i="13"/>
  <c r="J76" i="13"/>
  <c r="K75" i="13"/>
  <c r="K45" i="13" l="1"/>
  <c r="D89" i="13"/>
  <c r="K98" i="13"/>
  <c r="I85" i="11"/>
  <c r="K33" i="12"/>
  <c r="A85" i="12" s="1"/>
  <c r="K33" i="11"/>
  <c r="K96" i="11" s="1"/>
  <c r="K33" i="13"/>
  <c r="J45" i="11"/>
  <c r="K45" i="11" s="1"/>
  <c r="J38" i="11"/>
  <c r="K37" i="11"/>
  <c r="J77" i="12"/>
  <c r="K72" i="12"/>
  <c r="J46" i="12"/>
  <c r="J40" i="12"/>
  <c r="J39" i="12"/>
  <c r="K39" i="12" s="1"/>
  <c r="K38" i="12"/>
  <c r="J81" i="13"/>
  <c r="K76" i="13"/>
  <c r="I89" i="13" s="1"/>
  <c r="J54" i="13"/>
  <c r="J56" i="13" s="1"/>
  <c r="K56" i="13" s="1"/>
  <c r="J53" i="13"/>
  <c r="K52" i="13"/>
  <c r="K103" i="13" l="1"/>
  <c r="C13" i="14" s="1"/>
  <c r="I85" i="12"/>
  <c r="K96" i="12"/>
  <c r="K97" i="13"/>
  <c r="A85" i="11"/>
  <c r="A89" i="13"/>
  <c r="J39" i="11"/>
  <c r="J40" i="11"/>
  <c r="K40" i="11" s="1"/>
  <c r="K38" i="11"/>
  <c r="J47" i="12"/>
  <c r="K46" i="12"/>
  <c r="J78" i="12"/>
  <c r="K78" i="12" s="1"/>
  <c r="K77" i="12"/>
  <c r="J45" i="12"/>
  <c r="K45" i="12" s="1"/>
  <c r="K40" i="12"/>
  <c r="J55" i="13"/>
  <c r="K54" i="13"/>
  <c r="J82" i="13"/>
  <c r="K82" i="13" s="1"/>
  <c r="J61" i="13"/>
  <c r="K53" i="13"/>
  <c r="C7" i="14" l="1"/>
  <c r="B89" i="13"/>
  <c r="K101" i="12"/>
  <c r="J46" i="11"/>
  <c r="K39" i="11"/>
  <c r="K41" i="11" s="1"/>
  <c r="J48" i="12"/>
  <c r="J49" i="12"/>
  <c r="J51" i="12" s="1"/>
  <c r="K51" i="12" s="1"/>
  <c r="K47" i="12"/>
  <c r="K61" i="13"/>
  <c r="J62" i="13"/>
  <c r="J63" i="13" s="1"/>
  <c r="K55" i="13"/>
  <c r="K57" i="13" s="1"/>
  <c r="K99" i="13" s="1"/>
  <c r="K102" i="13"/>
  <c r="J68" i="13" l="1"/>
  <c r="K63" i="13"/>
  <c r="D85" i="11"/>
  <c r="K97" i="11"/>
  <c r="C12" i="14"/>
  <c r="E89" i="13"/>
  <c r="J47" i="11"/>
  <c r="K46" i="11"/>
  <c r="J50" i="12"/>
  <c r="K49" i="12"/>
  <c r="J56" i="12"/>
  <c r="K48" i="12"/>
  <c r="K62" i="13"/>
  <c r="J49" i="11" l="1"/>
  <c r="J51" i="11" s="1"/>
  <c r="K51" i="11" s="1"/>
  <c r="J48" i="11"/>
  <c r="K47" i="11"/>
  <c r="J57" i="12"/>
  <c r="K57" i="12" s="1"/>
  <c r="J58" i="12"/>
  <c r="K50" i="12"/>
  <c r="K100" i="13" l="1"/>
  <c r="K52" i="12"/>
  <c r="K98" i="12" s="1"/>
  <c r="J89" i="13"/>
  <c r="J56" i="11"/>
  <c r="K48" i="11"/>
  <c r="J50" i="11"/>
  <c r="J57" i="11" s="1"/>
  <c r="K57" i="11" s="1"/>
  <c r="K49" i="11"/>
  <c r="K58" i="12"/>
  <c r="J69" i="13"/>
  <c r="K69" i="13" s="1"/>
  <c r="K68" i="13"/>
  <c r="E85" i="12" l="1"/>
  <c r="K50" i="11"/>
  <c r="G89" i="13" l="1"/>
  <c r="K89" i="13" s="1"/>
  <c r="K91" i="13" s="1"/>
  <c r="K101" i="13"/>
  <c r="K52" i="11"/>
  <c r="K98" i="11" s="1"/>
  <c r="C9" i="14" s="1"/>
  <c r="J65" i="12"/>
  <c r="K65" i="12" s="1"/>
  <c r="K64" i="12"/>
  <c r="E85" i="11" l="1"/>
  <c r="G85" i="12" l="1"/>
  <c r="K100" i="12"/>
  <c r="J64" i="11"/>
  <c r="K64" i="11" s="1"/>
  <c r="K63" i="11"/>
  <c r="K65" i="11" s="1"/>
  <c r="G85" i="11" l="1"/>
  <c r="K100" i="11"/>
  <c r="C11" i="14" s="1"/>
  <c r="L23" i="13"/>
  <c r="F23" i="13"/>
  <c r="L23" i="12"/>
  <c r="F23" i="12"/>
  <c r="L23" i="11" l="1"/>
  <c r="F23" i="11"/>
  <c r="I59" i="11" l="1"/>
  <c r="K56" i="11" l="1"/>
  <c r="I99" i="11"/>
  <c r="I41" i="12"/>
  <c r="J85" i="11" l="1"/>
  <c r="K85" i="11" s="1"/>
  <c r="K87" i="11" s="1"/>
  <c r="I97" i="12"/>
  <c r="B8" i="14" s="1"/>
  <c r="K37" i="12"/>
  <c r="K41" i="12" s="1"/>
  <c r="K99" i="11" l="1"/>
  <c r="D85" i="12"/>
  <c r="K97" i="12"/>
  <c r="C8" i="14" s="1"/>
  <c r="K56" i="12"/>
  <c r="J85" i="12" l="1"/>
  <c r="K85" i="12" s="1"/>
  <c r="K87" i="12" s="1"/>
  <c r="B2" i="14" s="1"/>
  <c r="K99" i="12"/>
  <c r="C10" i="14" s="1"/>
  <c r="C14" i="14" s="1"/>
  <c r="I60" i="12"/>
  <c r="I99" i="12" l="1"/>
  <c r="B10" i="14" s="1"/>
  <c r="B14" i="14" s="1"/>
  <c r="I87" i="12"/>
  <c r="A2" i="14" s="1"/>
</calcChain>
</file>

<file path=xl/sharedStrings.xml><?xml version="1.0" encoding="utf-8"?>
<sst xmlns="http://schemas.openxmlformats.org/spreadsheetml/2006/main" count="471" uniqueCount="109">
  <si>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</si>
  <si>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</si>
  <si>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</si>
  <si>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</si>
  <si>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</si>
  <si>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</si>
  <si>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</si>
  <si>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</si>
  <si>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</si>
  <si>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</si>
  <si>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</si>
  <si>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</si>
  <si>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</si>
  <si>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Итого коммунальные услуги</t>
  </si>
  <si>
    <t>Затраты на содержание объектов недвижимого имущества</t>
  </si>
  <si>
    <t>Вывоз мусора</t>
  </si>
  <si>
    <t>Промывка теплосети</t>
  </si>
  <si>
    <t>договор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</si>
  <si>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</si>
  <si>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</si>
  <si>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</si>
  <si>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</si>
  <si>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</si>
  <si>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</si>
  <si>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</si>
  <si>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</si>
  <si>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</si>
  <si>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</si>
  <si>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</si>
  <si>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</si>
  <si>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</si>
  <si>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</si>
  <si>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</si>
  <si>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</si>
  <si>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</si>
  <si>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</si>
  <si>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</si>
  <si>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</si>
  <si>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</si>
  <si>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</si>
  <si>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ТО видеонаблюдения</t>
  </si>
  <si>
    <t>Заместитель директора по основной деятельности</t>
  </si>
  <si>
    <t>Директор</t>
  </si>
  <si>
    <t>Библиотекарь</t>
  </si>
  <si>
    <t>Заведующий отделом</t>
  </si>
  <si>
    <t>Заведующий филиалом</t>
  </si>
  <si>
    <t>Редактор</t>
  </si>
  <si>
    <t>Обслуживание программы Ирбис</t>
  </si>
  <si>
    <t>Зам. директора (по основной деятельности)</t>
  </si>
  <si>
    <t xml:space="preserve">Директор МБУК "ЦБС"                                                                                                   </t>
  </si>
  <si>
    <t>О. С. Рогачева</t>
  </si>
  <si>
    <t>8(39155) 7-45-95</t>
  </si>
  <si>
    <t>Утверждаю</t>
  </si>
  <si>
    <t xml:space="preserve">Приказ № _____  от   _________________ </t>
  </si>
  <si>
    <t>_________________________ Н.Н.Гурулев</t>
  </si>
  <si>
    <t>ИСХОДНЫЕ ДАННЫЕ И РЕЗУЛЬТАТЫ РАСЧЕТОВ МБУК "ЦБС" г.НАЗАРОВО</t>
  </si>
  <si>
    <r>
      <t xml:space="preserve">Услуга: </t>
    </r>
    <r>
      <rPr>
        <sz val="11"/>
        <color theme="1"/>
        <rFont val="Times New Roman"/>
        <family val="1"/>
        <charset val="204"/>
      </rPr>
      <t>Библиотечное, библиографическое и информационное обслуживание пользователей библиотеки.</t>
    </r>
  </si>
  <si>
    <t xml:space="preserve">Библиограф </t>
  </si>
  <si>
    <t xml:space="preserve">Нормативный объем </t>
  </si>
  <si>
    <t xml:space="preserve">Тариф (цена), рублей </t>
  </si>
  <si>
    <t>ТО средств пожарной сигнализации</t>
  </si>
  <si>
    <t>Услуги по дератизации и дезинсекции помещений</t>
  </si>
  <si>
    <t>Плата за содержание и текущий ремонт общего имущества МКД</t>
  </si>
  <si>
    <r>
      <t>Содержание услуги: с</t>
    </r>
    <r>
      <rPr>
        <sz val="11"/>
        <color theme="1"/>
        <rFont val="Times New Roman"/>
        <family val="1"/>
        <charset val="204"/>
      </rPr>
      <t xml:space="preserve">тационар, вне стационара  </t>
    </r>
  </si>
  <si>
    <t>Штатное расписание: 40,5 человек</t>
  </si>
  <si>
    <r>
      <t>Работа:</t>
    </r>
    <r>
      <rPr>
        <sz val="11"/>
        <color theme="1"/>
        <rFont val="Times New Roman"/>
        <family val="1"/>
        <charset val="204"/>
      </rPr>
      <t xml:space="preserve"> Библиографическая обработка документов и создание каталогов  </t>
    </r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</si>
  <si>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1900 ед. документов</t>
    </r>
  </si>
  <si>
    <t>Специалист по библиотечно-выставочной работе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</si>
  <si>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</si>
  <si>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</si>
  <si>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</si>
  <si>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</si>
  <si>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Итого работники,  связанные с оказанием услуг</t>
  </si>
  <si>
    <t>СВОД (рубли)</t>
  </si>
  <si>
    <t>СВОД (норматив)</t>
  </si>
  <si>
    <t>Сумма в год</t>
  </si>
  <si>
    <t>объекты</t>
  </si>
  <si>
    <t>Итого содержание объектов недвиж.имущества</t>
  </si>
  <si>
    <t>Затраты на прочие работы, услуги</t>
  </si>
  <si>
    <t>Реагирование на срабатывание средств тревожной сигнализации</t>
  </si>
  <si>
    <t>Итого прочие работы, услуги</t>
  </si>
  <si>
    <t>Типографские работы, приобретение бибтехники</t>
  </si>
  <si>
    <t>Затраты на услуги связи</t>
  </si>
  <si>
    <t>Интернет</t>
  </si>
  <si>
    <t>кол-во точек, ед.</t>
  </si>
  <si>
    <t>Затраты на прочие расходы</t>
  </si>
  <si>
    <t>Итого прочие расходы</t>
  </si>
  <si>
    <t>Прочие затраты</t>
  </si>
  <si>
    <t>Обеспечение мероприятий</t>
  </si>
  <si>
    <t>БАЗОВОГО НОРМАТИВА ЗАТРАТ НА ОКАЗАНИЕ МУНИЦИПАЛЬНЫХ УСЛУГ (РАБОТ)</t>
  </si>
  <si>
    <r>
      <t>Содержание работы: с</t>
    </r>
    <r>
      <rPr>
        <sz val="11"/>
        <color theme="1"/>
        <rFont val="Times New Roman"/>
        <family val="1"/>
        <charset val="204"/>
      </rPr>
      <t xml:space="preserve">тационар, вне стационара  </t>
    </r>
  </si>
  <si>
    <r>
      <t>Планируемое число документов в год:</t>
    </r>
    <r>
      <rPr>
        <sz val="11"/>
        <color theme="1"/>
        <rFont val="Times New Roman"/>
        <family val="1"/>
        <charset val="204"/>
      </rPr>
      <t xml:space="preserve"> ед. </t>
    </r>
  </si>
  <si>
    <r>
      <t>Планируемое число потребителей услуги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</si>
  <si>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208660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человек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</si>
  <si>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Формирование, учет, изучение, обеспечение физического сохранения и безопасности фондов библиотек, включая в интересах общества оцифровку фондов</t>
    </r>
  </si>
  <si>
    <t>Особо ценное движимое имущество</t>
  </si>
  <si>
    <t>Наименование орсобо ценного движимого имущества</t>
  </si>
  <si>
    <t>Комплектование книжных фондов</t>
  </si>
  <si>
    <t>Итого ОЦДИ</t>
  </si>
  <si>
    <t>Содержание общего имущества МКД ООО "Жилфонд", ООО "Жилкомсервис"</t>
  </si>
  <si>
    <t>290+340</t>
  </si>
  <si>
    <t>296 (831)</t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</si>
  <si>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168389 ед. документов</t>
    </r>
  </si>
  <si>
    <t>"______" _________________2019 г.</t>
  </si>
  <si>
    <t>НА 29.12.2018г.</t>
  </si>
  <si>
    <t>Курлович Анастасия Вячеславовна</t>
  </si>
  <si>
    <t>Подключение и обслуживание охранной сигнализации</t>
  </si>
  <si>
    <t>Членские взносы в краевое библиотечное агенство</t>
  </si>
  <si>
    <t>Приобретение6 бибтехники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</si>
</sst>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4" fillId="0" borderId="0"/>
  </cellStyleXfs>
  <cellXfs count="148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0" fontId="0" fillId="0" borderId="0" xfId="0" applyAlignment="1">
      <alignment wrapText="1"/>
    </xf>
    <xf numFmtId="0" fontId="4" fillId="0" borderId="0" xfId="0" applyFont="1"/>
    <xf numFmtId="0" fontId="5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6" fillId="0" borderId="0" xfId="0" applyFont="1"/>
    <xf numFmtId="0" fontId="7" fillId="0" borderId="0" xfId="0" applyFont="1"/>
    <xf numFmtId="0" fontId="0" fillId="0" borderId="0" xfId="0"/>
    <xf numFmtId="0" fontId="1" fillId="0" borderId="0" xfId="0" applyFont="1" applyAlignment="1">
      <alignment wrapText="1"/>
    </xf>
    <xf numFmtId="0" fontId="9" fillId="0" borderId="0" xfId="0" applyFont="1"/>
    <xf numFmtId="0" fontId="1" fillId="0" borderId="0" xfId="0" applyFont="1"/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center"/>
    </xf>
    <xf numFmtId="2" fontId="1" fillId="0" borderId="0" xfId="0" applyNumberFormat="1" applyFont="1" applyBorder="1"/>
    <xf numFmtId="0" fontId="1" fillId="0" borderId="0" xfId="0" applyFont="1" applyBorder="1" applyAlignment="1">
      <alignment horizontal="left"/>
    </xf>
    <xf numFmtId="164" fontId="1" fillId="0" borderId="1" xfId="0" applyNumberFormat="1" applyFont="1" applyBorder="1" applyAlignment="1">
      <alignment horizontal="right"/>
    </xf>
    <xf numFmtId="2" fontId="1" fillId="0" borderId="1" xfId="0" applyNumberFormat="1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1" fillId="0" borderId="1" xfId="0" applyFont="1" applyFill="1" applyBorder="1" applyAlignment="1">
      <alignment wrapText="1"/>
    </xf>
    <xf numFmtId="2" fontId="9" fillId="0" borderId="1" xfId="0" applyNumberFormat="1" applyFont="1" applyBorder="1" applyAlignment="1">
      <alignment horizontal="right"/>
    </xf>
    <xf numFmtId="4" fontId="1" fillId="0" borderId="1" xfId="0" applyNumberFormat="1" applyFont="1" applyBorder="1"/>
    <xf numFmtId="0" fontId="9" fillId="0" borderId="0" xfId="0" applyFont="1" applyBorder="1" applyAlignment="1">
      <alignment horizontal="left"/>
    </xf>
    <xf numFmtId="2" fontId="10" fillId="0" borderId="1" xfId="0" applyNumberFormat="1" applyFont="1" applyBorder="1"/>
    <xf numFmtId="0" fontId="0" fillId="0" borderId="0" xfId="0" applyFont="1"/>
    <xf numFmtId="0" fontId="10" fillId="0" borderId="0" xfId="0" applyFont="1"/>
    <xf numFmtId="0" fontId="11" fillId="0" borderId="0" xfId="0" applyFont="1"/>
    <xf numFmtId="0" fontId="1" fillId="0" borderId="1" xfId="0" applyFont="1" applyBorder="1" applyAlignment="1">
      <alignment vertical="top"/>
    </xf>
    <xf numFmtId="0" fontId="1" fillId="0" borderId="1" xfId="0" applyFont="1" applyFill="1" applyBorder="1" applyAlignment="1">
      <alignment vertical="top"/>
    </xf>
    <xf numFmtId="164" fontId="1" fillId="0" borderId="0" xfId="0" applyNumberFormat="1" applyFont="1" applyBorder="1"/>
    <xf numFmtId="2" fontId="1" fillId="0" borderId="6" xfId="0" applyNumberFormat="1" applyFont="1" applyBorder="1"/>
    <xf numFmtId="0" fontId="9" fillId="0" borderId="6" xfId="0" applyNumberFormat="1" applyFont="1" applyBorder="1" applyAlignment="1">
      <alignment horizontal="left"/>
    </xf>
    <xf numFmtId="2" fontId="9" fillId="0" borderId="6" xfId="0" applyNumberFormat="1" applyFont="1" applyBorder="1" applyAlignment="1">
      <alignment horizontal="left"/>
    </xf>
    <xf numFmtId="1" fontId="1" fillId="0" borderId="1" xfId="0" applyNumberFormat="1" applyFont="1" applyBorder="1"/>
    <xf numFmtId="0" fontId="1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 wrapText="1"/>
    </xf>
    <xf numFmtId="0" fontId="0" fillId="0" borderId="0" xfId="0" applyAlignment="1"/>
    <xf numFmtId="0" fontId="1" fillId="0" borderId="6" xfId="0" applyFont="1" applyBorder="1" applyAlignment="1">
      <alignment horizontal="center"/>
    </xf>
    <xf numFmtId="0" fontId="9" fillId="0" borderId="6" xfId="0" applyFont="1" applyBorder="1" applyAlignment="1">
      <alignment horizontal="left"/>
    </xf>
    <xf numFmtId="0" fontId="3" fillId="0" borderId="0" xfId="0" applyFont="1" applyAlignment="1"/>
    <xf numFmtId="0" fontId="1" fillId="0" borderId="0" xfId="0" applyFont="1"/>
    <xf numFmtId="0" fontId="1" fillId="0" borderId="1" xfId="0" applyFont="1" applyFill="1" applyBorder="1" applyAlignment="1">
      <alignment horizontal="center" wrapText="1"/>
    </xf>
    <xf numFmtId="165" fontId="1" fillId="0" borderId="1" xfId="0" applyNumberFormat="1" applyFont="1" applyBorder="1"/>
    <xf numFmtId="4" fontId="9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/>
    </xf>
    <xf numFmtId="4" fontId="0" fillId="0" borderId="0" xfId="0" applyNumberFormat="1"/>
    <xf numFmtId="0" fontId="1" fillId="0" borderId="2" xfId="0" applyFont="1" applyFill="1" applyBorder="1" applyAlignment="1">
      <alignment horizontal="center" wrapText="1"/>
    </xf>
    <xf numFmtId="4" fontId="9" fillId="0" borderId="2" xfId="0" applyNumberFormat="1" applyFont="1" applyBorder="1" applyAlignment="1">
      <alignment horizontal="right"/>
    </xf>
    <xf numFmtId="0" fontId="1" fillId="0" borderId="7" xfId="0" applyFont="1" applyBorder="1" applyAlignment="1">
      <alignment wrapText="1"/>
    </xf>
    <xf numFmtId="2" fontId="1" fillId="0" borderId="7" xfId="0" applyNumberFormat="1" applyFont="1" applyBorder="1"/>
    <xf numFmtId="0" fontId="9" fillId="0" borderId="0" xfId="0" applyFont="1" applyBorder="1" applyAlignment="1">
      <alignment horizontal="left" wrapText="1"/>
    </xf>
    <xf numFmtId="4" fontId="9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0" fillId="0" borderId="0" xfId="0" applyNumberFormat="1" applyFont="1"/>
    <xf numFmtId="4" fontId="9" fillId="0" borderId="1" xfId="0" applyNumberFormat="1" applyFont="1" applyBorder="1" applyAlignment="1"/>
    <xf numFmtId="2" fontId="9" fillId="0" borderId="1" xfId="0" applyNumberFormat="1" applyFont="1" applyBorder="1" applyAlignment="1"/>
    <xf numFmtId="4" fontId="9" fillId="0" borderId="0" xfId="0" applyNumberFormat="1" applyFont="1" applyBorder="1" applyAlignment="1"/>
    <xf numFmtId="2" fontId="9" fillId="0" borderId="0" xfId="0" applyNumberFormat="1" applyFont="1" applyBorder="1" applyAlignment="1"/>
    <xf numFmtId="0" fontId="1" fillId="0" borderId="2" xfId="0" applyFont="1" applyBorder="1" applyAlignment="1">
      <alignment horizontal="center" wrapText="1"/>
    </xf>
    <xf numFmtId="1" fontId="1" fillId="0" borderId="2" xfId="0" applyNumberFormat="1" applyFont="1" applyBorder="1"/>
    <xf numFmtId="0" fontId="9" fillId="0" borderId="0" xfId="0" applyFont="1" applyBorder="1" applyAlignment="1"/>
    <xf numFmtId="4" fontId="13" fillId="2" borderId="1" xfId="0" applyNumberFormat="1" applyFont="1" applyFill="1" applyBorder="1"/>
    <xf numFmtId="4" fontId="0" fillId="0" borderId="1" xfId="0" applyNumberForma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2" fontId="1" fillId="0" borderId="2" xfId="0" applyNumberFormat="1" applyFont="1" applyBorder="1"/>
    <xf numFmtId="0" fontId="9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2" fontId="1" fillId="0" borderId="2" xfId="0" applyNumberFormat="1" applyFont="1" applyBorder="1"/>
    <xf numFmtId="0" fontId="1" fillId="0" borderId="0" xfId="0" applyFont="1"/>
    <xf numFmtId="2" fontId="0" fillId="0" borderId="0" xfId="0" applyNumberFormat="1"/>
    <xf numFmtId="1" fontId="0" fillId="0" borderId="0" xfId="0" applyNumberFormat="1" applyFont="1"/>
    <xf numFmtId="4" fontId="1" fillId="0" borderId="0" xfId="0" applyNumberFormat="1" applyFont="1"/>
    <xf numFmtId="2" fontId="1" fillId="0" borderId="0" xfId="0" applyNumberFormat="1" applyFont="1"/>
    <xf numFmtId="0" fontId="0" fillId="0" borderId="0" xfId="0" applyAlignment="1">
      <alignment horizontal="right"/>
    </xf>
    <xf numFmtId="4" fontId="0" fillId="0" borderId="0" xfId="0" applyNumberFormat="1" applyAlignment="1">
      <alignment horizontal="right"/>
    </xf>
    <xf numFmtId="0" fontId="1" fillId="0" borderId="0" xfId="0" applyFont="1"/>
    <xf numFmtId="0" fontId="1" fillId="0" borderId="0" xfId="0" applyFont="1"/>
    <xf numFmtId="2" fontId="1" fillId="0" borderId="2" xfId="0" applyNumberFormat="1" applyFont="1" applyBorder="1"/>
    <xf numFmtId="4" fontId="9" fillId="0" borderId="0" xfId="0" applyNumberFormat="1" applyFont="1"/>
    <xf numFmtId="2" fontId="9" fillId="0" borderId="7" xfId="0" applyNumberFormat="1" applyFont="1" applyBorder="1"/>
    <xf numFmtId="4" fontId="14" fillId="0" borderId="0" xfId="1" applyNumberFormat="1" applyFont="1" applyBorder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2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9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2" fontId="1" fillId="0" borderId="1" xfId="0" applyNumberFormat="1" applyFont="1" applyBorder="1" applyAlignment="1">
      <alignment vertical="top"/>
    </xf>
    <xf numFmtId="0" fontId="9" fillId="0" borderId="0" xfId="0" applyFont="1" applyAlignment="1">
      <alignment horizontal="center"/>
    </xf>
    <xf numFmtId="0" fontId="10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2" fontId="1" fillId="0" borderId="2" xfId="0" applyNumberFormat="1" applyFont="1" applyBorder="1"/>
    <xf numFmtId="2" fontId="1" fillId="0" borderId="4" xfId="0" applyNumberFormat="1" applyFont="1" applyBorder="1"/>
    <xf numFmtId="0" fontId="1" fillId="0" borderId="2" xfId="0" applyFont="1" applyBorder="1" applyAlignment="1">
      <alignment horizontal="left" wrapText="1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9" fillId="0" borderId="5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4" xfId="0" applyFont="1" applyBorder="1" applyAlignment="1">
      <alignment horizontal="left"/>
    </xf>
    <xf numFmtId="0" fontId="10" fillId="0" borderId="3" xfId="0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2" fontId="1" fillId="0" borderId="2" xfId="0" applyNumberFormat="1" applyFont="1" applyBorder="1" applyAlignment="1">
      <alignment vertical="top" wrapText="1"/>
    </xf>
    <xf numFmtId="2" fontId="1" fillId="0" borderId="3" xfId="0" applyNumberFormat="1" applyFont="1" applyBorder="1" applyAlignment="1">
      <alignment vertical="top" wrapText="1"/>
    </xf>
    <xf numFmtId="2" fontId="1" fillId="0" borderId="4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3" fillId="0" borderId="0" xfId="0" applyFont="1" applyAlignment="1"/>
    <xf numFmtId="0" fontId="0" fillId="0" borderId="0" xfId="0" applyAlignment="1"/>
    <xf numFmtId="0" fontId="9" fillId="0" borderId="0" xfId="0" applyFont="1" applyAlignment="1">
      <alignment wrapText="1"/>
    </xf>
    <xf numFmtId="0" fontId="1" fillId="0" borderId="0" xfId="0" applyFont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2" fontId="1" fillId="0" borderId="2" xfId="0" applyNumberFormat="1" applyFont="1" applyBorder="1" applyAlignment="1">
      <alignment horizontal="left" wrapText="1"/>
    </xf>
    <xf numFmtId="2" fontId="1" fillId="0" borderId="3" xfId="0" applyNumberFormat="1" applyFont="1" applyBorder="1" applyAlignment="1">
      <alignment horizontal="left" wrapText="1"/>
    </xf>
    <xf numFmtId="2" fontId="1" fillId="0" borderId="4" xfId="0" applyNumberFormat="1" applyFont="1" applyBorder="1" applyAlignment="1">
      <alignment horizontal="left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9" fillId="0" borderId="0" xfId="0" applyFont="1" applyAlignment="1">
      <alignment horizontal="left" wrapText="1"/>
    </xf>
    <xf numFmtId="2" fontId="9" fillId="0" borderId="0" xfId="0" applyNumberFormat="1" applyFont="1" applyBorder="1"/>
    <xf numFmtId="165" fontId="1" fillId="0" borderId="0" xfId="0" applyNumberFormat="1" applyFont="1"/>
    <xf numFmtId="164" fontId="1" fillId="0" borderId="2" xfId="0" applyNumberFormat="1" applyFont="1" applyBorder="1"/>
  </cellXfs>
  <cellStyles count="2">
    <cellStyle name="Обычный" xfId="0" builtinId="0"/>
    <cellStyle name="Обычный_Услуга №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activeCell="F18" sqref="F18"/>
    </sheetView>
  </sheetViews>
  <sheetFormatPr defaultRowHeight="15" x14ac:dyDescent="0.25"/>
  <cols>
    <col min="1" max="2" width="17.5703125" customWidth="1"/>
    <col min="3" max="3" width="11.5703125" bestFit="1" customWidth="1"/>
  </cols>
  <sheetData>
    <row r="1" spans="1:3" ht="42" customHeight="1" x14ac:dyDescent="0.25">
      <c r="A1" s="53" t="s">
        <v>73</v>
      </c>
      <c r="B1" s="53" t="s">
        <v>74</v>
      </c>
    </row>
    <row r="2" spans="1:3" ht="42" customHeight="1" x14ac:dyDescent="0.25">
      <c r="A2" s="71">
        <f>'Услуга №1  '!I87+'Работа №1'!I87+'Работа №2'!I91</f>
        <v>16352152.364376001</v>
      </c>
      <c r="B2" s="71">
        <f>'Услуга №1  '!K87+'Работа №1'!K87+'Работа №2'!K91</f>
        <v>16352152.364376003</v>
      </c>
    </row>
    <row r="4" spans="1:3" x14ac:dyDescent="0.25">
      <c r="A4" s="54">
        <v>212</v>
      </c>
      <c r="B4">
        <v>1920</v>
      </c>
    </row>
    <row r="5" spans="1:3" x14ac:dyDescent="0.25">
      <c r="A5" s="86" t="s">
        <v>101</v>
      </c>
      <c r="B5">
        <v>95331.74</v>
      </c>
    </row>
    <row r="6" spans="1:3" x14ac:dyDescent="0.25">
      <c r="A6" s="54"/>
    </row>
    <row r="7" spans="1:3" x14ac:dyDescent="0.25">
      <c r="A7">
        <v>211</v>
      </c>
      <c r="B7" s="82">
        <f>'Услуга №1  '!I96+'Работа №1'!I96+'Работа №2'!I97</f>
        <v>13560241.854375999</v>
      </c>
      <c r="C7" s="82">
        <f>'Услуга №1  '!K96+'Работа №1'!K96+'Работа №2'!K97</f>
        <v>13897696.461589063</v>
      </c>
    </row>
    <row r="8" spans="1:3" x14ac:dyDescent="0.25">
      <c r="A8" s="54">
        <v>223</v>
      </c>
      <c r="B8" s="82">
        <f>'Услуга №1  '!I97+'Работа №1'!I97+'Работа №2'!I98</f>
        <v>1224475.1299999999</v>
      </c>
      <c r="C8" s="82">
        <f>'Услуга №1  '!K97+'Работа №1'!K97+'Работа №2'!K98</f>
        <v>1257075.3590904986</v>
      </c>
    </row>
    <row r="9" spans="1:3" x14ac:dyDescent="0.25">
      <c r="A9" s="54">
        <v>225</v>
      </c>
      <c r="B9" s="82">
        <f>'Услуга №1  '!I98+'Работа №1'!I98+'Работа №2'!I99</f>
        <v>708970.74</v>
      </c>
      <c r="C9" s="82">
        <f>'Услуга №1  '!K98+'Работа №1'!K98+'Работа №2'!K99</f>
        <v>725057.18276080978</v>
      </c>
    </row>
    <row r="10" spans="1:3" x14ac:dyDescent="0.25">
      <c r="A10" s="54">
        <v>226</v>
      </c>
      <c r="B10" s="82">
        <f>'Услуга №1  '!I99+'Работа №1'!I99+'Работа №2'!I100</f>
        <v>510432.64</v>
      </c>
      <c r="C10" s="82">
        <f>'Услуга №1  '!K99+'Работа №1'!K99+'Работа №2'!K100</f>
        <v>530357.90081109805</v>
      </c>
    </row>
    <row r="11" spans="1:3" x14ac:dyDescent="0.25">
      <c r="A11" s="54">
        <v>221</v>
      </c>
      <c r="B11" s="82">
        <f>'Услуга №1  '!I100+'Работа №1'!I100+'Работа №2'!I101</f>
        <v>175200</v>
      </c>
      <c r="C11" s="82">
        <f>'Услуга №1  '!K100+'Работа №1'!K100+'Работа №2'!K101</f>
        <v>179364.08102667041</v>
      </c>
    </row>
    <row r="12" spans="1:3" x14ac:dyDescent="0.25">
      <c r="A12" s="87" t="s">
        <v>100</v>
      </c>
      <c r="B12" s="82">
        <f>'Услуга №1  '!I101+'Работа №1'!I101+'Работа №2'!I102</f>
        <v>45832.000000000007</v>
      </c>
      <c r="C12" s="82">
        <f>'Услуга №1  '!K101+'Работа №1'!K101+'Работа №2'!K102</f>
        <v>46921.315990949523</v>
      </c>
    </row>
    <row r="13" spans="1:3" x14ac:dyDescent="0.25">
      <c r="A13" s="54">
        <v>310</v>
      </c>
      <c r="B13" s="82">
        <f>'Работа №2'!I103</f>
        <v>127000</v>
      </c>
      <c r="C13" s="82">
        <f>'Работа №2'!K103</f>
        <v>142092.41696310329</v>
      </c>
    </row>
    <row r="14" spans="1:3" x14ac:dyDescent="0.25">
      <c r="B14" s="82">
        <f>SUM(B7:B13)</f>
        <v>16352152.364375999</v>
      </c>
      <c r="C14" s="82">
        <f>SUM(C7:C13)</f>
        <v>16778564.718232192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1"/>
  <sheetViews>
    <sheetView view="pageBreakPreview" topLeftCell="A56" zoomScale="60" zoomScaleNormal="80" workbookViewId="0">
      <selection activeCell="L80" sqref="L80"/>
    </sheetView>
  </sheetViews>
  <sheetFormatPr defaultRowHeight="15" x14ac:dyDescent="0.25"/>
  <cols>
    <col min="5" max="5" width="14.140625" customWidth="1"/>
    <col min="6" max="6" width="14.85546875" customWidth="1"/>
    <col min="7" max="7" width="14.28515625" customWidth="1"/>
    <col min="8" max="8" width="17.42578125" customWidth="1"/>
    <col min="9" max="9" width="15.5703125" customWidth="1"/>
    <col min="10" max="10" width="14.5703125" customWidth="1"/>
    <col min="11" max="11" width="17.28515625" customWidth="1"/>
    <col min="12" max="12" width="15.5703125" customWidth="1"/>
    <col min="13" max="13" width="13.28515625" customWidth="1"/>
    <col min="15" max="15" width="12" customWidth="1"/>
    <col min="16" max="16" width="12.42578125" customWidth="1"/>
  </cols>
  <sheetData>
    <row r="1" spans="1:15" ht="15.75" x14ac:dyDescent="0.25">
      <c r="A1" s="136" t="s">
        <v>52</v>
      </c>
      <c r="B1" s="136"/>
      <c r="C1" s="136"/>
      <c r="D1" s="136"/>
      <c r="E1" s="9"/>
      <c r="F1" s="9"/>
    </row>
    <row r="2" spans="1:15" ht="15.75" x14ac:dyDescent="0.25">
      <c r="A2" s="136" t="s">
        <v>53</v>
      </c>
      <c r="B2" s="136"/>
      <c r="C2" s="132"/>
      <c r="D2" s="132"/>
      <c r="E2" s="132"/>
      <c r="F2" s="132"/>
    </row>
    <row r="3" spans="1:15" ht="15.75" x14ac:dyDescent="0.25">
      <c r="A3" s="131" t="s">
        <v>54</v>
      </c>
      <c r="B3" s="131"/>
      <c r="C3" s="131"/>
      <c r="D3" s="132"/>
      <c r="E3" s="132"/>
      <c r="F3" s="9"/>
    </row>
    <row r="4" spans="1:15" ht="9.75" customHeight="1" x14ac:dyDescent="0.25">
      <c r="A4" s="7"/>
      <c r="B4" s="7"/>
      <c r="C4" s="7"/>
      <c r="D4" s="8"/>
      <c r="E4" s="9"/>
      <c r="F4" s="9"/>
    </row>
    <row r="5" spans="1:15" ht="15.75" x14ac:dyDescent="0.25">
      <c r="A5" s="131" t="s">
        <v>103</v>
      </c>
      <c r="B5" s="131"/>
      <c r="C5" s="131"/>
      <c r="D5" s="132"/>
      <c r="E5" s="132"/>
      <c r="F5" s="9"/>
    </row>
    <row r="6" spans="1:15" ht="9" customHeight="1" x14ac:dyDescent="0.25">
      <c r="A6" s="131"/>
      <c r="B6" s="131"/>
      <c r="C6" s="131"/>
      <c r="D6" s="8"/>
      <c r="E6" s="9"/>
      <c r="F6" s="9"/>
    </row>
    <row r="7" spans="1:15" ht="15.75" x14ac:dyDescent="0.25">
      <c r="A7" s="137" t="s">
        <v>55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</row>
    <row r="8" spans="1:15" ht="15.75" x14ac:dyDescent="0.25">
      <c r="A8" s="137" t="s">
        <v>89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5" ht="14.25" customHeight="1" x14ac:dyDescent="0.25">
      <c r="A9" s="135" t="s">
        <v>104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</row>
    <row r="10" spans="1:15" ht="18.75" customHeight="1" x14ac:dyDescent="0.25">
      <c r="A10" s="133" t="s">
        <v>56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"/>
      <c r="N10" s="4"/>
      <c r="O10" s="4"/>
    </row>
    <row r="11" spans="1:15" x14ac:dyDescent="0.25">
      <c r="A11" s="14" t="s">
        <v>63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5" x14ac:dyDescent="0.25">
      <c r="A12" s="14" t="s">
        <v>93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1:15" s="12" customFormat="1" x14ac:dyDescent="0.25">
      <c r="A13" s="14" t="s">
        <v>64</v>
      </c>
      <c r="B13" s="40"/>
      <c r="C13" s="40"/>
      <c r="D13" s="40"/>
      <c r="E13" s="40"/>
    </row>
    <row r="14" spans="1:15" ht="33" customHeight="1" x14ac:dyDescent="0.25">
      <c r="A14" s="107" t="s">
        <v>0</v>
      </c>
      <c r="B14" s="107"/>
      <c r="C14" s="107"/>
      <c r="D14" s="107"/>
      <c r="E14" s="107"/>
      <c r="F14" s="1" t="s">
        <v>1</v>
      </c>
      <c r="G14" s="107" t="s">
        <v>2</v>
      </c>
      <c r="H14" s="107"/>
      <c r="I14" s="107"/>
      <c r="J14" s="107"/>
      <c r="K14" s="107"/>
      <c r="L14" s="1" t="s">
        <v>1</v>
      </c>
      <c r="M14" s="15"/>
    </row>
    <row r="15" spans="1:15" ht="16.5" customHeight="1" x14ac:dyDescent="0.25">
      <c r="A15" s="123" t="s">
        <v>57</v>
      </c>
      <c r="B15" s="121"/>
      <c r="C15" s="121"/>
      <c r="D15" s="121"/>
      <c r="E15" s="122"/>
      <c r="F15" s="32">
        <v>0.7</v>
      </c>
      <c r="G15" s="104" t="s">
        <v>41</v>
      </c>
      <c r="H15" s="121"/>
      <c r="I15" s="121"/>
      <c r="J15" s="121"/>
      <c r="K15" s="122"/>
      <c r="L15" s="32">
        <v>0.7</v>
      </c>
      <c r="M15" s="15"/>
    </row>
    <row r="16" spans="1:15" ht="15.75" customHeight="1" x14ac:dyDescent="0.25">
      <c r="A16" s="123" t="s">
        <v>43</v>
      </c>
      <c r="B16" s="121"/>
      <c r="C16" s="121"/>
      <c r="D16" s="121"/>
      <c r="E16" s="122"/>
      <c r="F16" s="32">
        <v>13.8</v>
      </c>
      <c r="G16" s="104" t="s">
        <v>42</v>
      </c>
      <c r="H16" s="121"/>
      <c r="I16" s="121"/>
      <c r="J16" s="121"/>
      <c r="K16" s="122"/>
      <c r="L16" s="32">
        <v>0.7</v>
      </c>
      <c r="M16" s="15"/>
    </row>
    <row r="17" spans="1:13" ht="18" customHeight="1" x14ac:dyDescent="0.25">
      <c r="A17" s="123" t="s">
        <v>67</v>
      </c>
      <c r="B17" s="121"/>
      <c r="C17" s="121"/>
      <c r="D17" s="121"/>
      <c r="E17" s="122"/>
      <c r="F17" s="32">
        <v>0.7</v>
      </c>
      <c r="G17" s="104"/>
      <c r="H17" s="121"/>
      <c r="I17" s="121"/>
      <c r="J17" s="121"/>
      <c r="K17" s="122"/>
      <c r="L17" s="33"/>
      <c r="M17" s="15"/>
    </row>
    <row r="18" spans="1:13" ht="16.5" customHeight="1" x14ac:dyDescent="0.25">
      <c r="A18" s="123" t="s">
        <v>46</v>
      </c>
      <c r="B18" s="121"/>
      <c r="C18" s="121"/>
      <c r="D18" s="121"/>
      <c r="E18" s="122"/>
      <c r="F18" s="32">
        <v>0.7</v>
      </c>
      <c r="G18" s="104"/>
      <c r="H18" s="121"/>
      <c r="I18" s="121"/>
      <c r="J18" s="121"/>
      <c r="K18" s="122"/>
      <c r="L18" s="33"/>
      <c r="M18" s="15"/>
    </row>
    <row r="19" spans="1:13" ht="15" customHeight="1" x14ac:dyDescent="0.25">
      <c r="A19" s="104" t="s">
        <v>45</v>
      </c>
      <c r="B19" s="119"/>
      <c r="C19" s="119"/>
      <c r="D19" s="119"/>
      <c r="E19" s="120"/>
      <c r="F19" s="32">
        <v>4.2</v>
      </c>
      <c r="G19" s="104"/>
      <c r="H19" s="121"/>
      <c r="I19" s="121"/>
      <c r="J19" s="121"/>
      <c r="K19" s="122"/>
      <c r="L19" s="33"/>
      <c r="M19" s="15"/>
    </row>
    <row r="20" spans="1:13" ht="15.75" customHeight="1" x14ac:dyDescent="0.25">
      <c r="A20" s="104" t="s">
        <v>44</v>
      </c>
      <c r="B20" s="119"/>
      <c r="C20" s="119"/>
      <c r="D20" s="119"/>
      <c r="E20" s="120"/>
      <c r="F20" s="32">
        <v>6.3</v>
      </c>
      <c r="G20" s="104"/>
      <c r="H20" s="119"/>
      <c r="I20" s="119"/>
      <c r="J20" s="119"/>
      <c r="K20" s="120"/>
      <c r="L20" s="33"/>
      <c r="M20" s="15"/>
    </row>
    <row r="21" spans="1:13" ht="14.25" hidden="1" customHeight="1" x14ac:dyDescent="0.25">
      <c r="A21" s="104"/>
      <c r="B21" s="119"/>
      <c r="C21" s="119"/>
      <c r="D21" s="119"/>
      <c r="E21" s="120"/>
      <c r="F21" s="32"/>
      <c r="G21" s="104"/>
      <c r="H21" s="119"/>
      <c r="I21" s="119"/>
      <c r="J21" s="119"/>
      <c r="K21" s="120"/>
      <c r="L21" s="33"/>
      <c r="M21" s="15"/>
    </row>
    <row r="22" spans="1:13" ht="15" hidden="1" customHeight="1" x14ac:dyDescent="0.25">
      <c r="A22" s="104"/>
      <c r="B22" s="121"/>
      <c r="C22" s="121"/>
      <c r="D22" s="121"/>
      <c r="E22" s="122"/>
      <c r="F22" s="32"/>
      <c r="G22" s="104"/>
      <c r="H22" s="119"/>
      <c r="I22" s="119"/>
      <c r="J22" s="119"/>
      <c r="K22" s="120"/>
      <c r="L22" s="33"/>
      <c r="M22" s="15"/>
    </row>
    <row r="23" spans="1:13" x14ac:dyDescent="0.25">
      <c r="A23" s="128" t="s">
        <v>3</v>
      </c>
      <c r="B23" s="129"/>
      <c r="C23" s="129"/>
      <c r="D23" s="129"/>
      <c r="E23" s="130"/>
      <c r="F23" s="32">
        <f>SUM(F15:F22)</f>
        <v>26.4</v>
      </c>
      <c r="G23" s="123"/>
      <c r="H23" s="121"/>
      <c r="I23" s="121"/>
      <c r="J23" s="121"/>
      <c r="K23" s="122"/>
      <c r="L23" s="32">
        <f>SUM(L15:L22)</f>
        <v>1.4</v>
      </c>
      <c r="M23" s="15"/>
    </row>
    <row r="24" spans="1:13" s="12" customFormat="1" ht="8.25" customHeight="1" x14ac:dyDescent="0.25">
      <c r="A24" s="41"/>
      <c r="B24" s="41"/>
      <c r="C24" s="41"/>
      <c r="D24" s="41"/>
      <c r="E24" s="41"/>
      <c r="F24" s="42"/>
      <c r="G24" s="43"/>
      <c r="H24" s="43"/>
      <c r="I24" s="43"/>
      <c r="J24" s="43"/>
      <c r="K24" s="43"/>
      <c r="L24" s="42"/>
      <c r="M24" s="39"/>
    </row>
    <row r="25" spans="1:13" ht="19.5" customHeight="1" x14ac:dyDescent="0.25">
      <c r="A25" s="94" t="s">
        <v>92</v>
      </c>
      <c r="B25" s="94"/>
      <c r="C25" s="94"/>
      <c r="D25" s="94"/>
      <c r="E25" s="94"/>
      <c r="F25" s="94"/>
      <c r="G25" s="94"/>
      <c r="H25" s="15">
        <v>208660</v>
      </c>
      <c r="I25" s="15"/>
      <c r="J25" s="15"/>
      <c r="K25" s="15"/>
      <c r="L25" s="15"/>
      <c r="M25" s="15"/>
    </row>
    <row r="26" spans="1:13" s="12" customFormat="1" ht="60.75" customHeight="1" x14ac:dyDescent="0.25">
      <c r="A26" s="108" t="s">
        <v>4</v>
      </c>
      <c r="B26" s="109"/>
      <c r="C26" s="109"/>
      <c r="D26" s="109"/>
      <c r="E26" s="110"/>
      <c r="F26" s="74" t="s">
        <v>5</v>
      </c>
      <c r="G26" s="74" t="s">
        <v>1</v>
      </c>
      <c r="H26" s="74" t="s">
        <v>68</v>
      </c>
      <c r="I26" s="74" t="s">
        <v>69</v>
      </c>
      <c r="J26" s="74" t="s">
        <v>70</v>
      </c>
      <c r="K26" s="49" t="s">
        <v>71</v>
      </c>
      <c r="L26" s="2"/>
      <c r="M26" s="77"/>
    </row>
    <row r="27" spans="1:13" s="12" customFormat="1" ht="18.75" customHeight="1" x14ac:dyDescent="0.25">
      <c r="A27" s="138" t="s">
        <v>57</v>
      </c>
      <c r="B27" s="139"/>
      <c r="C27" s="139"/>
      <c r="D27" s="139"/>
      <c r="E27" s="140"/>
      <c r="F27" s="3">
        <v>18142.3</v>
      </c>
      <c r="G27" s="50">
        <v>0.7</v>
      </c>
      <c r="H27" s="3">
        <f>F27*G27*12</f>
        <v>152395.31999999998</v>
      </c>
      <c r="I27" s="3">
        <f>H27*1.302+42524.03</f>
        <v>240942.73663999999</v>
      </c>
      <c r="J27" s="38">
        <f>H25</f>
        <v>208660</v>
      </c>
      <c r="K27" s="3">
        <f>I27/J27</f>
        <v>1.1547145434678423</v>
      </c>
      <c r="L27" s="3"/>
      <c r="M27" s="77"/>
    </row>
    <row r="28" spans="1:13" s="12" customFormat="1" ht="16.5" customHeight="1" x14ac:dyDescent="0.25">
      <c r="A28" s="102" t="s">
        <v>43</v>
      </c>
      <c r="B28" s="102"/>
      <c r="C28" s="102"/>
      <c r="D28" s="102"/>
      <c r="E28" s="102"/>
      <c r="F28" s="3">
        <v>17685</v>
      </c>
      <c r="G28" s="50">
        <v>13.8</v>
      </c>
      <c r="H28" s="3">
        <f t="shared" ref="H28:H32" si="0">F28*G28*12</f>
        <v>2928636</v>
      </c>
      <c r="I28" s="3">
        <f>H28*1.302+586831.71</f>
        <v>4399915.7819999997</v>
      </c>
      <c r="J28" s="38">
        <f>J27</f>
        <v>208660</v>
      </c>
      <c r="K28" s="3">
        <f t="shared" ref="K28:K32" si="1">I28/J28</f>
        <v>21.086532071312181</v>
      </c>
      <c r="L28" s="3"/>
      <c r="M28" s="77"/>
    </row>
    <row r="29" spans="1:13" s="12" customFormat="1" ht="15" customHeight="1" x14ac:dyDescent="0.25">
      <c r="A29" s="123" t="s">
        <v>67</v>
      </c>
      <c r="B29" s="121"/>
      <c r="C29" s="121"/>
      <c r="D29" s="121"/>
      <c r="E29" s="122"/>
      <c r="F29" s="3">
        <v>16561.406500000001</v>
      </c>
      <c r="G29" s="50">
        <v>0.7</v>
      </c>
      <c r="H29" s="3">
        <f t="shared" si="0"/>
        <v>139115.81459999998</v>
      </c>
      <c r="I29" s="3">
        <f t="shared" ref="I29:I30" si="2">H29*1.302+42524.03</f>
        <v>223652.82060919999</v>
      </c>
      <c r="J29" s="38">
        <f>J28</f>
        <v>208660</v>
      </c>
      <c r="K29" s="3">
        <f t="shared" si="1"/>
        <v>1.0718528736183264</v>
      </c>
      <c r="L29" s="3"/>
      <c r="M29" s="77"/>
    </row>
    <row r="30" spans="1:13" s="12" customFormat="1" ht="15" customHeight="1" x14ac:dyDescent="0.25">
      <c r="A30" s="125" t="s">
        <v>46</v>
      </c>
      <c r="B30" s="126"/>
      <c r="C30" s="126"/>
      <c r="D30" s="126"/>
      <c r="E30" s="127"/>
      <c r="F30" s="3">
        <v>16900.36</v>
      </c>
      <c r="G30" s="50">
        <v>0.7</v>
      </c>
      <c r="H30" s="3">
        <f t="shared" si="0"/>
        <v>141963.024</v>
      </c>
      <c r="I30" s="3">
        <f t="shared" si="2"/>
        <v>227359.88724800001</v>
      </c>
      <c r="J30" s="38">
        <f>J29</f>
        <v>208660</v>
      </c>
      <c r="K30" s="3">
        <f t="shared" si="1"/>
        <v>1.0896189362982844</v>
      </c>
      <c r="L30" s="3"/>
      <c r="M30" s="77"/>
    </row>
    <row r="31" spans="1:13" s="12" customFormat="1" ht="14.25" customHeight="1" x14ac:dyDescent="0.25">
      <c r="A31" s="104" t="s">
        <v>44</v>
      </c>
      <c r="B31" s="105"/>
      <c r="C31" s="105"/>
      <c r="D31" s="105"/>
      <c r="E31" s="106"/>
      <c r="F31" s="3">
        <v>18736</v>
      </c>
      <c r="G31" s="50">
        <v>6.3</v>
      </c>
      <c r="H31" s="3">
        <f t="shared" si="0"/>
        <v>1416441.6</v>
      </c>
      <c r="I31" s="3">
        <f>H31*1.302+267901.39</f>
        <v>2112108.3532000002</v>
      </c>
      <c r="J31" s="38">
        <f>J29</f>
        <v>208660</v>
      </c>
      <c r="K31" s="3">
        <f t="shared" si="1"/>
        <v>10.12224840985335</v>
      </c>
      <c r="L31" s="3"/>
      <c r="M31" s="77"/>
    </row>
    <row r="32" spans="1:13" s="12" customFormat="1" ht="15.75" customHeight="1" x14ac:dyDescent="0.25">
      <c r="A32" s="104" t="s">
        <v>45</v>
      </c>
      <c r="B32" s="105"/>
      <c r="C32" s="105"/>
      <c r="D32" s="105"/>
      <c r="E32" s="106"/>
      <c r="F32" s="3">
        <v>19016</v>
      </c>
      <c r="G32" s="50">
        <v>4.2</v>
      </c>
      <c r="H32" s="3">
        <f t="shared" si="0"/>
        <v>958406.39999999991</v>
      </c>
      <c r="I32" s="3">
        <f>H32*1.302+178600.93</f>
        <v>1426446.0628</v>
      </c>
      <c r="J32" s="38">
        <f>J31</f>
        <v>208660</v>
      </c>
      <c r="K32" s="3">
        <f t="shared" si="1"/>
        <v>6.836221905492188</v>
      </c>
      <c r="L32" s="3"/>
      <c r="M32" s="77"/>
    </row>
    <row r="33" spans="1:16" s="12" customFormat="1" ht="15" customHeight="1" x14ac:dyDescent="0.25">
      <c r="A33" s="95" t="s">
        <v>72</v>
      </c>
      <c r="B33" s="96"/>
      <c r="C33" s="96"/>
      <c r="D33" s="96"/>
      <c r="E33" s="96"/>
      <c r="F33" s="96"/>
      <c r="G33" s="96"/>
      <c r="H33" s="97"/>
      <c r="I33" s="51">
        <f t="shared" ref="I33:K33" si="3">SUM(I27:I32)</f>
        <v>8630425.6424971987</v>
      </c>
      <c r="J33" s="52"/>
      <c r="K33" s="51">
        <f t="shared" si="3"/>
        <v>41.361188740042174</v>
      </c>
      <c r="L33" s="3"/>
      <c r="M33" s="91"/>
      <c r="P33" s="54"/>
    </row>
    <row r="34" spans="1:16" s="12" customFormat="1" ht="9" customHeight="1" x14ac:dyDescent="0.25">
      <c r="A34" s="19"/>
      <c r="B34" s="19"/>
      <c r="C34" s="19"/>
      <c r="D34" s="19"/>
      <c r="E34" s="19"/>
      <c r="F34" s="19"/>
      <c r="G34" s="19"/>
      <c r="H34" s="19"/>
      <c r="I34" s="77"/>
      <c r="J34" s="77"/>
      <c r="K34" s="77"/>
      <c r="L34" s="76"/>
      <c r="M34" s="77"/>
    </row>
    <row r="35" spans="1:16" s="12" customFormat="1" x14ac:dyDescent="0.25">
      <c r="A35" s="103" t="s">
        <v>7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77"/>
    </row>
    <row r="36" spans="1:16" s="12" customFormat="1" ht="41.25" customHeight="1" x14ac:dyDescent="0.25">
      <c r="A36" s="124" t="s">
        <v>8</v>
      </c>
      <c r="B36" s="124"/>
      <c r="C36" s="124"/>
      <c r="D36" s="124"/>
      <c r="E36" s="124"/>
      <c r="F36" s="74" t="s">
        <v>6</v>
      </c>
      <c r="G36" s="74" t="s">
        <v>58</v>
      </c>
      <c r="H36" s="74" t="s">
        <v>59</v>
      </c>
      <c r="I36" s="74" t="s">
        <v>75</v>
      </c>
      <c r="J36" s="74" t="s">
        <v>70</v>
      </c>
      <c r="K36" s="55" t="s">
        <v>71</v>
      </c>
      <c r="L36" s="57"/>
      <c r="M36" s="77"/>
    </row>
    <row r="37" spans="1:16" s="12" customFormat="1" x14ac:dyDescent="0.25">
      <c r="A37" s="98" t="s">
        <v>9</v>
      </c>
      <c r="B37" s="98"/>
      <c r="C37" s="98"/>
      <c r="D37" s="98"/>
      <c r="E37" s="98"/>
      <c r="F37" s="1" t="s">
        <v>17</v>
      </c>
      <c r="G37" s="3">
        <f>I37/H37</f>
        <v>25828.733898305083</v>
      </c>
      <c r="H37" s="3">
        <v>5.9</v>
      </c>
      <c r="I37" s="16">
        <v>152389.53</v>
      </c>
      <c r="J37" s="38">
        <f>J31</f>
        <v>208660</v>
      </c>
      <c r="K37" s="75">
        <f>I37/J37</f>
        <v>0.73032459503498515</v>
      </c>
      <c r="L37" s="58"/>
      <c r="M37" s="85"/>
    </row>
    <row r="38" spans="1:16" s="12" customFormat="1" x14ac:dyDescent="0.25">
      <c r="A38" s="98" t="s">
        <v>10</v>
      </c>
      <c r="B38" s="98"/>
      <c r="C38" s="98"/>
      <c r="D38" s="98"/>
      <c r="E38" s="98"/>
      <c r="F38" s="1" t="s">
        <v>17</v>
      </c>
      <c r="G38" s="3">
        <f>I38/H38</f>
        <v>425.96266962522128</v>
      </c>
      <c r="H38" s="3">
        <v>1559.32</v>
      </c>
      <c r="I38" s="16">
        <v>664212.11</v>
      </c>
      <c r="J38" s="38">
        <f>J37</f>
        <v>208660</v>
      </c>
      <c r="K38" s="75">
        <f t="shared" ref="K38:K40" si="4">I38/J38</f>
        <v>3.1832268283331735</v>
      </c>
      <c r="L38" s="58"/>
      <c r="M38" s="85"/>
    </row>
    <row r="39" spans="1:16" s="12" customFormat="1" x14ac:dyDescent="0.25">
      <c r="A39" s="98" t="s">
        <v>11</v>
      </c>
      <c r="B39" s="98"/>
      <c r="C39" s="98"/>
      <c r="D39" s="98"/>
      <c r="E39" s="98"/>
      <c r="F39" s="1" t="s">
        <v>17</v>
      </c>
      <c r="G39" s="3">
        <f>I39/H39</f>
        <v>508.36826247070633</v>
      </c>
      <c r="H39" s="3">
        <v>29.87</v>
      </c>
      <c r="I39" s="16">
        <v>15184.96</v>
      </c>
      <c r="J39" s="38">
        <f>J38</f>
        <v>208660</v>
      </c>
      <c r="K39" s="75">
        <f t="shared" si="4"/>
        <v>7.2773698840218531E-2</v>
      </c>
      <c r="L39" s="58"/>
      <c r="M39" s="85"/>
    </row>
    <row r="40" spans="1:16" s="12" customFormat="1" x14ac:dyDescent="0.25">
      <c r="A40" s="98" t="s">
        <v>12</v>
      </c>
      <c r="B40" s="98"/>
      <c r="C40" s="98"/>
      <c r="D40" s="98"/>
      <c r="E40" s="98"/>
      <c r="F40" s="73" t="s">
        <v>17</v>
      </c>
      <c r="G40" s="16">
        <f>I40/H40</f>
        <v>462.99292285916488</v>
      </c>
      <c r="H40" s="3">
        <v>42.39</v>
      </c>
      <c r="I40" s="16">
        <v>19626.27</v>
      </c>
      <c r="J40" s="38">
        <f>J38</f>
        <v>208660</v>
      </c>
      <c r="K40" s="75">
        <f t="shared" si="4"/>
        <v>9.4058612096233105E-2</v>
      </c>
      <c r="L40" s="58"/>
      <c r="M40" s="85"/>
    </row>
    <row r="41" spans="1:16" s="12" customFormat="1" ht="15" customHeight="1" x14ac:dyDescent="0.25">
      <c r="A41" s="95" t="s">
        <v>13</v>
      </c>
      <c r="B41" s="96"/>
      <c r="C41" s="96"/>
      <c r="D41" s="96"/>
      <c r="E41" s="96"/>
      <c r="F41" s="96"/>
      <c r="G41" s="96"/>
      <c r="H41" s="97"/>
      <c r="I41" s="51">
        <f>SUM(I37:I40)</f>
        <v>851412.87</v>
      </c>
      <c r="J41" s="52"/>
      <c r="K41" s="56">
        <f>SUM(K37:K40)</f>
        <v>4.0803837343046103</v>
      </c>
      <c r="L41" s="92"/>
      <c r="M41" s="77"/>
      <c r="O41" s="82"/>
    </row>
    <row r="42" spans="1:16" s="12" customFormat="1" x14ac:dyDescent="0.25">
      <c r="A42" s="77"/>
      <c r="B42" s="77"/>
      <c r="C42" s="77"/>
      <c r="D42" s="77"/>
      <c r="E42" s="77"/>
      <c r="F42" s="72"/>
      <c r="G42" s="72"/>
      <c r="H42" s="72"/>
      <c r="I42" s="72"/>
      <c r="J42" s="72"/>
      <c r="K42" s="72"/>
      <c r="L42" s="72"/>
      <c r="M42" s="77"/>
    </row>
    <row r="43" spans="1:16" s="12" customFormat="1" x14ac:dyDescent="0.25">
      <c r="A43" s="103" t="s">
        <v>14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77"/>
    </row>
    <row r="44" spans="1:16" s="12" customFormat="1" ht="45" x14ac:dyDescent="0.25">
      <c r="A44" s="108" t="s">
        <v>18</v>
      </c>
      <c r="B44" s="109"/>
      <c r="C44" s="109"/>
      <c r="D44" s="109"/>
      <c r="E44" s="110"/>
      <c r="F44" s="74" t="s">
        <v>6</v>
      </c>
      <c r="G44" s="74" t="s">
        <v>58</v>
      </c>
      <c r="H44" s="74" t="s">
        <v>59</v>
      </c>
      <c r="I44" s="74" t="s">
        <v>75</v>
      </c>
      <c r="J44" s="74" t="s">
        <v>70</v>
      </c>
      <c r="K44" s="55" t="s">
        <v>71</v>
      </c>
      <c r="L44" s="57"/>
      <c r="M44" s="77"/>
    </row>
    <row r="45" spans="1:16" s="12" customFormat="1" ht="18.75" customHeight="1" x14ac:dyDescent="0.25">
      <c r="A45" s="99" t="s">
        <v>16</v>
      </c>
      <c r="B45" s="100"/>
      <c r="C45" s="100"/>
      <c r="D45" s="100"/>
      <c r="E45" s="101"/>
      <c r="F45" s="21" t="s">
        <v>76</v>
      </c>
      <c r="G45" s="50">
        <f>I45/H45+0.81</f>
        <v>21.11514488468362</v>
      </c>
      <c r="H45" s="3">
        <v>422.75</v>
      </c>
      <c r="I45" s="16">
        <v>8584</v>
      </c>
      <c r="J45" s="38">
        <f>J37</f>
        <v>208660</v>
      </c>
      <c r="K45" s="75">
        <f>I45/J45</f>
        <v>4.1138694526981691E-2</v>
      </c>
      <c r="L45" s="58"/>
      <c r="M45" s="18"/>
    </row>
    <row r="46" spans="1:16" s="12" customFormat="1" ht="18.75" customHeight="1" x14ac:dyDescent="0.25">
      <c r="A46" s="99" t="s">
        <v>40</v>
      </c>
      <c r="B46" s="100"/>
      <c r="C46" s="100"/>
      <c r="D46" s="100"/>
      <c r="E46" s="101"/>
      <c r="F46" s="21" t="s">
        <v>17</v>
      </c>
      <c r="G46" s="50">
        <f>I46/H46</f>
        <v>6.7038524590163933</v>
      </c>
      <c r="H46" s="3">
        <v>1220</v>
      </c>
      <c r="I46" s="16">
        <v>8178.7</v>
      </c>
      <c r="J46" s="38">
        <f>J39</f>
        <v>208660</v>
      </c>
      <c r="K46" s="75">
        <f>I46/J46</f>
        <v>3.9196300201284388E-2</v>
      </c>
      <c r="L46" s="58"/>
      <c r="M46" s="18"/>
    </row>
    <row r="47" spans="1:16" s="12" customFormat="1" ht="18.75" customHeight="1" x14ac:dyDescent="0.25">
      <c r="A47" s="99" t="s">
        <v>15</v>
      </c>
      <c r="B47" s="100"/>
      <c r="C47" s="100"/>
      <c r="D47" s="100"/>
      <c r="E47" s="101"/>
      <c r="F47" s="21" t="s">
        <v>17</v>
      </c>
      <c r="G47" s="50">
        <f>I47/H47</f>
        <v>8.3999903408944085</v>
      </c>
      <c r="H47" s="3">
        <v>236.04669999999999</v>
      </c>
      <c r="I47" s="16">
        <v>1982.79</v>
      </c>
      <c r="J47" s="38">
        <f>J46</f>
        <v>208660</v>
      </c>
      <c r="K47" s="75">
        <f t="shared" ref="K47:K50" si="5">I47/J47</f>
        <v>9.5024920923991174E-3</v>
      </c>
      <c r="L47" s="58"/>
      <c r="M47" s="18"/>
    </row>
    <row r="48" spans="1:16" s="12" customFormat="1" ht="18.75" customHeight="1" x14ac:dyDescent="0.25">
      <c r="A48" s="99" t="s">
        <v>60</v>
      </c>
      <c r="B48" s="100"/>
      <c r="C48" s="100"/>
      <c r="D48" s="100"/>
      <c r="E48" s="101"/>
      <c r="F48" s="21" t="s">
        <v>17</v>
      </c>
      <c r="G48" s="50">
        <f>I48/H48+0.66</f>
        <v>8.6550489236790593</v>
      </c>
      <c r="H48" s="3">
        <v>5110</v>
      </c>
      <c r="I48" s="16">
        <v>40854.699999999997</v>
      </c>
      <c r="J48" s="38">
        <f>J47</f>
        <v>208660</v>
      </c>
      <c r="K48" s="75">
        <f t="shared" si="5"/>
        <v>0.19579555257356462</v>
      </c>
      <c r="L48" s="58"/>
      <c r="M48" s="18"/>
    </row>
    <row r="49" spans="1:15" s="12" customFormat="1" ht="29.25" customHeight="1" x14ac:dyDescent="0.25">
      <c r="A49" s="113" t="s">
        <v>62</v>
      </c>
      <c r="B49" s="105"/>
      <c r="C49" s="105"/>
      <c r="D49" s="105"/>
      <c r="E49" s="106"/>
      <c r="F49" s="21" t="s">
        <v>17</v>
      </c>
      <c r="G49" s="50">
        <f>I49/H49+0.05</f>
        <v>8.3805003541643792</v>
      </c>
      <c r="H49" s="3">
        <v>29774.31</v>
      </c>
      <c r="I49" s="16">
        <v>248034.9</v>
      </c>
      <c r="J49" s="38">
        <f>J47</f>
        <v>208660</v>
      </c>
      <c r="K49" s="75">
        <f t="shared" si="5"/>
        <v>1.1887036327039202</v>
      </c>
      <c r="L49" s="58"/>
      <c r="M49" s="18"/>
    </row>
    <row r="50" spans="1:15" s="12" customFormat="1" ht="18.75" customHeight="1" x14ac:dyDescent="0.25">
      <c r="A50" s="99" t="s">
        <v>61</v>
      </c>
      <c r="B50" s="100"/>
      <c r="C50" s="100"/>
      <c r="D50" s="100"/>
      <c r="E50" s="101"/>
      <c r="F50" s="21" t="s">
        <v>17</v>
      </c>
      <c r="G50" s="50">
        <f>I50/H50+0.04</f>
        <v>6.6940690177265978</v>
      </c>
      <c r="H50" s="3">
        <v>203.95339999999999</v>
      </c>
      <c r="I50" s="16">
        <v>1357.12</v>
      </c>
      <c r="J50" s="38">
        <f>J49</f>
        <v>208660</v>
      </c>
      <c r="K50" s="75">
        <f t="shared" si="5"/>
        <v>6.5039777628678229E-3</v>
      </c>
      <c r="L50" s="58"/>
      <c r="M50" s="18"/>
    </row>
    <row r="51" spans="1:15" s="81" customFormat="1" ht="30.75" customHeight="1" x14ac:dyDescent="0.25">
      <c r="A51" s="113" t="s">
        <v>99</v>
      </c>
      <c r="B51" s="105"/>
      <c r="C51" s="105"/>
      <c r="D51" s="105"/>
      <c r="E51" s="106"/>
      <c r="F51" s="1" t="s">
        <v>17</v>
      </c>
      <c r="G51" s="50">
        <f>I51/H51</f>
        <v>0.6851701682786806</v>
      </c>
      <c r="H51" s="3">
        <v>279080.51</v>
      </c>
      <c r="I51" s="3">
        <v>191217.64</v>
      </c>
      <c r="J51" s="38">
        <f>J49</f>
        <v>208660</v>
      </c>
      <c r="K51" s="3">
        <f>I51/J51</f>
        <v>0.91640774465637886</v>
      </c>
      <c r="L51" s="58"/>
      <c r="M51" s="84"/>
    </row>
    <row r="52" spans="1:15" s="12" customFormat="1" ht="18.75" customHeight="1" x14ac:dyDescent="0.25">
      <c r="A52" s="114" t="s">
        <v>77</v>
      </c>
      <c r="B52" s="115"/>
      <c r="C52" s="115"/>
      <c r="D52" s="115"/>
      <c r="E52" s="115"/>
      <c r="F52" s="115"/>
      <c r="G52" s="115"/>
      <c r="H52" s="118"/>
      <c r="I52" s="51">
        <f>SUM(I45:I51)</f>
        <v>500209.85</v>
      </c>
      <c r="J52" s="52"/>
      <c r="K52" s="56">
        <f>SUM(K45:K51)</f>
        <v>2.3972483945173968</v>
      </c>
      <c r="L52" s="92"/>
      <c r="M52" s="77"/>
      <c r="O52" s="82"/>
    </row>
    <row r="53" spans="1:15" s="12" customFormat="1" x14ac:dyDescent="0.25">
      <c r="A53" s="45"/>
      <c r="B53" s="45"/>
      <c r="C53" s="45"/>
      <c r="D53" s="45"/>
      <c r="E53" s="45"/>
      <c r="F53" s="35"/>
      <c r="G53" s="36"/>
      <c r="H53" s="37"/>
      <c r="I53" s="37"/>
      <c r="J53" s="35"/>
      <c r="K53" s="37"/>
      <c r="L53" s="18"/>
      <c r="M53" s="77"/>
    </row>
    <row r="54" spans="1:15" s="77" customFormat="1" x14ac:dyDescent="0.25">
      <c r="A54" s="103" t="s">
        <v>78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</row>
    <row r="55" spans="1:15" s="77" customFormat="1" ht="60" customHeight="1" x14ac:dyDescent="0.25">
      <c r="A55" s="108" t="s">
        <v>18</v>
      </c>
      <c r="B55" s="109"/>
      <c r="C55" s="109"/>
      <c r="D55" s="109"/>
      <c r="E55" s="110"/>
      <c r="F55" s="74" t="s">
        <v>6</v>
      </c>
      <c r="G55" s="74" t="s">
        <v>58</v>
      </c>
      <c r="H55" s="74" t="s">
        <v>59</v>
      </c>
      <c r="I55" s="74" t="s">
        <v>75</v>
      </c>
      <c r="J55" s="74" t="s">
        <v>70</v>
      </c>
      <c r="K55" s="49" t="s">
        <v>71</v>
      </c>
      <c r="L55" s="23"/>
    </row>
    <row r="56" spans="1:15" s="77" customFormat="1" ht="30.75" customHeight="1" x14ac:dyDescent="0.25">
      <c r="A56" s="113" t="s">
        <v>79</v>
      </c>
      <c r="B56" s="105"/>
      <c r="C56" s="105"/>
      <c r="D56" s="105"/>
      <c r="E56" s="106"/>
      <c r="F56" s="1" t="s">
        <v>17</v>
      </c>
      <c r="G56" s="50">
        <f>I56/H56+0.04</f>
        <v>8.4019015403201447</v>
      </c>
      <c r="H56" s="3">
        <v>16555</v>
      </c>
      <c r="I56" s="3">
        <v>138431.28</v>
      </c>
      <c r="J56" s="38">
        <f>J48</f>
        <v>208660</v>
      </c>
      <c r="K56" s="3">
        <f>I56/J56</f>
        <v>0.66342988593884789</v>
      </c>
      <c r="L56" s="18"/>
    </row>
    <row r="57" spans="1:15" s="77" customFormat="1" ht="18.75" customHeight="1" x14ac:dyDescent="0.25">
      <c r="A57" s="99" t="s">
        <v>81</v>
      </c>
      <c r="B57" s="100"/>
      <c r="C57" s="100"/>
      <c r="D57" s="100"/>
      <c r="E57" s="101"/>
      <c r="F57" s="1" t="s">
        <v>17</v>
      </c>
      <c r="G57" s="50">
        <f>I57/H57+0.07</f>
        <v>4.4653244444444447</v>
      </c>
      <c r="H57" s="3">
        <v>4500</v>
      </c>
      <c r="I57" s="3">
        <v>19778.96</v>
      </c>
      <c r="J57" s="38">
        <f>J50</f>
        <v>208660</v>
      </c>
      <c r="K57" s="3">
        <f>I57/J57</f>
        <v>9.47903766893511E-2</v>
      </c>
      <c r="L57" s="18"/>
    </row>
    <row r="58" spans="1:15" s="88" customFormat="1" ht="18.75" customHeight="1" x14ac:dyDescent="0.25">
      <c r="A58" s="98" t="s">
        <v>106</v>
      </c>
      <c r="B58" s="98"/>
      <c r="C58" s="98"/>
      <c r="D58" s="98"/>
      <c r="E58" s="98"/>
      <c r="F58" s="1" t="s">
        <v>24</v>
      </c>
      <c r="G58" s="50"/>
      <c r="H58" s="3"/>
      <c r="I58" s="3">
        <v>157900.51999999999</v>
      </c>
      <c r="J58" s="38">
        <v>208660</v>
      </c>
      <c r="K58" s="3">
        <f>I58/J58</f>
        <v>0.75673593405540107</v>
      </c>
      <c r="L58" s="18"/>
    </row>
    <row r="59" spans="1:15" s="77" customFormat="1" x14ac:dyDescent="0.25">
      <c r="A59" s="114" t="s">
        <v>80</v>
      </c>
      <c r="B59" s="115"/>
      <c r="C59" s="115"/>
      <c r="D59" s="115"/>
      <c r="E59" s="115"/>
      <c r="F59" s="115"/>
      <c r="G59" s="115"/>
      <c r="H59" s="115"/>
      <c r="I59" s="63">
        <f>SUM(I56:I58)</f>
        <v>316110.76</v>
      </c>
      <c r="J59" s="63"/>
      <c r="K59" s="63">
        <f>SUM(K56:K58)</f>
        <v>1.5149561966836</v>
      </c>
      <c r="L59" s="145"/>
      <c r="N59" s="93"/>
      <c r="O59" s="84"/>
    </row>
    <row r="60" spans="1:15" s="77" customFormat="1" x14ac:dyDescent="0.25">
      <c r="A60" s="27"/>
      <c r="B60" s="27"/>
      <c r="C60" s="27"/>
      <c r="D60" s="27"/>
      <c r="E60" s="27"/>
      <c r="F60" s="27"/>
      <c r="G60" s="27"/>
      <c r="H60" s="27"/>
      <c r="I60" s="65"/>
      <c r="J60" s="66"/>
      <c r="K60" s="66"/>
      <c r="L60" s="18"/>
    </row>
    <row r="61" spans="1:15" s="77" customFormat="1" x14ac:dyDescent="0.25">
      <c r="A61" s="103" t="s">
        <v>82</v>
      </c>
      <c r="B61" s="103"/>
      <c r="C61" s="103"/>
      <c r="D61" s="103"/>
      <c r="E61" s="103"/>
      <c r="F61" s="103"/>
      <c r="G61" s="103"/>
      <c r="H61" s="103"/>
      <c r="I61" s="103"/>
      <c r="J61" s="103"/>
      <c r="K61" s="103"/>
      <c r="L61" s="103"/>
    </row>
    <row r="62" spans="1:15" s="77" customFormat="1" ht="60" customHeight="1" x14ac:dyDescent="0.25">
      <c r="A62" s="108" t="s">
        <v>19</v>
      </c>
      <c r="B62" s="109"/>
      <c r="C62" s="109"/>
      <c r="D62" s="109"/>
      <c r="E62" s="110"/>
      <c r="F62" s="74" t="s">
        <v>6</v>
      </c>
      <c r="G62" s="74" t="s">
        <v>58</v>
      </c>
      <c r="H62" s="74" t="s">
        <v>59</v>
      </c>
      <c r="I62" s="74" t="s">
        <v>75</v>
      </c>
      <c r="J62" s="67" t="s">
        <v>70</v>
      </c>
      <c r="K62" s="49" t="s">
        <v>71</v>
      </c>
      <c r="L62" s="23"/>
      <c r="M62" s="23"/>
    </row>
    <row r="63" spans="1:15" s="77" customFormat="1" ht="36.75" customHeight="1" x14ac:dyDescent="0.25">
      <c r="A63" s="108" t="s">
        <v>20</v>
      </c>
      <c r="B63" s="109"/>
      <c r="C63" s="109"/>
      <c r="D63" s="109"/>
      <c r="E63" s="110"/>
      <c r="F63" s="24" t="s">
        <v>21</v>
      </c>
      <c r="G63" s="50">
        <v>5.6</v>
      </c>
      <c r="H63" s="3">
        <v>512.5</v>
      </c>
      <c r="I63" s="3">
        <f>G63*H63*12</f>
        <v>34440</v>
      </c>
      <c r="J63" s="68">
        <f>J58</f>
        <v>208660</v>
      </c>
      <c r="K63" s="3">
        <f>I63/J63</f>
        <v>0.16505319658775042</v>
      </c>
      <c r="L63" s="22"/>
      <c r="M63" s="18"/>
    </row>
    <row r="64" spans="1:15" s="77" customFormat="1" ht="30" x14ac:dyDescent="0.25">
      <c r="A64" s="108" t="s">
        <v>83</v>
      </c>
      <c r="B64" s="109"/>
      <c r="C64" s="109"/>
      <c r="D64" s="109"/>
      <c r="E64" s="110"/>
      <c r="F64" s="24" t="s">
        <v>84</v>
      </c>
      <c r="G64" s="50">
        <v>4.9000000000000004</v>
      </c>
      <c r="H64" s="3">
        <v>1500</v>
      </c>
      <c r="I64" s="3">
        <f>G64*H64*12</f>
        <v>88200.000000000015</v>
      </c>
      <c r="J64" s="68">
        <f>J63</f>
        <v>208660</v>
      </c>
      <c r="K64" s="3">
        <f>I64/J64</f>
        <v>0.42269721077350719</v>
      </c>
      <c r="L64" s="22"/>
      <c r="M64" s="18"/>
    </row>
    <row r="65" spans="1:13" s="77" customFormat="1" x14ac:dyDescent="0.25">
      <c r="A65" s="114" t="s">
        <v>22</v>
      </c>
      <c r="B65" s="115"/>
      <c r="C65" s="115"/>
      <c r="D65" s="115"/>
      <c r="E65" s="115"/>
      <c r="F65" s="115"/>
      <c r="G65" s="115"/>
      <c r="H65" s="118"/>
      <c r="I65" s="63">
        <f t="shared" ref="I65" si="6">SUM(I63:I64)</f>
        <v>122640.00000000001</v>
      </c>
      <c r="J65" s="64"/>
      <c r="K65" s="64">
        <f>SUM(K63:K64)</f>
        <v>0.58775040736125761</v>
      </c>
      <c r="L65" s="65"/>
      <c r="M65" s="18"/>
    </row>
    <row r="66" spans="1:13" s="12" customFormat="1" hidden="1" x14ac:dyDescent="0.25">
      <c r="A66" s="77"/>
      <c r="B66" s="77"/>
      <c r="C66" s="77"/>
      <c r="D66" s="77"/>
      <c r="E66" s="77"/>
      <c r="F66" s="77"/>
      <c r="G66" s="77"/>
      <c r="H66" s="77"/>
      <c r="I66" s="77"/>
      <c r="J66" s="77"/>
      <c r="K66" s="77"/>
      <c r="L66" s="77"/>
      <c r="M66" s="77"/>
    </row>
    <row r="67" spans="1:13" s="12" customFormat="1" x14ac:dyDescent="0.25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</row>
    <row r="68" spans="1:13" s="12" customFormat="1" x14ac:dyDescent="0.25">
      <c r="A68" s="103" t="s">
        <v>39</v>
      </c>
      <c r="B68" s="103"/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</row>
    <row r="69" spans="1:13" s="12" customFormat="1" ht="11.25" customHeight="1" x14ac:dyDescent="0.25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</row>
    <row r="70" spans="1:13" s="12" customFormat="1" ht="60" x14ac:dyDescent="0.25">
      <c r="A70" s="108" t="s">
        <v>4</v>
      </c>
      <c r="B70" s="109"/>
      <c r="C70" s="109"/>
      <c r="D70" s="109"/>
      <c r="E70" s="110"/>
      <c r="F70" s="74" t="s">
        <v>5</v>
      </c>
      <c r="G70" s="74" t="s">
        <v>1</v>
      </c>
      <c r="H70" s="74" t="s">
        <v>68</v>
      </c>
      <c r="I70" s="74" t="s">
        <v>69</v>
      </c>
      <c r="J70" s="74" t="s">
        <v>70</v>
      </c>
      <c r="K70" s="49" t="s">
        <v>71</v>
      </c>
      <c r="L70" s="2"/>
      <c r="M70" s="77"/>
    </row>
    <row r="71" spans="1:13" s="12" customFormat="1" x14ac:dyDescent="0.25">
      <c r="A71" s="98" t="s">
        <v>42</v>
      </c>
      <c r="B71" s="98"/>
      <c r="C71" s="98"/>
      <c r="D71" s="98"/>
      <c r="E71" s="98"/>
      <c r="F71" s="28">
        <v>33509.769999999997</v>
      </c>
      <c r="G71" s="50">
        <v>0.7</v>
      </c>
      <c r="H71" s="16">
        <f>F71*G71*12-0.01</f>
        <v>281482.05799999996</v>
      </c>
      <c r="I71" s="3">
        <f>H71*1.302+42524.03</f>
        <v>409013.66951599997</v>
      </c>
      <c r="J71" s="38">
        <f>J28</f>
        <v>208660</v>
      </c>
      <c r="K71" s="3">
        <f>I71/J71</f>
        <v>1.9601920325697304</v>
      </c>
      <c r="L71" s="3"/>
      <c r="M71" s="77"/>
    </row>
    <row r="72" spans="1:13" s="12" customFormat="1" x14ac:dyDescent="0.25">
      <c r="A72" s="98" t="s">
        <v>48</v>
      </c>
      <c r="B72" s="98"/>
      <c r="C72" s="98"/>
      <c r="D72" s="98"/>
      <c r="E72" s="98"/>
      <c r="F72" s="28">
        <v>27305.33</v>
      </c>
      <c r="G72" s="50">
        <v>0.7</v>
      </c>
      <c r="H72" s="16">
        <f>F72*G72*12</f>
        <v>229364.772</v>
      </c>
      <c r="I72" s="3">
        <f>H72*1.302+42524.03</f>
        <v>341156.96314400004</v>
      </c>
      <c r="J72" s="38">
        <f>J71</f>
        <v>208660</v>
      </c>
      <c r="K72" s="3">
        <f>I72/J72</f>
        <v>1.6349897591488547</v>
      </c>
      <c r="L72" s="3"/>
      <c r="M72" s="77"/>
    </row>
    <row r="73" spans="1:13" s="12" customFormat="1" ht="20.25" customHeight="1" x14ac:dyDescent="0.25">
      <c r="A73" s="95" t="s">
        <v>23</v>
      </c>
      <c r="B73" s="96"/>
      <c r="C73" s="96"/>
      <c r="D73" s="96"/>
      <c r="E73" s="96"/>
      <c r="F73" s="96"/>
      <c r="G73" s="96"/>
      <c r="H73" s="97"/>
      <c r="I73" s="25">
        <f t="shared" ref="I73:K73" si="7">SUM(I71:I72)</f>
        <v>750170.63266</v>
      </c>
      <c r="J73" s="25"/>
      <c r="K73" s="25">
        <f t="shared" si="7"/>
        <v>3.5951817917185851</v>
      </c>
      <c r="L73" s="26"/>
      <c r="M73" s="77"/>
    </row>
    <row r="74" spans="1:13" s="12" customFormat="1" x14ac:dyDescent="0.25">
      <c r="A74" s="27"/>
      <c r="B74" s="27"/>
      <c r="C74" s="27"/>
      <c r="D74" s="27"/>
      <c r="E74" s="27"/>
      <c r="F74" s="77"/>
      <c r="G74" s="77"/>
      <c r="H74" s="77"/>
      <c r="I74" s="77"/>
      <c r="J74" s="77"/>
      <c r="K74" s="77"/>
      <c r="L74" s="77"/>
      <c r="M74" s="77"/>
    </row>
    <row r="75" spans="1:13" s="12" customFormat="1" x14ac:dyDescent="0.25">
      <c r="A75" s="116" t="s">
        <v>85</v>
      </c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7"/>
      <c r="M75" s="77"/>
    </row>
    <row r="76" spans="1:13" s="12" customFormat="1" ht="45" x14ac:dyDescent="0.25">
      <c r="A76" s="124" t="s">
        <v>87</v>
      </c>
      <c r="B76" s="124"/>
      <c r="C76" s="124"/>
      <c r="D76" s="124"/>
      <c r="E76" s="124"/>
      <c r="F76" s="74" t="s">
        <v>6</v>
      </c>
      <c r="G76" s="74" t="s">
        <v>58</v>
      </c>
      <c r="H76" s="74" t="s">
        <v>59</v>
      </c>
      <c r="I76" s="74" t="s">
        <v>75</v>
      </c>
      <c r="J76" s="74" t="s">
        <v>70</v>
      </c>
      <c r="K76" s="55" t="s">
        <v>71</v>
      </c>
      <c r="L76" s="57"/>
      <c r="M76" s="77"/>
    </row>
    <row r="77" spans="1:13" s="12" customFormat="1" ht="30" customHeight="1" x14ac:dyDescent="0.25">
      <c r="A77" s="113" t="s">
        <v>107</v>
      </c>
      <c r="B77" s="105"/>
      <c r="C77" s="105"/>
      <c r="D77" s="105"/>
      <c r="E77" s="106"/>
      <c r="F77" s="1" t="s">
        <v>24</v>
      </c>
      <c r="G77" s="50">
        <v>0.7</v>
      </c>
      <c r="H77" s="17">
        <v>4000</v>
      </c>
      <c r="I77" s="16">
        <f>G77*H77</f>
        <v>2800</v>
      </c>
      <c r="J77" s="38">
        <f>J72</f>
        <v>208660</v>
      </c>
      <c r="K77" s="75">
        <f>I77/J77</f>
        <v>1.341895907217483E-2</v>
      </c>
      <c r="L77" s="58"/>
      <c r="M77" s="146"/>
    </row>
    <row r="78" spans="1:13" s="12" customFormat="1" x14ac:dyDescent="0.25">
      <c r="A78" s="98" t="s">
        <v>88</v>
      </c>
      <c r="B78" s="98"/>
      <c r="C78" s="98"/>
      <c r="D78" s="98"/>
      <c r="E78" s="98"/>
      <c r="F78" s="1" t="s">
        <v>24</v>
      </c>
      <c r="G78" s="50">
        <v>0.7</v>
      </c>
      <c r="H78" s="17">
        <v>20280</v>
      </c>
      <c r="I78" s="16">
        <f>G78*H78</f>
        <v>14196</v>
      </c>
      <c r="J78" s="38">
        <f>J77</f>
        <v>208660</v>
      </c>
      <c r="K78" s="75">
        <f>I78/J78</f>
        <v>6.8034122495926386E-2</v>
      </c>
      <c r="L78" s="58"/>
      <c r="M78" s="77"/>
    </row>
    <row r="79" spans="1:13" s="12" customFormat="1" x14ac:dyDescent="0.25">
      <c r="A79" s="98" t="s">
        <v>108</v>
      </c>
      <c r="B79" s="98"/>
      <c r="C79" s="98"/>
      <c r="D79" s="98"/>
      <c r="E79" s="98"/>
      <c r="F79" s="1" t="s">
        <v>24</v>
      </c>
      <c r="G79" s="50">
        <v>0.7</v>
      </c>
      <c r="H79" s="17">
        <v>21552</v>
      </c>
      <c r="I79" s="16">
        <f>G79*H79</f>
        <v>15086.4</v>
      </c>
      <c r="J79" s="38">
        <f>J78</f>
        <v>208660</v>
      </c>
      <c r="K79" s="90">
        <f>I79/J79</f>
        <v>7.2301351480877976E-2</v>
      </c>
      <c r="L79" s="58"/>
      <c r="M79" s="89"/>
    </row>
    <row r="80" spans="1:13" s="12" customFormat="1" x14ac:dyDescent="0.25">
      <c r="A80" s="114" t="s">
        <v>86</v>
      </c>
      <c r="B80" s="115"/>
      <c r="C80" s="115"/>
      <c r="D80" s="115"/>
      <c r="E80" s="115"/>
      <c r="F80" s="115"/>
      <c r="G80" s="115"/>
      <c r="H80" s="115"/>
      <c r="I80" s="63">
        <f>SUM(I77:I79)</f>
        <v>32082.400000000001</v>
      </c>
      <c r="J80" s="64"/>
      <c r="K80" s="64">
        <f>SUM(K77:K79)</f>
        <v>0.15375443304897918</v>
      </c>
      <c r="L80" s="92"/>
      <c r="M80" s="77"/>
    </row>
    <row r="81" spans="1:13" s="12" customFormat="1" x14ac:dyDescent="0.25">
      <c r="A81" s="46"/>
      <c r="B81" s="46"/>
      <c r="C81" s="46"/>
      <c r="D81" s="46"/>
      <c r="E81" s="46"/>
      <c r="F81" s="46"/>
      <c r="G81" s="46"/>
      <c r="H81" s="27"/>
      <c r="I81" s="27"/>
      <c r="J81" s="27"/>
      <c r="K81" s="27"/>
      <c r="L81" s="34"/>
      <c r="M81" s="77"/>
    </row>
    <row r="82" spans="1:13" s="12" customFormat="1" x14ac:dyDescent="0.25">
      <c r="A82" s="116" t="s">
        <v>25</v>
      </c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77"/>
    </row>
    <row r="83" spans="1:13" s="12" customFormat="1" x14ac:dyDescent="0.25">
      <c r="A83" s="107" t="s">
        <v>26</v>
      </c>
      <c r="B83" s="107"/>
      <c r="C83" s="107"/>
      <c r="D83" s="108" t="s">
        <v>27</v>
      </c>
      <c r="E83" s="109"/>
      <c r="F83" s="109"/>
      <c r="G83" s="109"/>
      <c r="H83" s="109"/>
      <c r="I83" s="109"/>
      <c r="J83" s="110"/>
      <c r="K83" s="107" t="s">
        <v>38</v>
      </c>
      <c r="L83" s="107"/>
      <c r="M83" s="77"/>
    </row>
    <row r="84" spans="1:13" s="12" customFormat="1" ht="30" x14ac:dyDescent="0.25">
      <c r="A84" s="1" t="s">
        <v>28</v>
      </c>
      <c r="B84" s="2" t="s">
        <v>29</v>
      </c>
      <c r="C84" s="1" t="s">
        <v>30</v>
      </c>
      <c r="D84" s="1" t="s">
        <v>31</v>
      </c>
      <c r="E84" s="1" t="s">
        <v>32</v>
      </c>
      <c r="F84" s="1" t="s">
        <v>33</v>
      </c>
      <c r="G84" s="1" t="s">
        <v>34</v>
      </c>
      <c r="H84" s="1" t="s">
        <v>35</v>
      </c>
      <c r="I84" s="1" t="s">
        <v>36</v>
      </c>
      <c r="J84" s="1" t="s">
        <v>37</v>
      </c>
      <c r="K84" s="107"/>
      <c r="L84" s="107"/>
      <c r="M84" s="77"/>
    </row>
    <row r="85" spans="1:13" s="12" customFormat="1" x14ac:dyDescent="0.25">
      <c r="A85" s="3">
        <f>K33</f>
        <v>41.361188740042174</v>
      </c>
      <c r="B85" s="3"/>
      <c r="C85" s="3"/>
      <c r="D85" s="3">
        <f>K41</f>
        <v>4.0803837343046103</v>
      </c>
      <c r="E85" s="3">
        <f>K52</f>
        <v>2.3972483945173968</v>
      </c>
      <c r="F85" s="3"/>
      <c r="G85" s="3">
        <f>K65</f>
        <v>0.58775040736125761</v>
      </c>
      <c r="H85" s="1"/>
      <c r="I85" s="3">
        <f>K73</f>
        <v>3.5951817917185851</v>
      </c>
      <c r="J85" s="3">
        <f>K59+K80</f>
        <v>1.6687106297325793</v>
      </c>
      <c r="K85" s="111">
        <f>SUM(A85:J85)</f>
        <v>53.690463697676606</v>
      </c>
      <c r="L85" s="112"/>
      <c r="M85" s="77"/>
    </row>
    <row r="86" spans="1:13" s="12" customFormat="1" ht="30" customHeight="1" x14ac:dyDescent="0.25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</row>
    <row r="87" spans="1:13" s="12" customFormat="1" x14ac:dyDescent="0.25">
      <c r="A87" s="30" t="s">
        <v>49</v>
      </c>
      <c r="B87" s="29"/>
      <c r="C87" s="30"/>
      <c r="D87" s="30"/>
      <c r="E87" s="30"/>
      <c r="F87" s="30" t="s">
        <v>50</v>
      </c>
      <c r="G87" s="29"/>
      <c r="H87" s="29"/>
      <c r="I87" s="70">
        <f>I80+I73+I65+I59+I52+I41+I33</f>
        <v>11203052.155157199</v>
      </c>
      <c r="J87" s="29"/>
      <c r="K87" s="70">
        <f>K85*J78</f>
        <v>11203052.155157201</v>
      </c>
      <c r="L87" s="29"/>
      <c r="M87" s="29"/>
    </row>
    <row r="88" spans="1:13" s="12" customFormat="1" x14ac:dyDescent="0.25">
      <c r="A88" s="10"/>
      <c r="B88" s="6"/>
      <c r="C88" s="11"/>
    </row>
    <row r="89" spans="1:13" s="12" customFormat="1" x14ac:dyDescent="0.25">
      <c r="A89" s="5"/>
      <c r="I89" s="54"/>
      <c r="K89" s="54"/>
    </row>
    <row r="90" spans="1:13" s="12" customFormat="1" x14ac:dyDescent="0.25"/>
    <row r="91" spans="1:13" s="12" customFormat="1" x14ac:dyDescent="0.25">
      <c r="A91" s="30" t="s">
        <v>105</v>
      </c>
      <c r="B91" s="31"/>
      <c r="C91" s="29"/>
      <c r="D91" s="30"/>
      <c r="E91" s="30"/>
      <c r="F91" s="30"/>
      <c r="G91" s="29"/>
      <c r="L91" s="29"/>
      <c r="M91" s="29"/>
    </row>
    <row r="92" spans="1:13" s="12" customFormat="1" x14ac:dyDescent="0.25">
      <c r="A92" s="30" t="s">
        <v>51</v>
      </c>
      <c r="B92" s="29"/>
      <c r="C92" s="29"/>
      <c r="D92" s="29"/>
      <c r="E92" s="29"/>
      <c r="F92" s="29"/>
      <c r="G92" s="29"/>
      <c r="L92" s="29"/>
      <c r="M92" s="29"/>
    </row>
    <row r="93" spans="1:13" s="12" customFormat="1" x14ac:dyDescent="0.25"/>
    <row r="94" spans="1:13" s="12" customFormat="1" x14ac:dyDescent="0.25"/>
    <row r="95" spans="1:13" s="12" customFormat="1" x14ac:dyDescent="0.25"/>
    <row r="96" spans="1:13" hidden="1" x14ac:dyDescent="0.25">
      <c r="H96" s="12">
        <v>211</v>
      </c>
      <c r="I96" s="54">
        <f>I33+I73</f>
        <v>9380596.2751571983</v>
      </c>
      <c r="J96" s="12"/>
      <c r="K96" s="82">
        <f>(K73+K33)*208660</f>
        <v>9380596.2751572002</v>
      </c>
    </row>
    <row r="97" spans="8:11" hidden="1" x14ac:dyDescent="0.25">
      <c r="H97" s="29">
        <v>223</v>
      </c>
      <c r="I97" s="62">
        <f>I41</f>
        <v>851412.87</v>
      </c>
      <c r="J97" s="29"/>
      <c r="K97" s="83">
        <f>K41*208660</f>
        <v>851412.87</v>
      </c>
    </row>
    <row r="98" spans="8:11" hidden="1" x14ac:dyDescent="0.25">
      <c r="H98" s="29">
        <v>225</v>
      </c>
      <c r="I98" s="62">
        <f>I52</f>
        <v>500209.85</v>
      </c>
      <c r="J98" s="29"/>
      <c r="K98" s="62">
        <f>K52*208660</f>
        <v>500209.85000000003</v>
      </c>
    </row>
    <row r="99" spans="8:11" hidden="1" x14ac:dyDescent="0.25">
      <c r="H99" s="29">
        <v>226</v>
      </c>
      <c r="I99" s="54">
        <f>I59</f>
        <v>316110.76</v>
      </c>
      <c r="J99" s="12"/>
      <c r="K99" s="12">
        <f>K59*208660</f>
        <v>316110.76</v>
      </c>
    </row>
    <row r="100" spans="8:11" hidden="1" x14ac:dyDescent="0.25">
      <c r="H100" s="29">
        <v>221</v>
      </c>
      <c r="I100" s="54">
        <f>I65</f>
        <v>122640.00000000001</v>
      </c>
      <c r="J100" s="12"/>
      <c r="K100" s="12">
        <f>K65*208660</f>
        <v>122640.00000000001</v>
      </c>
    </row>
    <row r="101" spans="8:11" hidden="1" x14ac:dyDescent="0.25">
      <c r="H101" s="86" t="s">
        <v>100</v>
      </c>
      <c r="I101" s="54">
        <f>I80</f>
        <v>32082.400000000001</v>
      </c>
      <c r="J101" s="12"/>
      <c r="K101" s="12">
        <f>K80*208660</f>
        <v>32082.399999999994</v>
      </c>
    </row>
  </sheetData>
  <mergeCells count="82">
    <mergeCell ref="A19:E19"/>
    <mergeCell ref="G19:K19"/>
    <mergeCell ref="A45:E45"/>
    <mergeCell ref="A79:E79"/>
    <mergeCell ref="A1:D1"/>
    <mergeCell ref="A6:C6"/>
    <mergeCell ref="A7:L7"/>
    <mergeCell ref="A8:L8"/>
    <mergeCell ref="A2:F2"/>
    <mergeCell ref="A3:E3"/>
    <mergeCell ref="A5:E5"/>
    <mergeCell ref="A10:L10"/>
    <mergeCell ref="G17:K17"/>
    <mergeCell ref="G18:K18"/>
    <mergeCell ref="A9:L9"/>
    <mergeCell ref="A17:E17"/>
    <mergeCell ref="A18:E18"/>
    <mergeCell ref="A14:E14"/>
    <mergeCell ref="G14:K14"/>
    <mergeCell ref="A15:E15"/>
    <mergeCell ref="G15:K15"/>
    <mergeCell ref="A16:E16"/>
    <mergeCell ref="G16:K16"/>
    <mergeCell ref="G23:K23"/>
    <mergeCell ref="A76:E76"/>
    <mergeCell ref="A61:L61"/>
    <mergeCell ref="A63:E63"/>
    <mergeCell ref="A64:E64"/>
    <mergeCell ref="A72:E72"/>
    <mergeCell ref="A62:E62"/>
    <mergeCell ref="A65:H65"/>
    <mergeCell ref="A68:M68"/>
    <mergeCell ref="A59:H59"/>
    <mergeCell ref="A55:E55"/>
    <mergeCell ref="A35:L35"/>
    <mergeCell ref="A36:E36"/>
    <mergeCell ref="A29:E29"/>
    <mergeCell ref="A30:E30"/>
    <mergeCell ref="A23:E23"/>
    <mergeCell ref="A20:E20"/>
    <mergeCell ref="A22:E22"/>
    <mergeCell ref="G20:K20"/>
    <mergeCell ref="G21:K21"/>
    <mergeCell ref="G22:K22"/>
    <mergeCell ref="A21:E21"/>
    <mergeCell ref="K85:L85"/>
    <mergeCell ref="A48:E48"/>
    <mergeCell ref="A70:E70"/>
    <mergeCell ref="A71:E71"/>
    <mergeCell ref="A77:E77"/>
    <mergeCell ref="A78:E78"/>
    <mergeCell ref="A80:H80"/>
    <mergeCell ref="A50:E50"/>
    <mergeCell ref="A73:H73"/>
    <mergeCell ref="A49:E49"/>
    <mergeCell ref="A82:L82"/>
    <mergeCell ref="A75:L75"/>
    <mergeCell ref="A51:E51"/>
    <mergeCell ref="A56:E56"/>
    <mergeCell ref="A52:H52"/>
    <mergeCell ref="A83:C83"/>
    <mergeCell ref="A47:E47"/>
    <mergeCell ref="A39:E39"/>
    <mergeCell ref="A43:L43"/>
    <mergeCell ref="A31:E31"/>
    <mergeCell ref="K83:L84"/>
    <mergeCell ref="D83:J83"/>
    <mergeCell ref="A32:E32"/>
    <mergeCell ref="A58:E58"/>
    <mergeCell ref="A57:E57"/>
    <mergeCell ref="A38:E38"/>
    <mergeCell ref="A40:E40"/>
    <mergeCell ref="A44:E44"/>
    <mergeCell ref="A54:L54"/>
    <mergeCell ref="A25:G25"/>
    <mergeCell ref="A41:H41"/>
    <mergeCell ref="A33:H33"/>
    <mergeCell ref="A37:E37"/>
    <mergeCell ref="A46:E46"/>
    <mergeCell ref="A28:E28"/>
    <mergeCell ref="A26:E26"/>
    <mergeCell ref="A27:E27"/>
  </mergeCells>
  <printOptions horizontalCentered="1"/>
  <pageMargins left="0" right="0" top="0" bottom="0" header="0" footer="0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1"/>
  <sheetViews>
    <sheetView view="pageBreakPreview" topLeftCell="A55" zoomScale="60" zoomScaleNormal="80" workbookViewId="0">
      <selection activeCell="I76" sqref="I76"/>
    </sheetView>
  </sheetViews>
  <sheetFormatPr defaultRowHeight="15" x14ac:dyDescent="0.25"/>
  <cols>
    <col min="1" max="4" width="9.140625" style="12"/>
    <col min="5" max="5" width="9.5703125" style="12" customWidth="1"/>
    <col min="6" max="6" width="16" style="12" customWidth="1"/>
    <col min="7" max="7" width="14.28515625" style="12" customWidth="1"/>
    <col min="8" max="8" width="17.42578125" style="12" customWidth="1"/>
    <col min="9" max="9" width="18" style="12" customWidth="1"/>
    <col min="10" max="10" width="13.85546875" style="12" customWidth="1"/>
    <col min="11" max="11" width="18.85546875" style="12" customWidth="1"/>
    <col min="12" max="12" width="14" style="12" customWidth="1"/>
    <col min="13" max="13" width="13.28515625" style="12" customWidth="1"/>
    <col min="14" max="16384" width="9.140625" style="12"/>
  </cols>
  <sheetData>
    <row r="1" spans="1:15" ht="15.75" x14ac:dyDescent="0.25">
      <c r="A1" s="136" t="s">
        <v>52</v>
      </c>
      <c r="B1" s="136"/>
      <c r="C1" s="136"/>
      <c r="D1" s="136"/>
      <c r="E1" s="44"/>
      <c r="F1" s="44"/>
    </row>
    <row r="2" spans="1:15" ht="15.75" x14ac:dyDescent="0.25">
      <c r="A2" s="136" t="s">
        <v>53</v>
      </c>
      <c r="B2" s="136"/>
      <c r="C2" s="132"/>
      <c r="D2" s="132"/>
      <c r="E2" s="132"/>
      <c r="F2" s="132"/>
    </row>
    <row r="3" spans="1:15" ht="15.75" x14ac:dyDescent="0.25">
      <c r="A3" s="131" t="s">
        <v>54</v>
      </c>
      <c r="B3" s="131"/>
      <c r="C3" s="131"/>
      <c r="D3" s="132"/>
      <c r="E3" s="132"/>
      <c r="F3" s="44"/>
    </row>
    <row r="4" spans="1:15" ht="9.75" customHeight="1" x14ac:dyDescent="0.25">
      <c r="A4" s="47"/>
      <c r="B4" s="47"/>
      <c r="C4" s="47"/>
      <c r="D4" s="8"/>
      <c r="E4" s="44"/>
      <c r="F4" s="44"/>
    </row>
    <row r="5" spans="1:15" ht="15.75" x14ac:dyDescent="0.25">
      <c r="A5" s="131" t="s">
        <v>103</v>
      </c>
      <c r="B5" s="131"/>
      <c r="C5" s="131"/>
      <c r="D5" s="132"/>
      <c r="E5" s="132"/>
      <c r="F5" s="44"/>
    </row>
    <row r="6" spans="1:15" ht="12.75" customHeight="1" x14ac:dyDescent="0.25">
      <c r="A6" s="131"/>
      <c r="B6" s="131"/>
      <c r="C6" s="131"/>
      <c r="D6" s="8"/>
      <c r="E6" s="44"/>
      <c r="F6" s="44"/>
    </row>
    <row r="7" spans="1:15" ht="15.75" x14ac:dyDescent="0.25">
      <c r="A7" s="137" t="s">
        <v>55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</row>
    <row r="8" spans="1:15" ht="15.75" x14ac:dyDescent="0.25">
      <c r="A8" s="137" t="s">
        <v>89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5" ht="14.25" customHeight="1" x14ac:dyDescent="0.25">
      <c r="A9" s="135" t="s">
        <v>104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</row>
    <row r="10" spans="1:15" ht="18.75" customHeight="1" x14ac:dyDescent="0.25">
      <c r="A10" s="133" t="s">
        <v>65</v>
      </c>
      <c r="B10" s="134"/>
      <c r="C10" s="134"/>
      <c r="D10" s="134"/>
      <c r="E10" s="134"/>
      <c r="F10" s="134"/>
      <c r="G10" s="134"/>
      <c r="H10" s="134"/>
      <c r="I10" s="134"/>
      <c r="J10" s="134"/>
      <c r="K10" s="134"/>
      <c r="L10" s="134"/>
      <c r="M10" s="13"/>
      <c r="N10" s="4"/>
      <c r="O10" s="4"/>
    </row>
    <row r="11" spans="1:15" x14ac:dyDescent="0.25">
      <c r="A11" s="14" t="s">
        <v>90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5" x14ac:dyDescent="0.25">
      <c r="A12" s="14" t="s">
        <v>66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5" x14ac:dyDescent="0.25">
      <c r="A13" s="14" t="s">
        <v>64</v>
      </c>
      <c r="B13" s="48"/>
      <c r="C13" s="48"/>
      <c r="D13" s="48"/>
      <c r="E13" s="48"/>
    </row>
    <row r="14" spans="1:15" ht="33" customHeight="1" x14ac:dyDescent="0.25">
      <c r="A14" s="107" t="s">
        <v>0</v>
      </c>
      <c r="B14" s="107"/>
      <c r="C14" s="107"/>
      <c r="D14" s="107"/>
      <c r="E14" s="107"/>
      <c r="F14" s="1" t="s">
        <v>1</v>
      </c>
      <c r="G14" s="107" t="s">
        <v>2</v>
      </c>
      <c r="H14" s="107"/>
      <c r="I14" s="107"/>
      <c r="J14" s="107"/>
      <c r="K14" s="107"/>
      <c r="L14" s="1" t="s">
        <v>1</v>
      </c>
      <c r="M14" s="48"/>
    </row>
    <row r="15" spans="1:15" ht="16.5" customHeight="1" x14ac:dyDescent="0.25">
      <c r="A15" s="123" t="s">
        <v>57</v>
      </c>
      <c r="B15" s="121"/>
      <c r="C15" s="121"/>
      <c r="D15" s="121"/>
      <c r="E15" s="122"/>
      <c r="F15" s="32">
        <v>0.1</v>
      </c>
      <c r="G15" s="104" t="s">
        <v>41</v>
      </c>
      <c r="H15" s="121"/>
      <c r="I15" s="121"/>
      <c r="J15" s="121"/>
      <c r="K15" s="122"/>
      <c r="L15" s="32">
        <v>0.1</v>
      </c>
      <c r="M15" s="48"/>
    </row>
    <row r="16" spans="1:15" ht="15.75" customHeight="1" x14ac:dyDescent="0.25">
      <c r="A16" s="123" t="s">
        <v>43</v>
      </c>
      <c r="B16" s="121"/>
      <c r="C16" s="121"/>
      <c r="D16" s="121"/>
      <c r="E16" s="122"/>
      <c r="F16" s="32">
        <v>2.6</v>
      </c>
      <c r="G16" s="104" t="s">
        <v>42</v>
      </c>
      <c r="H16" s="121"/>
      <c r="I16" s="121"/>
      <c r="J16" s="121"/>
      <c r="K16" s="122"/>
      <c r="L16" s="32">
        <v>0.1</v>
      </c>
      <c r="M16" s="48"/>
    </row>
    <row r="17" spans="1:13" ht="16.5" customHeight="1" x14ac:dyDescent="0.25">
      <c r="A17" s="123" t="s">
        <v>67</v>
      </c>
      <c r="B17" s="121"/>
      <c r="C17" s="121"/>
      <c r="D17" s="121"/>
      <c r="E17" s="122"/>
      <c r="F17" s="32">
        <v>0.1</v>
      </c>
      <c r="G17" s="104"/>
      <c r="H17" s="121"/>
      <c r="I17" s="121"/>
      <c r="J17" s="121"/>
      <c r="K17" s="122"/>
      <c r="L17" s="33"/>
      <c r="M17" s="48"/>
    </row>
    <row r="18" spans="1:13" ht="16.5" customHeight="1" x14ac:dyDescent="0.25">
      <c r="A18" s="123" t="s">
        <v>46</v>
      </c>
      <c r="B18" s="121"/>
      <c r="C18" s="121"/>
      <c r="D18" s="121"/>
      <c r="E18" s="122"/>
      <c r="F18" s="32">
        <v>0.1</v>
      </c>
      <c r="G18" s="104"/>
      <c r="H18" s="121"/>
      <c r="I18" s="121"/>
      <c r="J18" s="121"/>
      <c r="K18" s="122"/>
      <c r="L18" s="33"/>
      <c r="M18" s="48"/>
    </row>
    <row r="19" spans="1:13" ht="15" customHeight="1" x14ac:dyDescent="0.25">
      <c r="A19" s="104" t="s">
        <v>45</v>
      </c>
      <c r="B19" s="119"/>
      <c r="C19" s="119"/>
      <c r="D19" s="119"/>
      <c r="E19" s="120"/>
      <c r="F19" s="32">
        <v>0.6</v>
      </c>
      <c r="G19" s="104"/>
      <c r="H19" s="121"/>
      <c r="I19" s="121"/>
      <c r="J19" s="121"/>
      <c r="K19" s="122"/>
      <c r="L19" s="33"/>
      <c r="M19" s="48"/>
    </row>
    <row r="20" spans="1:13" ht="15.75" customHeight="1" x14ac:dyDescent="0.25">
      <c r="A20" s="104" t="s">
        <v>44</v>
      </c>
      <c r="B20" s="119"/>
      <c r="C20" s="119"/>
      <c r="D20" s="119"/>
      <c r="E20" s="120"/>
      <c r="F20" s="32">
        <v>0.9</v>
      </c>
      <c r="G20" s="104"/>
      <c r="H20" s="119"/>
      <c r="I20" s="119"/>
      <c r="J20" s="119"/>
      <c r="K20" s="120"/>
      <c r="L20" s="33"/>
      <c r="M20" s="48"/>
    </row>
    <row r="21" spans="1:13" ht="14.25" hidden="1" customHeight="1" x14ac:dyDescent="0.25">
      <c r="A21" s="104"/>
      <c r="B21" s="119"/>
      <c r="C21" s="119"/>
      <c r="D21" s="119"/>
      <c r="E21" s="120"/>
      <c r="F21" s="32"/>
      <c r="G21" s="104"/>
      <c r="H21" s="119"/>
      <c r="I21" s="119"/>
      <c r="J21" s="119"/>
      <c r="K21" s="120"/>
      <c r="L21" s="33"/>
      <c r="M21" s="48"/>
    </row>
    <row r="22" spans="1:13" ht="15" hidden="1" customHeight="1" x14ac:dyDescent="0.25">
      <c r="A22" s="104"/>
      <c r="B22" s="121"/>
      <c r="C22" s="121"/>
      <c r="D22" s="121"/>
      <c r="E22" s="122"/>
      <c r="F22" s="32"/>
      <c r="G22" s="104"/>
      <c r="H22" s="119"/>
      <c r="I22" s="119"/>
      <c r="J22" s="119"/>
      <c r="K22" s="120"/>
      <c r="L22" s="33"/>
      <c r="M22" s="48"/>
    </row>
    <row r="23" spans="1:13" x14ac:dyDescent="0.25">
      <c r="A23" s="128" t="s">
        <v>3</v>
      </c>
      <c r="B23" s="129"/>
      <c r="C23" s="129"/>
      <c r="D23" s="129"/>
      <c r="E23" s="130"/>
      <c r="F23" s="32">
        <f>SUM(F15:F22)</f>
        <v>4.4000000000000004</v>
      </c>
      <c r="G23" s="123"/>
      <c r="H23" s="121"/>
      <c r="I23" s="121"/>
      <c r="J23" s="121"/>
      <c r="K23" s="122"/>
      <c r="L23" s="32">
        <f>SUM(L15:L22)</f>
        <v>0.2</v>
      </c>
      <c r="M23" s="48"/>
    </row>
    <row r="24" spans="1:13" ht="12.75" customHeight="1" x14ac:dyDescent="0.25">
      <c r="A24" s="41"/>
      <c r="B24" s="41"/>
      <c r="C24" s="41"/>
      <c r="D24" s="41"/>
      <c r="E24" s="41"/>
      <c r="F24" s="42"/>
      <c r="G24" s="43"/>
      <c r="H24" s="43"/>
      <c r="I24" s="43"/>
      <c r="J24" s="43"/>
      <c r="K24" s="43"/>
      <c r="L24" s="42"/>
      <c r="M24" s="48"/>
    </row>
    <row r="25" spans="1:13" x14ac:dyDescent="0.25">
      <c r="A25" s="94" t="s">
        <v>91</v>
      </c>
      <c r="B25" s="94"/>
      <c r="C25" s="94"/>
      <c r="D25" s="94"/>
      <c r="E25" s="94"/>
      <c r="F25" s="94"/>
      <c r="G25" s="94"/>
      <c r="H25" s="48">
        <v>1900</v>
      </c>
      <c r="I25" s="48"/>
      <c r="J25" s="48"/>
      <c r="K25" s="48"/>
      <c r="L25" s="48"/>
      <c r="M25" s="48"/>
    </row>
    <row r="26" spans="1:13" ht="60" x14ac:dyDescent="0.25">
      <c r="A26" s="108" t="s">
        <v>4</v>
      </c>
      <c r="B26" s="109"/>
      <c r="C26" s="109"/>
      <c r="D26" s="109"/>
      <c r="E26" s="110"/>
      <c r="F26" s="74" t="s">
        <v>5</v>
      </c>
      <c r="G26" s="74" t="s">
        <v>1</v>
      </c>
      <c r="H26" s="74" t="s">
        <v>68</v>
      </c>
      <c r="I26" s="74" t="s">
        <v>69</v>
      </c>
      <c r="J26" s="74" t="s">
        <v>70</v>
      </c>
      <c r="K26" s="49" t="s">
        <v>71</v>
      </c>
      <c r="L26" s="77"/>
    </row>
    <row r="27" spans="1:13" ht="18.75" customHeight="1" x14ac:dyDescent="0.25">
      <c r="A27" s="138" t="s">
        <v>57</v>
      </c>
      <c r="B27" s="139"/>
      <c r="C27" s="139"/>
      <c r="D27" s="139"/>
      <c r="E27" s="140"/>
      <c r="F27" s="3">
        <f>'Услуга №1  '!F27</f>
        <v>18142.3</v>
      </c>
      <c r="G27" s="50">
        <v>0.1</v>
      </c>
      <c r="H27" s="3">
        <f>F27*G27*12</f>
        <v>21770.760000000002</v>
      </c>
      <c r="I27" s="3">
        <f>H27*1.302</f>
        <v>28345.529520000004</v>
      </c>
      <c r="J27" s="38">
        <f>H25</f>
        <v>1900</v>
      </c>
      <c r="K27" s="3">
        <f>I27/J27</f>
        <v>14.918699747368423</v>
      </c>
      <c r="L27" s="77"/>
    </row>
    <row r="28" spans="1:13" ht="16.5" customHeight="1" x14ac:dyDescent="0.25">
      <c r="A28" s="102" t="s">
        <v>43</v>
      </c>
      <c r="B28" s="102"/>
      <c r="C28" s="102"/>
      <c r="D28" s="102"/>
      <c r="E28" s="102"/>
      <c r="F28" s="3">
        <f>'Услуга №1  '!F28</f>
        <v>17685</v>
      </c>
      <c r="G28" s="50">
        <v>2.6</v>
      </c>
      <c r="H28" s="3">
        <f t="shared" ref="H28:H32" si="0">F28*G28*12</f>
        <v>551772</v>
      </c>
      <c r="I28" s="3">
        <f>H28*1.302+4252.6</f>
        <v>722659.74399999995</v>
      </c>
      <c r="J28" s="38">
        <f>J27</f>
        <v>1900</v>
      </c>
      <c r="K28" s="3">
        <f t="shared" ref="K28:K32" si="1">I28/J28</f>
        <v>380.34723368421049</v>
      </c>
      <c r="L28" s="77"/>
    </row>
    <row r="29" spans="1:13" ht="15" customHeight="1" x14ac:dyDescent="0.25">
      <c r="A29" s="123" t="s">
        <v>67</v>
      </c>
      <c r="B29" s="121"/>
      <c r="C29" s="121"/>
      <c r="D29" s="121"/>
      <c r="E29" s="122"/>
      <c r="F29" s="3">
        <f>'Услуга №1  '!F29</f>
        <v>16561.406500000001</v>
      </c>
      <c r="G29" s="50">
        <v>0.1</v>
      </c>
      <c r="H29" s="3">
        <f t="shared" si="0"/>
        <v>19873.687800000003</v>
      </c>
      <c r="I29" s="3">
        <f t="shared" ref="I29:I32" si="2">H29*1.302</f>
        <v>25875.541515600005</v>
      </c>
      <c r="J29" s="38">
        <f>J28</f>
        <v>1900</v>
      </c>
      <c r="K29" s="3">
        <f t="shared" si="1"/>
        <v>13.618706060842108</v>
      </c>
      <c r="L29" s="77"/>
    </row>
    <row r="30" spans="1:13" ht="15" customHeight="1" x14ac:dyDescent="0.25">
      <c r="A30" s="125" t="s">
        <v>46</v>
      </c>
      <c r="B30" s="126"/>
      <c r="C30" s="126"/>
      <c r="D30" s="126"/>
      <c r="E30" s="127"/>
      <c r="F30" s="3">
        <f>'Услуга №1  '!F30</f>
        <v>16900.36</v>
      </c>
      <c r="G30" s="50">
        <v>0.1</v>
      </c>
      <c r="H30" s="3">
        <f t="shared" si="0"/>
        <v>20280.432000000001</v>
      </c>
      <c r="I30" s="3">
        <f t="shared" si="2"/>
        <v>26405.122464</v>
      </c>
      <c r="J30" s="38">
        <f>J29</f>
        <v>1900</v>
      </c>
      <c r="K30" s="3">
        <f t="shared" si="1"/>
        <v>13.897432875789473</v>
      </c>
      <c r="L30" s="77"/>
    </row>
    <row r="31" spans="1:13" ht="14.25" customHeight="1" x14ac:dyDescent="0.25">
      <c r="A31" s="104" t="s">
        <v>44</v>
      </c>
      <c r="B31" s="105"/>
      <c r="C31" s="105"/>
      <c r="D31" s="105"/>
      <c r="E31" s="106"/>
      <c r="F31" s="3">
        <f>'Услуга №1  '!F31</f>
        <v>18736</v>
      </c>
      <c r="G31" s="50">
        <v>0.9</v>
      </c>
      <c r="H31" s="3">
        <f t="shared" si="0"/>
        <v>202348.80000000002</v>
      </c>
      <c r="I31" s="3">
        <f t="shared" si="2"/>
        <v>263458.13760000002</v>
      </c>
      <c r="J31" s="38">
        <f>J28</f>
        <v>1900</v>
      </c>
      <c r="K31" s="3">
        <f t="shared" si="1"/>
        <v>138.66217768421055</v>
      </c>
      <c r="L31" s="77"/>
    </row>
    <row r="32" spans="1:13" ht="15.75" customHeight="1" x14ac:dyDescent="0.25">
      <c r="A32" s="104" t="s">
        <v>45</v>
      </c>
      <c r="B32" s="105"/>
      <c r="C32" s="105"/>
      <c r="D32" s="105"/>
      <c r="E32" s="106"/>
      <c r="F32" s="3">
        <f>'Услуга №1  '!F32</f>
        <v>19016</v>
      </c>
      <c r="G32" s="50">
        <v>0.6</v>
      </c>
      <c r="H32" s="3">
        <f t="shared" si="0"/>
        <v>136915.20000000001</v>
      </c>
      <c r="I32" s="3">
        <f t="shared" si="2"/>
        <v>178263.59040000002</v>
      </c>
      <c r="J32" s="38">
        <f>J30</f>
        <v>1900</v>
      </c>
      <c r="K32" s="3">
        <f t="shared" si="1"/>
        <v>93.822942315789476</v>
      </c>
      <c r="L32" s="77"/>
    </row>
    <row r="33" spans="1:13" ht="19.5" customHeight="1" x14ac:dyDescent="0.25">
      <c r="A33" s="95" t="s">
        <v>72</v>
      </c>
      <c r="B33" s="96"/>
      <c r="C33" s="96"/>
      <c r="D33" s="96"/>
      <c r="E33" s="96"/>
      <c r="F33" s="96"/>
      <c r="G33" s="96"/>
      <c r="H33" s="97"/>
      <c r="I33" s="51">
        <f t="shared" ref="I33:K33" si="3">SUM(I27:I32)</f>
        <v>1245007.6654996001</v>
      </c>
      <c r="J33" s="52"/>
      <c r="K33" s="51">
        <f t="shared" si="3"/>
        <v>655.26719236821054</v>
      </c>
      <c r="L33" s="77"/>
    </row>
    <row r="34" spans="1:13" x14ac:dyDescent="0.25">
      <c r="A34" s="19"/>
      <c r="B34" s="19"/>
      <c r="C34" s="19"/>
      <c r="D34" s="19"/>
      <c r="E34" s="19"/>
      <c r="F34" s="19"/>
      <c r="G34" s="19"/>
      <c r="H34" s="19"/>
      <c r="I34" s="77"/>
      <c r="J34" s="77"/>
      <c r="K34" s="77"/>
      <c r="L34" s="76"/>
      <c r="M34" s="77"/>
    </row>
    <row r="35" spans="1:13" x14ac:dyDescent="0.25">
      <c r="A35" s="103" t="s">
        <v>7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77"/>
    </row>
    <row r="36" spans="1:13" ht="45" x14ac:dyDescent="0.25">
      <c r="A36" s="124" t="s">
        <v>8</v>
      </c>
      <c r="B36" s="124"/>
      <c r="C36" s="124"/>
      <c r="D36" s="124"/>
      <c r="E36" s="124"/>
      <c r="F36" s="74" t="s">
        <v>6</v>
      </c>
      <c r="G36" s="74" t="s">
        <v>58</v>
      </c>
      <c r="H36" s="74" t="s">
        <v>59</v>
      </c>
      <c r="I36" s="74" t="s">
        <v>75</v>
      </c>
      <c r="J36" s="74" t="s">
        <v>70</v>
      </c>
      <c r="K36" s="55" t="s">
        <v>71</v>
      </c>
      <c r="L36" s="57"/>
      <c r="M36" s="77"/>
    </row>
    <row r="37" spans="1:13" x14ac:dyDescent="0.25">
      <c r="A37" s="98" t="s">
        <v>9</v>
      </c>
      <c r="B37" s="98"/>
      <c r="C37" s="98"/>
      <c r="D37" s="98"/>
      <c r="E37" s="98"/>
      <c r="F37" s="1" t="s">
        <v>17</v>
      </c>
      <c r="G37" s="3">
        <f>I37/H37</f>
        <v>361.43050847457624</v>
      </c>
      <c r="H37" s="3">
        <f>'Услуга №1  '!H37</f>
        <v>5.9</v>
      </c>
      <c r="I37" s="16">
        <v>2132.44</v>
      </c>
      <c r="J37" s="38">
        <f>J29</f>
        <v>1900</v>
      </c>
      <c r="K37" s="75">
        <f>I37/J37</f>
        <v>1.1223368421052631</v>
      </c>
      <c r="L37" s="58"/>
      <c r="M37" s="77"/>
    </row>
    <row r="38" spans="1:13" x14ac:dyDescent="0.25">
      <c r="A38" s="98" t="s">
        <v>10</v>
      </c>
      <c r="B38" s="98"/>
      <c r="C38" s="98"/>
      <c r="D38" s="98"/>
      <c r="E38" s="98"/>
      <c r="F38" s="1" t="s">
        <v>17</v>
      </c>
      <c r="G38" s="3">
        <f t="shared" ref="G38:G40" si="4">I38/H38</f>
        <v>60.04324962162994</v>
      </c>
      <c r="H38" s="3">
        <f>'Услуга №1  '!H38</f>
        <v>1559.32</v>
      </c>
      <c r="I38" s="16">
        <v>93626.64</v>
      </c>
      <c r="J38" s="38">
        <f>J37</f>
        <v>1900</v>
      </c>
      <c r="K38" s="75">
        <f t="shared" ref="K38:K40" si="5">I38/J38</f>
        <v>49.277178947368419</v>
      </c>
      <c r="L38" s="58"/>
      <c r="M38" s="77"/>
    </row>
    <row r="39" spans="1:13" x14ac:dyDescent="0.25">
      <c r="A39" s="98" t="s">
        <v>11</v>
      </c>
      <c r="B39" s="98"/>
      <c r="C39" s="98"/>
      <c r="D39" s="98"/>
      <c r="E39" s="98"/>
      <c r="F39" s="1" t="s">
        <v>17</v>
      </c>
      <c r="G39" s="3">
        <f t="shared" si="4"/>
        <v>39.257783729494477</v>
      </c>
      <c r="H39" s="3">
        <f>'Услуга №1  '!H39</f>
        <v>29.87</v>
      </c>
      <c r="I39" s="16">
        <v>1172.6300000000001</v>
      </c>
      <c r="J39" s="38">
        <f>J38</f>
        <v>1900</v>
      </c>
      <c r="K39" s="75">
        <f t="shared" si="5"/>
        <v>0.61717368421052632</v>
      </c>
      <c r="L39" s="58"/>
      <c r="M39" s="77"/>
    </row>
    <row r="40" spans="1:13" x14ac:dyDescent="0.25">
      <c r="A40" s="98" t="s">
        <v>12</v>
      </c>
      <c r="B40" s="98"/>
      <c r="C40" s="98"/>
      <c r="D40" s="98"/>
      <c r="E40" s="98"/>
      <c r="F40" s="73" t="s">
        <v>17</v>
      </c>
      <c r="G40" s="3">
        <f t="shared" si="4"/>
        <v>42.590941259731068</v>
      </c>
      <c r="H40" s="3">
        <f>'Услуга №1  '!H40</f>
        <v>42.39</v>
      </c>
      <c r="I40" s="16">
        <v>1805.43</v>
      </c>
      <c r="J40" s="38">
        <f>J38</f>
        <v>1900</v>
      </c>
      <c r="K40" s="75">
        <f t="shared" si="5"/>
        <v>0.9502263157894737</v>
      </c>
      <c r="L40" s="58"/>
      <c r="M40" s="77"/>
    </row>
    <row r="41" spans="1:13" ht="15" customHeight="1" x14ac:dyDescent="0.25">
      <c r="A41" s="95" t="s">
        <v>13</v>
      </c>
      <c r="B41" s="96"/>
      <c r="C41" s="96"/>
      <c r="D41" s="96"/>
      <c r="E41" s="96"/>
      <c r="F41" s="96"/>
      <c r="G41" s="96"/>
      <c r="H41" s="97"/>
      <c r="I41" s="51">
        <f>SUM(I37:I40)</f>
        <v>98737.14</v>
      </c>
      <c r="J41" s="52"/>
      <c r="K41" s="56">
        <f>SUM(K37:K40)</f>
        <v>51.966915789473681</v>
      </c>
      <c r="L41" s="58"/>
      <c r="M41" s="77"/>
    </row>
    <row r="42" spans="1:13" x14ac:dyDescent="0.25">
      <c r="A42" s="59"/>
      <c r="B42" s="59"/>
      <c r="C42" s="59"/>
      <c r="D42" s="59"/>
      <c r="E42" s="59"/>
      <c r="F42" s="22"/>
      <c r="G42" s="18"/>
      <c r="H42" s="18"/>
      <c r="I42" s="60"/>
      <c r="J42" s="61"/>
      <c r="K42" s="60"/>
      <c r="L42" s="18"/>
      <c r="M42" s="77"/>
    </row>
    <row r="43" spans="1:13" x14ac:dyDescent="0.25">
      <c r="A43" s="103" t="s">
        <v>14</v>
      </c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77"/>
    </row>
    <row r="44" spans="1:13" ht="45" x14ac:dyDescent="0.25">
      <c r="A44" s="124" t="s">
        <v>18</v>
      </c>
      <c r="B44" s="124"/>
      <c r="C44" s="124"/>
      <c r="D44" s="124"/>
      <c r="E44" s="124"/>
      <c r="F44" s="74" t="s">
        <v>6</v>
      </c>
      <c r="G44" s="74" t="s">
        <v>58</v>
      </c>
      <c r="H44" s="74" t="s">
        <v>59</v>
      </c>
      <c r="I44" s="74" t="s">
        <v>75</v>
      </c>
      <c r="J44" s="74" t="s">
        <v>70</v>
      </c>
      <c r="K44" s="55" t="s">
        <v>71</v>
      </c>
      <c r="L44" s="57"/>
      <c r="M44" s="77"/>
    </row>
    <row r="45" spans="1:13" ht="18.75" customHeight="1" x14ac:dyDescent="0.25">
      <c r="A45" s="99" t="s">
        <v>16</v>
      </c>
      <c r="B45" s="100"/>
      <c r="C45" s="100"/>
      <c r="D45" s="100"/>
      <c r="E45" s="101"/>
      <c r="F45" s="21" t="s">
        <v>76</v>
      </c>
      <c r="G45" s="50">
        <f t="shared" ref="G45:G50" si="6">I45/H45+0.04</f>
        <v>3.5955529272619748</v>
      </c>
      <c r="H45" s="3">
        <f>'Услуга №1  '!H45</f>
        <v>422.75</v>
      </c>
      <c r="I45" s="16">
        <v>1503.11</v>
      </c>
      <c r="J45" s="38">
        <f>J40</f>
        <v>1900</v>
      </c>
      <c r="K45" s="75">
        <f>I45/J45</f>
        <v>0.79111052631578938</v>
      </c>
      <c r="L45" s="58"/>
      <c r="M45" s="18"/>
    </row>
    <row r="46" spans="1:13" ht="18.75" customHeight="1" x14ac:dyDescent="0.25">
      <c r="A46" s="99" t="s">
        <v>40</v>
      </c>
      <c r="B46" s="100"/>
      <c r="C46" s="100"/>
      <c r="D46" s="100"/>
      <c r="E46" s="101"/>
      <c r="F46" s="21" t="s">
        <v>17</v>
      </c>
      <c r="G46" s="50">
        <f t="shared" si="6"/>
        <v>1.2245983606557378</v>
      </c>
      <c r="H46" s="3">
        <f>'Услуга №1  '!H46</f>
        <v>1220</v>
      </c>
      <c r="I46" s="16">
        <v>1445.21</v>
      </c>
      <c r="J46" s="38">
        <f>J38</f>
        <v>1900</v>
      </c>
      <c r="K46" s="75">
        <f t="shared" ref="K46:K50" si="7">I46/J46</f>
        <v>0.76063684210526317</v>
      </c>
      <c r="L46" s="58"/>
      <c r="M46" s="18"/>
    </row>
    <row r="47" spans="1:13" ht="16.5" customHeight="1" x14ac:dyDescent="0.25">
      <c r="A47" s="99" t="s">
        <v>15</v>
      </c>
      <c r="B47" s="100"/>
      <c r="C47" s="100"/>
      <c r="D47" s="100"/>
      <c r="E47" s="101"/>
      <c r="F47" s="21" t="s">
        <v>17</v>
      </c>
      <c r="G47" s="50">
        <f t="shared" si="6"/>
        <v>1.1604138842017282</v>
      </c>
      <c r="H47" s="3">
        <f>'Услуга №1  '!H47</f>
        <v>236.04669999999999</v>
      </c>
      <c r="I47" s="16">
        <v>264.47000000000003</v>
      </c>
      <c r="J47" s="38">
        <f>J46</f>
        <v>1900</v>
      </c>
      <c r="K47" s="75">
        <f t="shared" si="7"/>
        <v>0.13919473684210529</v>
      </c>
      <c r="L47" s="58"/>
      <c r="M47" s="18"/>
    </row>
    <row r="48" spans="1:13" ht="18.75" customHeight="1" x14ac:dyDescent="0.25">
      <c r="A48" s="99" t="s">
        <v>60</v>
      </c>
      <c r="B48" s="100"/>
      <c r="C48" s="100"/>
      <c r="D48" s="100"/>
      <c r="E48" s="101"/>
      <c r="F48" s="21" t="s">
        <v>17</v>
      </c>
      <c r="G48" s="50">
        <f t="shared" si="6"/>
        <v>1.2363228962818005</v>
      </c>
      <c r="H48" s="3">
        <f>'Услуга №1  '!H48</f>
        <v>5110</v>
      </c>
      <c r="I48" s="16">
        <v>6113.21</v>
      </c>
      <c r="J48" s="38">
        <f>J47</f>
        <v>1900</v>
      </c>
      <c r="K48" s="75">
        <f t="shared" si="7"/>
        <v>3.2174789473684209</v>
      </c>
      <c r="L48" s="58"/>
      <c r="M48" s="18"/>
    </row>
    <row r="49" spans="1:13" ht="29.25" customHeight="1" x14ac:dyDescent="0.25">
      <c r="A49" s="113" t="s">
        <v>62</v>
      </c>
      <c r="B49" s="105"/>
      <c r="C49" s="105"/>
      <c r="D49" s="105"/>
      <c r="E49" s="106"/>
      <c r="F49" s="21" t="s">
        <v>17</v>
      </c>
      <c r="G49" s="50">
        <f t="shared" si="6"/>
        <v>1.2393688518726378</v>
      </c>
      <c r="H49" s="3">
        <f>'Услуга №1  '!H49</f>
        <v>29774.31</v>
      </c>
      <c r="I49" s="16">
        <v>35710.379999999997</v>
      </c>
      <c r="J49" s="38">
        <f>J47</f>
        <v>1900</v>
      </c>
      <c r="K49" s="75">
        <f t="shared" si="7"/>
        <v>18.794936842105262</v>
      </c>
      <c r="L49" s="58"/>
      <c r="M49" s="18"/>
    </row>
    <row r="50" spans="1:13" ht="18.75" customHeight="1" x14ac:dyDescent="0.25">
      <c r="A50" s="99" t="s">
        <v>61</v>
      </c>
      <c r="B50" s="100"/>
      <c r="C50" s="100"/>
      <c r="D50" s="100"/>
      <c r="E50" s="101"/>
      <c r="F50" s="21" t="s">
        <v>17</v>
      </c>
      <c r="G50" s="50">
        <f t="shared" si="6"/>
        <v>2.3478801334030224</v>
      </c>
      <c r="H50" s="3">
        <f>'Услуга №1  '!H50</f>
        <v>203.95339999999999</v>
      </c>
      <c r="I50" s="16">
        <v>470.7</v>
      </c>
      <c r="J50" s="38">
        <f>J49</f>
        <v>1900</v>
      </c>
      <c r="K50" s="75">
        <f t="shared" si="7"/>
        <v>0.24773684210526314</v>
      </c>
      <c r="L50" s="58"/>
      <c r="M50" s="18"/>
    </row>
    <row r="51" spans="1:13" s="81" customFormat="1" ht="30.75" customHeight="1" x14ac:dyDescent="0.25">
      <c r="A51" s="113" t="s">
        <v>99</v>
      </c>
      <c r="B51" s="105"/>
      <c r="C51" s="105"/>
      <c r="D51" s="105"/>
      <c r="E51" s="106"/>
      <c r="F51" s="1" t="s">
        <v>17</v>
      </c>
      <c r="G51" s="50">
        <f>I51/H51+0.03</f>
        <v>0.12993266817521582</v>
      </c>
      <c r="H51" s="3">
        <f>'Услуга №1  '!H51</f>
        <v>279080.51</v>
      </c>
      <c r="I51" s="3">
        <v>27889.26</v>
      </c>
      <c r="J51" s="38">
        <f>J49</f>
        <v>1900</v>
      </c>
      <c r="K51" s="3">
        <f>I51/J51</f>
        <v>14.678557894736841</v>
      </c>
      <c r="L51" s="18"/>
      <c r="M51" s="84"/>
    </row>
    <row r="52" spans="1:13" ht="18.75" customHeight="1" x14ac:dyDescent="0.25">
      <c r="A52" s="114" t="s">
        <v>77</v>
      </c>
      <c r="B52" s="115"/>
      <c r="C52" s="115"/>
      <c r="D52" s="115"/>
      <c r="E52" s="115"/>
      <c r="F52" s="115"/>
      <c r="G52" s="115"/>
      <c r="H52" s="115"/>
      <c r="I52" s="51">
        <f>SUM(I45:I51)</f>
        <v>73396.34</v>
      </c>
      <c r="J52" s="52"/>
      <c r="K52" s="56">
        <f>SUM(K45:K51)</f>
        <v>38.629652631578942</v>
      </c>
      <c r="L52" s="58"/>
      <c r="M52" s="77"/>
    </row>
    <row r="53" spans="1:13" x14ac:dyDescent="0.25">
      <c r="A53" s="45"/>
      <c r="B53" s="45"/>
      <c r="C53" s="45"/>
      <c r="D53" s="45"/>
      <c r="E53" s="45"/>
      <c r="F53" s="35"/>
      <c r="G53" s="36"/>
      <c r="H53" s="37"/>
      <c r="I53" s="37"/>
      <c r="J53" s="35"/>
      <c r="K53" s="37"/>
      <c r="L53" s="18"/>
      <c r="M53" s="77"/>
    </row>
    <row r="54" spans="1:13" s="77" customFormat="1" x14ac:dyDescent="0.25">
      <c r="A54" s="103" t="s">
        <v>78</v>
      </c>
      <c r="B54" s="103"/>
      <c r="C54" s="103"/>
      <c r="D54" s="103"/>
      <c r="E54" s="103"/>
      <c r="F54" s="103"/>
      <c r="G54" s="103"/>
      <c r="H54" s="103"/>
      <c r="I54" s="103"/>
      <c r="J54" s="103"/>
      <c r="K54" s="103"/>
      <c r="L54" s="103"/>
    </row>
    <row r="55" spans="1:13" s="77" customFormat="1" ht="44.25" customHeight="1" x14ac:dyDescent="0.25">
      <c r="A55" s="124" t="s">
        <v>18</v>
      </c>
      <c r="B55" s="124"/>
      <c r="C55" s="124"/>
      <c r="D55" s="124"/>
      <c r="E55" s="124"/>
      <c r="F55" s="74" t="s">
        <v>6</v>
      </c>
      <c r="G55" s="74" t="s">
        <v>58</v>
      </c>
      <c r="H55" s="74" t="s">
        <v>59</v>
      </c>
      <c r="I55" s="74" t="s">
        <v>75</v>
      </c>
      <c r="J55" s="74" t="s">
        <v>70</v>
      </c>
      <c r="K55" s="49" t="s">
        <v>71</v>
      </c>
      <c r="L55" s="23"/>
    </row>
    <row r="56" spans="1:13" s="77" customFormat="1" ht="30.75" customHeight="1" x14ac:dyDescent="0.25">
      <c r="A56" s="113" t="s">
        <v>79</v>
      </c>
      <c r="B56" s="105"/>
      <c r="C56" s="105"/>
      <c r="D56" s="105"/>
      <c r="E56" s="106"/>
      <c r="F56" s="1" t="s">
        <v>17</v>
      </c>
      <c r="G56" s="50">
        <f>I56/H56</f>
        <v>1.1996538810027182</v>
      </c>
      <c r="H56" s="3">
        <f>'Услуга №1  '!H56</f>
        <v>16555</v>
      </c>
      <c r="I56" s="3">
        <v>19860.27</v>
      </c>
      <c r="J56" s="38">
        <f>J48</f>
        <v>1900</v>
      </c>
      <c r="K56" s="3">
        <f>I56/J56</f>
        <v>10.452773684210527</v>
      </c>
      <c r="L56" s="18"/>
    </row>
    <row r="57" spans="1:13" s="77" customFormat="1" ht="15.75" customHeight="1" x14ac:dyDescent="0.25">
      <c r="A57" s="99" t="s">
        <v>47</v>
      </c>
      <c r="B57" s="100"/>
      <c r="C57" s="100"/>
      <c r="D57" s="100"/>
      <c r="E57" s="101"/>
      <c r="F57" s="1" t="s">
        <v>17</v>
      </c>
      <c r="G57" s="50">
        <f t="shared" ref="G57" si="8">I57/H57</f>
        <v>1</v>
      </c>
      <c r="H57" s="3">
        <v>100</v>
      </c>
      <c r="I57" s="3">
        <v>100</v>
      </c>
      <c r="J57" s="38">
        <f>J56</f>
        <v>1900</v>
      </c>
      <c r="K57" s="3">
        <f t="shared" ref="K57" si="9">I57/J57</f>
        <v>5.2631578947368418E-2</v>
      </c>
      <c r="L57" s="18"/>
    </row>
    <row r="58" spans="1:13" s="77" customFormat="1" ht="18.75" customHeight="1" x14ac:dyDescent="0.25">
      <c r="A58" s="99" t="s">
        <v>81</v>
      </c>
      <c r="B58" s="100"/>
      <c r="C58" s="100"/>
      <c r="D58" s="100"/>
      <c r="E58" s="101"/>
      <c r="F58" s="1" t="s">
        <v>17</v>
      </c>
      <c r="G58" s="50">
        <f>I58/H58+0.07</f>
        <v>1.2389333333333334</v>
      </c>
      <c r="H58" s="3">
        <f>'Услуга №1  '!H57</f>
        <v>4500</v>
      </c>
      <c r="I58" s="3">
        <v>5260.2</v>
      </c>
      <c r="J58" s="38">
        <f>J50</f>
        <v>1900</v>
      </c>
      <c r="K58" s="3">
        <f>I58/J58</f>
        <v>2.7685263157894737</v>
      </c>
      <c r="L58" s="18"/>
    </row>
    <row r="59" spans="1:13" s="88" customFormat="1" ht="18.75" customHeight="1" x14ac:dyDescent="0.25">
      <c r="A59" s="98" t="s">
        <v>106</v>
      </c>
      <c r="B59" s="98"/>
      <c r="C59" s="98"/>
      <c r="D59" s="98"/>
      <c r="E59" s="98"/>
      <c r="F59" s="1" t="s">
        <v>24</v>
      </c>
      <c r="G59" s="3"/>
      <c r="H59" s="3"/>
      <c r="I59" s="3">
        <v>1433.89</v>
      </c>
      <c r="J59" s="38">
        <f>J58</f>
        <v>1900</v>
      </c>
      <c r="K59" s="3">
        <f t="shared" ref="K59" si="10">I59/J59</f>
        <v>0.75467894736842112</v>
      </c>
      <c r="L59" s="18"/>
    </row>
    <row r="60" spans="1:13" s="77" customFormat="1" x14ac:dyDescent="0.25">
      <c r="A60" s="114" t="s">
        <v>80</v>
      </c>
      <c r="B60" s="115"/>
      <c r="C60" s="115"/>
      <c r="D60" s="115"/>
      <c r="E60" s="115"/>
      <c r="F60" s="115"/>
      <c r="G60" s="115"/>
      <c r="H60" s="115"/>
      <c r="I60" s="63">
        <f>SUM(I56:I59)</f>
        <v>26654.36</v>
      </c>
      <c r="J60" s="63"/>
      <c r="K60" s="63">
        <f>SUM(K56:K59)</f>
        <v>14.02861052631579</v>
      </c>
      <c r="L60" s="18"/>
    </row>
    <row r="61" spans="1:13" s="77" customFormat="1" x14ac:dyDescent="0.25">
      <c r="A61" s="27"/>
      <c r="B61" s="27"/>
      <c r="C61" s="27"/>
      <c r="D61" s="27"/>
      <c r="E61" s="27"/>
      <c r="F61" s="27"/>
      <c r="G61" s="27"/>
      <c r="H61" s="27"/>
      <c r="I61" s="65"/>
      <c r="J61" s="66"/>
      <c r="K61" s="66"/>
      <c r="L61" s="18"/>
    </row>
    <row r="62" spans="1:13" s="77" customFormat="1" x14ac:dyDescent="0.25">
      <c r="A62" s="103" t="s">
        <v>82</v>
      </c>
      <c r="B62" s="103"/>
      <c r="C62" s="103"/>
      <c r="D62" s="103"/>
      <c r="E62" s="103"/>
      <c r="F62" s="103"/>
      <c r="G62" s="103"/>
      <c r="H62" s="103"/>
      <c r="I62" s="103"/>
      <c r="J62" s="103"/>
      <c r="K62" s="103"/>
      <c r="L62" s="103"/>
    </row>
    <row r="63" spans="1:13" s="77" customFormat="1" ht="48" customHeight="1" x14ac:dyDescent="0.25">
      <c r="A63" s="108" t="s">
        <v>19</v>
      </c>
      <c r="B63" s="109"/>
      <c r="C63" s="109"/>
      <c r="D63" s="109"/>
      <c r="E63" s="110"/>
      <c r="F63" s="74" t="s">
        <v>6</v>
      </c>
      <c r="G63" s="74" t="s">
        <v>58</v>
      </c>
      <c r="H63" s="74" t="s">
        <v>59</v>
      </c>
      <c r="I63" s="74" t="s">
        <v>75</v>
      </c>
      <c r="J63" s="67" t="s">
        <v>70</v>
      </c>
      <c r="K63" s="49" t="s">
        <v>71</v>
      </c>
      <c r="L63" s="23"/>
      <c r="M63" s="23"/>
    </row>
    <row r="64" spans="1:13" s="77" customFormat="1" ht="28.5" customHeight="1" x14ac:dyDescent="0.25">
      <c r="A64" s="108" t="s">
        <v>20</v>
      </c>
      <c r="B64" s="109"/>
      <c r="C64" s="109"/>
      <c r="D64" s="109"/>
      <c r="E64" s="110"/>
      <c r="F64" s="24" t="s">
        <v>21</v>
      </c>
      <c r="G64" s="50">
        <v>0.8</v>
      </c>
      <c r="H64" s="3">
        <f>'Услуга №1  '!H63</f>
        <v>512.5</v>
      </c>
      <c r="I64" s="3">
        <f>G64*H64*12</f>
        <v>4920</v>
      </c>
      <c r="J64" s="68">
        <f>J59</f>
        <v>1900</v>
      </c>
      <c r="K64" s="3">
        <f>I64/J64</f>
        <v>2.5894736842105264</v>
      </c>
      <c r="L64" s="22"/>
      <c r="M64" s="18"/>
    </row>
    <row r="65" spans="1:13" s="77" customFormat="1" ht="16.5" customHeight="1" x14ac:dyDescent="0.25">
      <c r="A65" s="108" t="s">
        <v>83</v>
      </c>
      <c r="B65" s="109"/>
      <c r="C65" s="109"/>
      <c r="D65" s="109"/>
      <c r="E65" s="110"/>
      <c r="F65" s="24" t="s">
        <v>84</v>
      </c>
      <c r="G65" s="50">
        <v>0.7</v>
      </c>
      <c r="H65" s="3">
        <f>'Услуга №1  '!H64</f>
        <v>1500</v>
      </c>
      <c r="I65" s="3">
        <f>G65*H65*12</f>
        <v>12600</v>
      </c>
      <c r="J65" s="68">
        <f>J64</f>
        <v>1900</v>
      </c>
      <c r="K65" s="3">
        <f>I65/J65</f>
        <v>6.6315789473684212</v>
      </c>
      <c r="L65" s="22"/>
      <c r="M65" s="18"/>
    </row>
    <row r="66" spans="1:13" s="77" customFormat="1" x14ac:dyDescent="0.25">
      <c r="A66" s="114" t="s">
        <v>22</v>
      </c>
      <c r="B66" s="115"/>
      <c r="C66" s="115"/>
      <c r="D66" s="115"/>
      <c r="E66" s="115"/>
      <c r="F66" s="115"/>
      <c r="G66" s="115"/>
      <c r="H66" s="118"/>
      <c r="I66" s="63">
        <f t="shared" ref="I66" si="11">SUM(I64:I65)</f>
        <v>17520</v>
      </c>
      <c r="J66" s="64"/>
      <c r="K66" s="64">
        <f>SUM(K64:K65)</f>
        <v>9.2210526315789476</v>
      </c>
      <c r="L66" s="69"/>
      <c r="M66" s="18"/>
    </row>
    <row r="67" spans="1:13" x14ac:dyDescent="0.25">
      <c r="A67" s="77"/>
      <c r="B67" s="77"/>
      <c r="C67" s="77"/>
      <c r="D67" s="77"/>
      <c r="E67" s="77"/>
      <c r="F67" s="77"/>
      <c r="G67" s="77"/>
      <c r="H67" s="77"/>
      <c r="I67" s="77"/>
      <c r="J67" s="77"/>
      <c r="K67" s="77"/>
      <c r="L67" s="77"/>
      <c r="M67" s="77"/>
    </row>
    <row r="68" spans="1:13" x14ac:dyDescent="0.25">
      <c r="A68" s="103" t="s">
        <v>39</v>
      </c>
      <c r="B68" s="103"/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</row>
    <row r="69" spans="1:13" ht="3" customHeight="1" x14ac:dyDescent="0.25">
      <c r="A69" s="77"/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</row>
    <row r="70" spans="1:13" ht="57" customHeight="1" x14ac:dyDescent="0.25">
      <c r="A70" s="108" t="s">
        <v>4</v>
      </c>
      <c r="B70" s="109"/>
      <c r="C70" s="109"/>
      <c r="D70" s="109"/>
      <c r="E70" s="110"/>
      <c r="F70" s="74" t="s">
        <v>5</v>
      </c>
      <c r="G70" s="74" t="s">
        <v>1</v>
      </c>
      <c r="H70" s="74" t="s">
        <v>68</v>
      </c>
      <c r="I70" s="74" t="s">
        <v>69</v>
      </c>
      <c r="J70" s="74" t="s">
        <v>70</v>
      </c>
      <c r="K70" s="49" t="s">
        <v>71</v>
      </c>
      <c r="L70" s="77"/>
    </row>
    <row r="71" spans="1:13" x14ac:dyDescent="0.25">
      <c r="A71" s="98" t="s">
        <v>42</v>
      </c>
      <c r="B71" s="98"/>
      <c r="C71" s="98"/>
      <c r="D71" s="98"/>
      <c r="E71" s="98"/>
      <c r="F71" s="28">
        <f>'Услуга №1  '!F71</f>
        <v>33509.769999999997</v>
      </c>
      <c r="G71" s="50">
        <v>0.1</v>
      </c>
      <c r="H71" s="17">
        <f>F71*G71*12</f>
        <v>40211.724000000002</v>
      </c>
      <c r="I71" s="3">
        <f>H71*1.302</f>
        <v>52355.664648000005</v>
      </c>
      <c r="J71" s="38">
        <f>J29</f>
        <v>1900</v>
      </c>
      <c r="K71" s="3">
        <f>I71/J71</f>
        <v>27.555612972631582</v>
      </c>
      <c r="L71" s="77"/>
    </row>
    <row r="72" spans="1:13" x14ac:dyDescent="0.25">
      <c r="A72" s="98" t="s">
        <v>48</v>
      </c>
      <c r="B72" s="98"/>
      <c r="C72" s="98"/>
      <c r="D72" s="98"/>
      <c r="E72" s="98"/>
      <c r="F72" s="28">
        <f>'Услуга №1  '!F72</f>
        <v>27305.33</v>
      </c>
      <c r="G72" s="50">
        <v>0.1</v>
      </c>
      <c r="H72" s="17">
        <f>F72*G72*12</f>
        <v>32766.396000000004</v>
      </c>
      <c r="I72" s="3">
        <f>H72*1.302</f>
        <v>42661.847592000006</v>
      </c>
      <c r="J72" s="38">
        <f>J71</f>
        <v>1900</v>
      </c>
      <c r="K72" s="3">
        <f>I72/J72</f>
        <v>22.453603995789475</v>
      </c>
      <c r="L72" s="77"/>
    </row>
    <row r="73" spans="1:13" ht="15.75" customHeight="1" x14ac:dyDescent="0.25">
      <c r="A73" s="95" t="s">
        <v>23</v>
      </c>
      <c r="B73" s="96"/>
      <c r="C73" s="96"/>
      <c r="D73" s="96"/>
      <c r="E73" s="96"/>
      <c r="F73" s="96"/>
      <c r="G73" s="96"/>
      <c r="H73" s="97"/>
      <c r="I73" s="51">
        <f t="shared" ref="I73" si="12">SUM(I71:I72)</f>
        <v>95017.512240000011</v>
      </c>
      <c r="J73" s="52"/>
      <c r="K73" s="51">
        <f>SUM(K71:K72)</f>
        <v>50.009216968421057</v>
      </c>
      <c r="L73" s="77"/>
    </row>
    <row r="74" spans="1:13" x14ac:dyDescent="0.25">
      <c r="A74" s="27"/>
      <c r="B74" s="27"/>
      <c r="C74" s="27"/>
      <c r="D74" s="27"/>
      <c r="E74" s="27"/>
      <c r="F74" s="77"/>
      <c r="G74" s="77"/>
      <c r="H74" s="77"/>
      <c r="I74" s="77"/>
      <c r="J74" s="77"/>
      <c r="K74" s="77"/>
      <c r="L74" s="77"/>
      <c r="M74" s="77"/>
    </row>
    <row r="75" spans="1:13" x14ac:dyDescent="0.25">
      <c r="A75" s="116" t="s">
        <v>85</v>
      </c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7"/>
      <c r="M75" s="77"/>
    </row>
    <row r="76" spans="1:13" ht="45" x14ac:dyDescent="0.25">
      <c r="A76" s="124" t="s">
        <v>87</v>
      </c>
      <c r="B76" s="124"/>
      <c r="C76" s="124"/>
      <c r="D76" s="124"/>
      <c r="E76" s="124"/>
      <c r="F76" s="74" t="s">
        <v>6</v>
      </c>
      <c r="G76" s="74" t="s">
        <v>58</v>
      </c>
      <c r="H76" s="74" t="s">
        <v>59</v>
      </c>
      <c r="I76" s="74" t="s">
        <v>75</v>
      </c>
      <c r="J76" s="74" t="s">
        <v>70</v>
      </c>
      <c r="K76" s="55" t="s">
        <v>71</v>
      </c>
      <c r="L76" s="57"/>
      <c r="M76" s="77"/>
    </row>
    <row r="77" spans="1:13" ht="30" customHeight="1" x14ac:dyDescent="0.25">
      <c r="A77" s="113" t="s">
        <v>107</v>
      </c>
      <c r="B77" s="105"/>
      <c r="C77" s="105"/>
      <c r="D77" s="105"/>
      <c r="E77" s="106"/>
      <c r="F77" s="1" t="s">
        <v>24</v>
      </c>
      <c r="G77" s="50">
        <v>0.1</v>
      </c>
      <c r="H77" s="17">
        <f>'Услуга №1  '!H77</f>
        <v>4000</v>
      </c>
      <c r="I77" s="20">
        <f>G77*H77</f>
        <v>400</v>
      </c>
      <c r="J77" s="38">
        <f>J72</f>
        <v>1900</v>
      </c>
      <c r="K77" s="75">
        <f>I77/J77</f>
        <v>0.21052631578947367</v>
      </c>
      <c r="L77" s="58"/>
      <c r="M77" s="77"/>
    </row>
    <row r="78" spans="1:13" x14ac:dyDescent="0.25">
      <c r="A78" s="98" t="s">
        <v>88</v>
      </c>
      <c r="B78" s="98"/>
      <c r="C78" s="98"/>
      <c r="D78" s="98"/>
      <c r="E78" s="98"/>
      <c r="F78" s="1" t="s">
        <v>24</v>
      </c>
      <c r="G78" s="50">
        <v>0.1</v>
      </c>
      <c r="H78" s="17">
        <f>'Услуга №1  '!H78</f>
        <v>20280</v>
      </c>
      <c r="I78" s="20">
        <f>G78*H78</f>
        <v>2028</v>
      </c>
      <c r="J78" s="38">
        <f>J77</f>
        <v>1900</v>
      </c>
      <c r="K78" s="75">
        <f>I78/J78</f>
        <v>1.0673684210526315</v>
      </c>
      <c r="L78" s="58"/>
      <c r="M78" s="77"/>
    </row>
    <row r="79" spans="1:13" x14ac:dyDescent="0.25">
      <c r="A79" s="98" t="s">
        <v>108</v>
      </c>
      <c r="B79" s="98"/>
      <c r="C79" s="98"/>
      <c r="D79" s="98"/>
      <c r="E79" s="98"/>
      <c r="F79" s="1" t="s">
        <v>24</v>
      </c>
      <c r="G79" s="50">
        <v>0.1</v>
      </c>
      <c r="H79" s="17">
        <v>21552</v>
      </c>
      <c r="I79" s="16">
        <f>G79*H79</f>
        <v>2155.2000000000003</v>
      </c>
      <c r="J79" s="38">
        <f>J78</f>
        <v>1900</v>
      </c>
      <c r="K79" s="90">
        <f>I79/J79</f>
        <v>1.1343157894736844</v>
      </c>
      <c r="L79" s="58"/>
      <c r="M79" s="89"/>
    </row>
    <row r="80" spans="1:13" x14ac:dyDescent="0.25">
      <c r="A80" s="114" t="s">
        <v>86</v>
      </c>
      <c r="B80" s="115"/>
      <c r="C80" s="115"/>
      <c r="D80" s="115"/>
      <c r="E80" s="115"/>
      <c r="F80" s="115"/>
      <c r="G80" s="115"/>
      <c r="H80" s="115"/>
      <c r="I80" s="63">
        <f>SUM(I77:I79)</f>
        <v>4583.2000000000007</v>
      </c>
      <c r="J80" s="64"/>
      <c r="K80" s="64">
        <f>SUM(K77:K79)</f>
        <v>2.4122105263157896</v>
      </c>
      <c r="L80" s="58"/>
      <c r="M80" s="77"/>
    </row>
    <row r="81" spans="1:13" x14ac:dyDescent="0.25">
      <c r="A81" s="46"/>
      <c r="B81" s="46"/>
      <c r="C81" s="46"/>
      <c r="D81" s="46"/>
      <c r="E81" s="46"/>
      <c r="F81" s="46"/>
      <c r="G81" s="46"/>
      <c r="H81" s="27"/>
      <c r="I81" s="27"/>
      <c r="J81" s="27"/>
      <c r="K81" s="27"/>
      <c r="L81" s="34"/>
      <c r="M81" s="77"/>
    </row>
    <row r="82" spans="1:13" x14ac:dyDescent="0.25">
      <c r="A82" s="116" t="s">
        <v>25</v>
      </c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77"/>
    </row>
    <row r="83" spans="1:13" x14ac:dyDescent="0.25">
      <c r="A83" s="107" t="s">
        <v>26</v>
      </c>
      <c r="B83" s="107"/>
      <c r="C83" s="107"/>
      <c r="D83" s="108" t="s">
        <v>27</v>
      </c>
      <c r="E83" s="109"/>
      <c r="F83" s="109"/>
      <c r="G83" s="109"/>
      <c r="H83" s="109"/>
      <c r="I83" s="109"/>
      <c r="J83" s="110"/>
      <c r="K83" s="107" t="s">
        <v>38</v>
      </c>
      <c r="L83" s="107"/>
      <c r="M83" s="77"/>
    </row>
    <row r="84" spans="1:13" ht="30" x14ac:dyDescent="0.25">
      <c r="A84" s="1" t="s">
        <v>28</v>
      </c>
      <c r="B84" s="2" t="s">
        <v>29</v>
      </c>
      <c r="C84" s="1" t="s">
        <v>30</v>
      </c>
      <c r="D84" s="1" t="s">
        <v>31</v>
      </c>
      <c r="E84" s="1" t="s">
        <v>32</v>
      </c>
      <c r="F84" s="1" t="s">
        <v>33</v>
      </c>
      <c r="G84" s="1" t="s">
        <v>34</v>
      </c>
      <c r="H84" s="1" t="s">
        <v>35</v>
      </c>
      <c r="I84" s="1" t="s">
        <v>36</v>
      </c>
      <c r="J84" s="1" t="s">
        <v>37</v>
      </c>
      <c r="K84" s="107"/>
      <c r="L84" s="107"/>
      <c r="M84" s="77"/>
    </row>
    <row r="85" spans="1:13" x14ac:dyDescent="0.25">
      <c r="A85" s="3">
        <f>K33</f>
        <v>655.26719236821054</v>
      </c>
      <c r="B85" s="3"/>
      <c r="C85" s="3"/>
      <c r="D85" s="3">
        <f>K41</f>
        <v>51.966915789473681</v>
      </c>
      <c r="E85" s="3">
        <f>K52</f>
        <v>38.629652631578942</v>
      </c>
      <c r="F85" s="3"/>
      <c r="G85" s="3">
        <f>K66</f>
        <v>9.2210526315789476</v>
      </c>
      <c r="H85" s="1"/>
      <c r="I85" s="3">
        <f>K73</f>
        <v>50.009216968421057</v>
      </c>
      <c r="J85" s="3">
        <f>K60+K80</f>
        <v>16.440821052631581</v>
      </c>
      <c r="K85" s="111">
        <f>SUM(A85:J85)</f>
        <v>821.5348514418946</v>
      </c>
      <c r="L85" s="112"/>
      <c r="M85" s="77"/>
    </row>
    <row r="86" spans="1:13" ht="30" customHeight="1" x14ac:dyDescent="0.25">
      <c r="A86" s="29"/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</row>
    <row r="87" spans="1:13" x14ac:dyDescent="0.25">
      <c r="A87" s="30" t="s">
        <v>49</v>
      </c>
      <c r="B87" s="29"/>
      <c r="C87" s="30"/>
      <c r="D87" s="30"/>
      <c r="E87" s="30"/>
      <c r="F87" s="30" t="s">
        <v>50</v>
      </c>
      <c r="G87" s="29"/>
      <c r="H87" s="29"/>
      <c r="I87" s="70">
        <f>I80+I73+I66+I60+I52+I41+I33</f>
        <v>1560916.2177396002</v>
      </c>
      <c r="J87" s="29"/>
      <c r="K87" s="70">
        <f>K85*J78</f>
        <v>1560916.2177395998</v>
      </c>
      <c r="L87" s="29"/>
      <c r="M87" s="29"/>
    </row>
    <row r="88" spans="1:13" x14ac:dyDescent="0.25">
      <c r="A88" s="10"/>
      <c r="B88" s="6"/>
      <c r="C88" s="11"/>
    </row>
    <row r="89" spans="1:13" x14ac:dyDescent="0.25">
      <c r="A89" s="5"/>
      <c r="I89" s="54"/>
    </row>
    <row r="91" spans="1:13" x14ac:dyDescent="0.25">
      <c r="A91" s="30" t="str">
        <f>'Услуга №1  '!A91</f>
        <v>Курлович Анастасия Вячеславовна</v>
      </c>
      <c r="B91" s="31"/>
      <c r="C91" s="29"/>
      <c r="D91" s="30"/>
      <c r="E91" s="30"/>
      <c r="F91" s="30"/>
      <c r="G91" s="29"/>
      <c r="L91" s="29"/>
      <c r="M91" s="29"/>
    </row>
    <row r="92" spans="1:13" x14ac:dyDescent="0.25">
      <c r="A92" s="30" t="s">
        <v>51</v>
      </c>
      <c r="B92" s="29"/>
      <c r="C92" s="29"/>
      <c r="D92" s="29"/>
      <c r="E92" s="29"/>
      <c r="F92" s="29"/>
      <c r="G92" s="29"/>
      <c r="L92" s="29"/>
      <c r="M92" s="29"/>
    </row>
    <row r="96" spans="1:13" hidden="1" x14ac:dyDescent="0.25">
      <c r="H96" s="12">
        <v>211</v>
      </c>
      <c r="I96" s="54">
        <f>I33+I73</f>
        <v>1340025.1777396002</v>
      </c>
      <c r="K96" s="54">
        <f>(K73+K33)*1900</f>
        <v>1340025.1777396</v>
      </c>
    </row>
    <row r="97" spans="8:11" hidden="1" x14ac:dyDescent="0.25">
      <c r="H97" s="29">
        <v>223</v>
      </c>
      <c r="I97" s="62">
        <f>I41</f>
        <v>98737.14</v>
      </c>
      <c r="J97" s="29"/>
      <c r="K97" s="29">
        <f>K41*1900</f>
        <v>98737.14</v>
      </c>
    </row>
    <row r="98" spans="8:11" hidden="1" x14ac:dyDescent="0.25">
      <c r="H98" s="29">
        <v>225</v>
      </c>
      <c r="I98" s="62">
        <f>I52</f>
        <v>73396.34</v>
      </c>
      <c r="J98" s="29"/>
      <c r="K98" s="62">
        <f>K52*1900</f>
        <v>73396.34</v>
      </c>
    </row>
    <row r="99" spans="8:11" hidden="1" x14ac:dyDescent="0.25">
      <c r="H99" s="29">
        <v>226</v>
      </c>
      <c r="I99" s="54">
        <f>I60</f>
        <v>26654.36</v>
      </c>
      <c r="K99" s="82">
        <f>K60*1900</f>
        <v>26654.36</v>
      </c>
    </row>
    <row r="100" spans="8:11" hidden="1" x14ac:dyDescent="0.25">
      <c r="H100" s="12">
        <v>221</v>
      </c>
      <c r="I100" s="54">
        <f>I66</f>
        <v>17520</v>
      </c>
      <c r="K100" s="12">
        <f>K66*1900</f>
        <v>17520</v>
      </c>
    </row>
    <row r="101" spans="8:11" hidden="1" x14ac:dyDescent="0.25">
      <c r="H101" s="86" t="s">
        <v>100</v>
      </c>
      <c r="I101" s="54">
        <f>I80</f>
        <v>4583.2000000000007</v>
      </c>
      <c r="K101" s="12">
        <f>K80*1900</f>
        <v>4583.2</v>
      </c>
    </row>
  </sheetData>
  <mergeCells count="83">
    <mergeCell ref="A79:E79"/>
    <mergeCell ref="A15:E15"/>
    <mergeCell ref="G15:K15"/>
    <mergeCell ref="A1:D1"/>
    <mergeCell ref="A2:F2"/>
    <mergeCell ref="A3:E3"/>
    <mergeCell ref="A5:E5"/>
    <mergeCell ref="A6:C6"/>
    <mergeCell ref="A7:L7"/>
    <mergeCell ref="A8:L8"/>
    <mergeCell ref="A9:L9"/>
    <mergeCell ref="A10:L10"/>
    <mergeCell ref="A14:E14"/>
    <mergeCell ref="G14:K14"/>
    <mergeCell ref="A16:E16"/>
    <mergeCell ref="G16:K16"/>
    <mergeCell ref="A17:E17"/>
    <mergeCell ref="G17:K17"/>
    <mergeCell ref="A18:E18"/>
    <mergeCell ref="G18:K18"/>
    <mergeCell ref="A22:E22"/>
    <mergeCell ref="G22:K22"/>
    <mergeCell ref="A19:E19"/>
    <mergeCell ref="G19:K19"/>
    <mergeCell ref="A20:E20"/>
    <mergeCell ref="G20:K20"/>
    <mergeCell ref="A21:E21"/>
    <mergeCell ref="G21:K21"/>
    <mergeCell ref="A30:E30"/>
    <mergeCell ref="A31:E31"/>
    <mergeCell ref="A32:E32"/>
    <mergeCell ref="A33:H33"/>
    <mergeCell ref="A23:E23"/>
    <mergeCell ref="G23:K23"/>
    <mergeCell ref="A25:G25"/>
    <mergeCell ref="A26:E26"/>
    <mergeCell ref="A27:E27"/>
    <mergeCell ref="A28:E28"/>
    <mergeCell ref="A29:E29"/>
    <mergeCell ref="A36:E36"/>
    <mergeCell ref="A37:E37"/>
    <mergeCell ref="A45:E45"/>
    <mergeCell ref="A40:E40"/>
    <mergeCell ref="A43:L43"/>
    <mergeCell ref="A38:E38"/>
    <mergeCell ref="A39:E39"/>
    <mergeCell ref="A54:L54"/>
    <mergeCell ref="A46:E46"/>
    <mergeCell ref="A47:E47"/>
    <mergeCell ref="A48:E48"/>
    <mergeCell ref="A49:E49"/>
    <mergeCell ref="A50:E50"/>
    <mergeCell ref="A51:E51"/>
    <mergeCell ref="A77:E77"/>
    <mergeCell ref="A78:E78"/>
    <mergeCell ref="A72:E72"/>
    <mergeCell ref="A70:E70"/>
    <mergeCell ref="A71:E71"/>
    <mergeCell ref="A75:L75"/>
    <mergeCell ref="A65:E65"/>
    <mergeCell ref="A68:M68"/>
    <mergeCell ref="A55:E55"/>
    <mergeCell ref="A62:L62"/>
    <mergeCell ref="A57:E57"/>
    <mergeCell ref="A63:E63"/>
    <mergeCell ref="A66:H66"/>
    <mergeCell ref="A59:E59"/>
    <mergeCell ref="A80:H80"/>
    <mergeCell ref="K85:L85"/>
    <mergeCell ref="A35:L35"/>
    <mergeCell ref="A44:E44"/>
    <mergeCell ref="A41:H41"/>
    <mergeCell ref="A73:H73"/>
    <mergeCell ref="A58:E58"/>
    <mergeCell ref="A60:H60"/>
    <mergeCell ref="A76:E76"/>
    <mergeCell ref="A82:L82"/>
    <mergeCell ref="A83:C83"/>
    <mergeCell ref="D83:J83"/>
    <mergeCell ref="A56:E56"/>
    <mergeCell ref="A52:H52"/>
    <mergeCell ref="K83:L84"/>
    <mergeCell ref="A64:E64"/>
  </mergeCells>
  <printOptions horizontalCentered="1"/>
  <pageMargins left="0" right="0" top="0" bottom="0" header="0" footer="0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4"/>
  <sheetViews>
    <sheetView tabSelected="1" topLeftCell="A68" zoomScale="80" zoomScaleNormal="80" workbookViewId="0">
      <selection activeCell="K105" sqref="K105"/>
    </sheetView>
  </sheetViews>
  <sheetFormatPr defaultRowHeight="15" x14ac:dyDescent="0.25"/>
  <cols>
    <col min="1" max="1" width="9.140625" style="12"/>
    <col min="2" max="2" width="10.28515625" style="12" bestFit="1" customWidth="1"/>
    <col min="3" max="4" width="9.140625" style="12"/>
    <col min="5" max="5" width="10.28515625" style="12" customWidth="1"/>
    <col min="6" max="6" width="13.7109375" style="12" customWidth="1"/>
    <col min="7" max="7" width="14.28515625" style="12" customWidth="1"/>
    <col min="8" max="8" width="17.42578125" style="12" customWidth="1"/>
    <col min="9" max="9" width="13.7109375" style="12" customWidth="1"/>
    <col min="10" max="10" width="14.85546875" style="12" customWidth="1"/>
    <col min="11" max="11" width="17.140625" style="12" customWidth="1"/>
    <col min="12" max="12" width="14" style="12" customWidth="1"/>
    <col min="13" max="13" width="13.28515625" style="12" customWidth="1"/>
    <col min="14" max="16384" width="9.140625" style="12"/>
  </cols>
  <sheetData>
    <row r="1" spans="1:15" ht="15.75" x14ac:dyDescent="0.25">
      <c r="A1" s="136" t="s">
        <v>52</v>
      </c>
      <c r="B1" s="136"/>
      <c r="C1" s="136"/>
      <c r="D1" s="136"/>
      <c r="E1" s="44"/>
      <c r="F1" s="44"/>
    </row>
    <row r="2" spans="1:15" ht="15.75" x14ac:dyDescent="0.25">
      <c r="A2" s="136" t="s">
        <v>53</v>
      </c>
      <c r="B2" s="136"/>
      <c r="C2" s="132"/>
      <c r="D2" s="132"/>
      <c r="E2" s="132"/>
      <c r="F2" s="132"/>
    </row>
    <row r="3" spans="1:15" ht="15.75" x14ac:dyDescent="0.25">
      <c r="A3" s="131" t="s">
        <v>54</v>
      </c>
      <c r="B3" s="131"/>
      <c r="C3" s="131"/>
      <c r="D3" s="132"/>
      <c r="E3" s="132"/>
      <c r="F3" s="44"/>
    </row>
    <row r="4" spans="1:15" ht="9.75" customHeight="1" x14ac:dyDescent="0.25">
      <c r="A4" s="47"/>
      <c r="B4" s="47"/>
      <c r="C4" s="47"/>
      <c r="D4" s="8"/>
      <c r="E4" s="44"/>
      <c r="F4" s="44"/>
    </row>
    <row r="5" spans="1:15" ht="15.75" x14ac:dyDescent="0.25">
      <c r="A5" s="131" t="s">
        <v>103</v>
      </c>
      <c r="B5" s="131"/>
      <c r="C5" s="131"/>
      <c r="D5" s="132"/>
      <c r="E5" s="132"/>
      <c r="F5" s="44"/>
    </row>
    <row r="6" spans="1:15" ht="12.75" customHeight="1" x14ac:dyDescent="0.25">
      <c r="A6" s="131"/>
      <c r="B6" s="131"/>
      <c r="C6" s="131"/>
      <c r="D6" s="8"/>
      <c r="E6" s="44"/>
      <c r="F6" s="44"/>
    </row>
    <row r="7" spans="1:15" ht="15.75" x14ac:dyDescent="0.25">
      <c r="A7" s="137" t="s">
        <v>55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</row>
    <row r="8" spans="1:15" ht="15.75" x14ac:dyDescent="0.25">
      <c r="A8" s="137" t="s">
        <v>89</v>
      </c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</row>
    <row r="9" spans="1:15" ht="14.25" customHeight="1" x14ac:dyDescent="0.25">
      <c r="A9" s="135" t="s">
        <v>104</v>
      </c>
      <c r="B9" s="135"/>
      <c r="C9" s="135"/>
      <c r="D9" s="135"/>
      <c r="E9" s="135"/>
      <c r="F9" s="135"/>
      <c r="G9" s="135"/>
      <c r="H9" s="135"/>
      <c r="I9" s="135"/>
      <c r="J9" s="135"/>
      <c r="K9" s="135"/>
      <c r="L9" s="135"/>
    </row>
    <row r="10" spans="1:15" ht="16.5" customHeight="1" x14ac:dyDescent="0.25">
      <c r="A10" s="144" t="s">
        <v>94</v>
      </c>
      <c r="B10" s="144"/>
      <c r="C10" s="144"/>
      <c r="D10" s="144"/>
      <c r="E10" s="144"/>
      <c r="F10" s="144"/>
      <c r="G10" s="144"/>
      <c r="H10" s="144"/>
      <c r="I10" s="144"/>
      <c r="J10" s="144"/>
      <c r="K10" s="144"/>
      <c r="L10" s="144"/>
      <c r="M10" s="144"/>
      <c r="N10" s="4"/>
      <c r="O10" s="4"/>
    </row>
    <row r="11" spans="1:15" x14ac:dyDescent="0.25">
      <c r="A11" s="14" t="s">
        <v>90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15" x14ac:dyDescent="0.25">
      <c r="A12" s="14" t="s">
        <v>102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15" x14ac:dyDescent="0.25">
      <c r="A13" s="14" t="s">
        <v>64</v>
      </c>
      <c r="B13" s="48"/>
      <c r="C13" s="48"/>
      <c r="D13" s="48"/>
      <c r="E13" s="48"/>
    </row>
    <row r="14" spans="1:15" ht="33" customHeight="1" x14ac:dyDescent="0.25">
      <c r="A14" s="107" t="s">
        <v>0</v>
      </c>
      <c r="B14" s="107"/>
      <c r="C14" s="107"/>
      <c r="D14" s="107"/>
      <c r="E14" s="107"/>
      <c r="F14" s="1" t="s">
        <v>1</v>
      </c>
      <c r="G14" s="107" t="s">
        <v>2</v>
      </c>
      <c r="H14" s="107"/>
      <c r="I14" s="107"/>
      <c r="J14" s="107"/>
      <c r="K14" s="107"/>
      <c r="L14" s="1" t="s">
        <v>1</v>
      </c>
      <c r="M14" s="48"/>
    </row>
    <row r="15" spans="1:15" ht="16.5" customHeight="1" x14ac:dyDescent="0.25">
      <c r="A15" s="123" t="s">
        <v>57</v>
      </c>
      <c r="B15" s="121"/>
      <c r="C15" s="121"/>
      <c r="D15" s="121"/>
      <c r="E15" s="122"/>
      <c r="F15" s="32">
        <v>0.2</v>
      </c>
      <c r="G15" s="104" t="s">
        <v>41</v>
      </c>
      <c r="H15" s="121"/>
      <c r="I15" s="121"/>
      <c r="J15" s="121"/>
      <c r="K15" s="122"/>
      <c r="L15" s="32">
        <v>0.2</v>
      </c>
      <c r="M15" s="48"/>
    </row>
    <row r="16" spans="1:15" ht="15.75" customHeight="1" x14ac:dyDescent="0.25">
      <c r="A16" s="123" t="s">
        <v>43</v>
      </c>
      <c r="B16" s="121"/>
      <c r="C16" s="121"/>
      <c r="D16" s="121"/>
      <c r="E16" s="122"/>
      <c r="F16" s="32">
        <v>4.0999999999999996</v>
      </c>
      <c r="G16" s="104" t="s">
        <v>42</v>
      </c>
      <c r="H16" s="121"/>
      <c r="I16" s="121"/>
      <c r="J16" s="121"/>
      <c r="K16" s="122"/>
      <c r="L16" s="32">
        <v>0.2</v>
      </c>
      <c r="M16" s="48"/>
    </row>
    <row r="17" spans="1:13" ht="15" customHeight="1" x14ac:dyDescent="0.25">
      <c r="A17" s="123" t="s">
        <v>67</v>
      </c>
      <c r="B17" s="121"/>
      <c r="C17" s="121"/>
      <c r="D17" s="121"/>
      <c r="E17" s="122"/>
      <c r="F17" s="32">
        <v>0.2</v>
      </c>
      <c r="G17" s="104"/>
      <c r="H17" s="121"/>
      <c r="I17" s="121"/>
      <c r="J17" s="121"/>
      <c r="K17" s="122"/>
      <c r="L17" s="33"/>
      <c r="M17" s="48"/>
    </row>
    <row r="18" spans="1:13" ht="16.5" customHeight="1" x14ac:dyDescent="0.25">
      <c r="A18" s="123" t="s">
        <v>46</v>
      </c>
      <c r="B18" s="121"/>
      <c r="C18" s="121"/>
      <c r="D18" s="121"/>
      <c r="E18" s="122"/>
      <c r="F18" s="32">
        <v>0.2</v>
      </c>
      <c r="G18" s="104"/>
      <c r="H18" s="121"/>
      <c r="I18" s="121"/>
      <c r="J18" s="121"/>
      <c r="K18" s="122"/>
      <c r="L18" s="33"/>
      <c r="M18" s="48"/>
    </row>
    <row r="19" spans="1:13" ht="15" customHeight="1" x14ac:dyDescent="0.25">
      <c r="A19" s="104" t="s">
        <v>45</v>
      </c>
      <c r="B19" s="119"/>
      <c r="C19" s="119"/>
      <c r="D19" s="119"/>
      <c r="E19" s="120"/>
      <c r="F19" s="32">
        <v>1.2</v>
      </c>
      <c r="G19" s="104"/>
      <c r="H19" s="121"/>
      <c r="I19" s="121"/>
      <c r="J19" s="121"/>
      <c r="K19" s="122"/>
      <c r="L19" s="33"/>
      <c r="M19" s="48"/>
    </row>
    <row r="20" spans="1:13" ht="15.75" customHeight="1" x14ac:dyDescent="0.25">
      <c r="A20" s="104" t="s">
        <v>44</v>
      </c>
      <c r="B20" s="119"/>
      <c r="C20" s="119"/>
      <c r="D20" s="119"/>
      <c r="E20" s="120"/>
      <c r="F20" s="32">
        <v>1.8</v>
      </c>
      <c r="G20" s="104"/>
      <c r="H20" s="119"/>
      <c r="I20" s="119"/>
      <c r="J20" s="119"/>
      <c r="K20" s="120"/>
      <c r="L20" s="33"/>
      <c r="M20" s="48"/>
    </row>
    <row r="21" spans="1:13" ht="14.25" hidden="1" customHeight="1" x14ac:dyDescent="0.25">
      <c r="A21" s="104"/>
      <c r="B21" s="119"/>
      <c r="C21" s="119"/>
      <c r="D21" s="119"/>
      <c r="E21" s="120"/>
      <c r="F21" s="32"/>
      <c r="G21" s="104"/>
      <c r="H21" s="119"/>
      <c r="I21" s="119"/>
      <c r="J21" s="119"/>
      <c r="K21" s="120"/>
      <c r="L21" s="33"/>
      <c r="M21" s="48"/>
    </row>
    <row r="22" spans="1:13" ht="15" hidden="1" customHeight="1" x14ac:dyDescent="0.25">
      <c r="A22" s="104"/>
      <c r="B22" s="121"/>
      <c r="C22" s="121"/>
      <c r="D22" s="121"/>
      <c r="E22" s="122"/>
      <c r="F22" s="32"/>
      <c r="G22" s="104"/>
      <c r="H22" s="119"/>
      <c r="I22" s="119"/>
      <c r="J22" s="119"/>
      <c r="K22" s="120"/>
      <c r="L22" s="33"/>
      <c r="M22" s="48"/>
    </row>
    <row r="23" spans="1:13" x14ac:dyDescent="0.25">
      <c r="A23" s="128" t="s">
        <v>3</v>
      </c>
      <c r="B23" s="129"/>
      <c r="C23" s="129"/>
      <c r="D23" s="129"/>
      <c r="E23" s="130"/>
      <c r="F23" s="32">
        <f>SUM(F15:F22)</f>
        <v>7.7</v>
      </c>
      <c r="G23" s="123"/>
      <c r="H23" s="121"/>
      <c r="I23" s="121"/>
      <c r="J23" s="121"/>
      <c r="K23" s="122"/>
      <c r="L23" s="32">
        <f>SUM(L15:L22)</f>
        <v>0.4</v>
      </c>
      <c r="M23" s="48"/>
    </row>
    <row r="24" spans="1:13" x14ac:dyDescent="0.25">
      <c r="A24" s="41"/>
      <c r="B24" s="41"/>
      <c r="C24" s="41"/>
      <c r="D24" s="41"/>
      <c r="E24" s="41"/>
      <c r="F24" s="42"/>
      <c r="G24" s="43"/>
      <c r="H24" s="43"/>
      <c r="I24" s="43"/>
      <c r="J24" s="43"/>
      <c r="K24" s="43"/>
      <c r="L24" s="42"/>
      <c r="M24" s="48"/>
    </row>
    <row r="25" spans="1:13" x14ac:dyDescent="0.25">
      <c r="A25" s="94" t="s">
        <v>91</v>
      </c>
      <c r="B25" s="94"/>
      <c r="C25" s="94"/>
      <c r="D25" s="94"/>
      <c r="E25" s="94"/>
      <c r="F25" s="94"/>
      <c r="G25" s="94"/>
      <c r="H25" s="48">
        <v>168389</v>
      </c>
      <c r="I25" s="48"/>
      <c r="J25" s="48"/>
      <c r="K25" s="48"/>
      <c r="L25" s="48"/>
      <c r="M25" s="48"/>
    </row>
    <row r="26" spans="1:13" ht="75" x14ac:dyDescent="0.25">
      <c r="A26" s="108" t="s">
        <v>4</v>
      </c>
      <c r="B26" s="109"/>
      <c r="C26" s="109"/>
      <c r="D26" s="109"/>
      <c r="E26" s="110"/>
      <c r="F26" s="74" t="s">
        <v>5</v>
      </c>
      <c r="G26" s="74" t="s">
        <v>1</v>
      </c>
      <c r="H26" s="74" t="s">
        <v>68</v>
      </c>
      <c r="I26" s="74" t="s">
        <v>69</v>
      </c>
      <c r="J26" s="74" t="s">
        <v>70</v>
      </c>
      <c r="K26" s="55" t="s">
        <v>71</v>
      </c>
      <c r="L26" s="57"/>
      <c r="M26" s="77"/>
    </row>
    <row r="27" spans="1:13" ht="18.75" customHeight="1" x14ac:dyDescent="0.25">
      <c r="A27" s="138" t="s">
        <v>57</v>
      </c>
      <c r="B27" s="139"/>
      <c r="C27" s="139"/>
      <c r="D27" s="139"/>
      <c r="E27" s="140"/>
      <c r="F27" s="3">
        <f>'Услуга №1  '!F27</f>
        <v>18142.3</v>
      </c>
      <c r="G27" s="50">
        <v>0.2</v>
      </c>
      <c r="H27" s="3">
        <f>F27*G27*12</f>
        <v>43541.520000000004</v>
      </c>
      <c r="I27" s="3">
        <f>H27*1.302+42524.03</f>
        <v>99215.089040000006</v>
      </c>
      <c r="J27" s="38">
        <f>H25</f>
        <v>168389</v>
      </c>
      <c r="K27" s="90">
        <f>I27/J27</f>
        <v>0.58920172362802803</v>
      </c>
      <c r="L27" s="58"/>
      <c r="M27" s="77"/>
    </row>
    <row r="28" spans="1:13" ht="16.5" customHeight="1" x14ac:dyDescent="0.25">
      <c r="A28" s="102" t="s">
        <v>43</v>
      </c>
      <c r="B28" s="102"/>
      <c r="C28" s="102"/>
      <c r="D28" s="102"/>
      <c r="E28" s="102"/>
      <c r="F28" s="3">
        <f>'Услуга №1  '!F28</f>
        <v>17685</v>
      </c>
      <c r="G28" s="50">
        <v>4.0999999999999996</v>
      </c>
      <c r="H28" s="3">
        <f t="shared" ref="H28:H32" si="0">F28*G28*12</f>
        <v>870102</v>
      </c>
      <c r="I28" s="3">
        <f>H28*1.302+174348.52</f>
        <v>1307221.324</v>
      </c>
      <c r="J28" s="38">
        <f>J27</f>
        <v>168389</v>
      </c>
      <c r="K28" s="90">
        <f t="shared" ref="K28:K32" si="1">I28/J28</f>
        <v>7.7631040269851361</v>
      </c>
      <c r="L28" s="58"/>
      <c r="M28" s="77"/>
    </row>
    <row r="29" spans="1:13" ht="15" customHeight="1" x14ac:dyDescent="0.25">
      <c r="A29" s="123" t="s">
        <v>67</v>
      </c>
      <c r="B29" s="121"/>
      <c r="C29" s="121"/>
      <c r="D29" s="121"/>
      <c r="E29" s="122"/>
      <c r="F29" s="3">
        <f>'Услуга №1  '!F29</f>
        <v>16561.406500000001</v>
      </c>
      <c r="G29" s="50">
        <v>0.2</v>
      </c>
      <c r="H29" s="3">
        <f t="shared" si="0"/>
        <v>39747.375600000007</v>
      </c>
      <c r="I29" s="3">
        <f t="shared" ref="I29:I32" si="2">H29*1.302+42524.03</f>
        <v>94275.113031200017</v>
      </c>
      <c r="J29" s="38">
        <f>J28</f>
        <v>168389</v>
      </c>
      <c r="K29" s="90">
        <f t="shared" si="1"/>
        <v>0.55986503293683088</v>
      </c>
      <c r="L29" s="58"/>
      <c r="M29" s="77"/>
    </row>
    <row r="30" spans="1:13" ht="15" customHeight="1" x14ac:dyDescent="0.25">
      <c r="A30" s="125" t="s">
        <v>46</v>
      </c>
      <c r="B30" s="126"/>
      <c r="C30" s="126"/>
      <c r="D30" s="126"/>
      <c r="E30" s="127"/>
      <c r="F30" s="3">
        <f>'Услуга №1  '!F30</f>
        <v>16900.36</v>
      </c>
      <c r="G30" s="50">
        <v>0.2</v>
      </c>
      <c r="H30" s="3">
        <f t="shared" si="0"/>
        <v>40560.864000000001</v>
      </c>
      <c r="I30" s="3">
        <f t="shared" si="2"/>
        <v>95334.274927999999</v>
      </c>
      <c r="J30" s="38">
        <f>J29</f>
        <v>168389</v>
      </c>
      <c r="K30" s="90">
        <f t="shared" si="1"/>
        <v>0.56615500375915295</v>
      </c>
      <c r="L30" s="58"/>
      <c r="M30" s="77"/>
    </row>
    <row r="31" spans="1:13" ht="14.25" customHeight="1" x14ac:dyDescent="0.25">
      <c r="A31" s="104" t="s">
        <v>44</v>
      </c>
      <c r="B31" s="105"/>
      <c r="C31" s="105"/>
      <c r="D31" s="105"/>
      <c r="E31" s="106"/>
      <c r="F31" s="3">
        <f>'Услуга №1  '!F31</f>
        <v>18736</v>
      </c>
      <c r="G31" s="50">
        <v>1.8</v>
      </c>
      <c r="H31" s="3">
        <f t="shared" si="0"/>
        <v>404697.60000000003</v>
      </c>
      <c r="I31" s="3">
        <f t="shared" si="2"/>
        <v>569440.30520000006</v>
      </c>
      <c r="J31" s="38">
        <f>J29</f>
        <v>168389</v>
      </c>
      <c r="K31" s="90">
        <f t="shared" si="1"/>
        <v>3.3816953910291057</v>
      </c>
      <c r="L31" s="58"/>
      <c r="M31" s="77"/>
    </row>
    <row r="32" spans="1:13" ht="15.75" customHeight="1" x14ac:dyDescent="0.25">
      <c r="A32" s="104" t="s">
        <v>45</v>
      </c>
      <c r="B32" s="105"/>
      <c r="C32" s="105"/>
      <c r="D32" s="105"/>
      <c r="E32" s="106"/>
      <c r="F32" s="3">
        <f>'Услуга №1  '!F32</f>
        <v>19016</v>
      </c>
      <c r="G32" s="50">
        <v>1.2</v>
      </c>
      <c r="H32" s="3">
        <f t="shared" si="0"/>
        <v>273830.40000000002</v>
      </c>
      <c r="I32" s="3">
        <f t="shared" si="2"/>
        <v>399051.2108</v>
      </c>
      <c r="J32" s="38">
        <f>J30</f>
        <v>168389</v>
      </c>
      <c r="K32" s="90">
        <f t="shared" si="1"/>
        <v>2.3698175700312967</v>
      </c>
      <c r="L32" s="58"/>
      <c r="M32" s="77"/>
    </row>
    <row r="33" spans="1:13" ht="17.25" customHeight="1" x14ac:dyDescent="0.25">
      <c r="A33" s="95" t="s">
        <v>72</v>
      </c>
      <c r="B33" s="96"/>
      <c r="C33" s="96"/>
      <c r="D33" s="96"/>
      <c r="E33" s="96"/>
      <c r="F33" s="96"/>
      <c r="G33" s="96"/>
      <c r="H33" s="97"/>
      <c r="I33" s="51">
        <f t="shared" ref="I33:K33" si="3">SUM(I27:I32)</f>
        <v>2564537.3169992003</v>
      </c>
      <c r="J33" s="52"/>
      <c r="K33" s="56">
        <f t="shared" si="3"/>
        <v>15.22983874836955</v>
      </c>
      <c r="L33" s="58"/>
      <c r="M33" s="77"/>
    </row>
    <row r="34" spans="1:13" ht="10.5" customHeight="1" x14ac:dyDescent="0.25">
      <c r="A34" s="19"/>
      <c r="B34" s="19"/>
      <c r="C34" s="19"/>
      <c r="D34" s="19"/>
      <c r="E34" s="19"/>
      <c r="F34" s="19"/>
      <c r="G34" s="19"/>
      <c r="H34" s="19"/>
      <c r="I34" s="77"/>
      <c r="J34" s="77"/>
      <c r="K34" s="77"/>
      <c r="L34" s="76"/>
      <c r="M34" s="77"/>
    </row>
    <row r="35" spans="1:13" x14ac:dyDescent="0.25">
      <c r="A35" s="103" t="s">
        <v>7</v>
      </c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77"/>
    </row>
    <row r="36" spans="1:13" ht="45" x14ac:dyDescent="0.25">
      <c r="A36" s="124" t="s">
        <v>8</v>
      </c>
      <c r="B36" s="124"/>
      <c r="C36" s="124"/>
      <c r="D36" s="124"/>
      <c r="E36" s="124"/>
      <c r="F36" s="74" t="s">
        <v>6</v>
      </c>
      <c r="G36" s="74" t="s">
        <v>58</v>
      </c>
      <c r="H36" s="74" t="s">
        <v>59</v>
      </c>
      <c r="I36" s="74" t="s">
        <v>75</v>
      </c>
      <c r="J36" s="74" t="s">
        <v>70</v>
      </c>
      <c r="K36" s="55" t="s">
        <v>71</v>
      </c>
      <c r="L36" s="57"/>
      <c r="M36" s="77"/>
    </row>
    <row r="37" spans="1:13" x14ac:dyDescent="0.25">
      <c r="A37" s="98" t="s">
        <v>9</v>
      </c>
      <c r="B37" s="98"/>
      <c r="C37" s="98"/>
      <c r="D37" s="98"/>
      <c r="E37" s="98"/>
      <c r="F37" s="1" t="s">
        <v>17</v>
      </c>
      <c r="G37" s="3">
        <f>I37/H37</f>
        <v>11095.949152542373</v>
      </c>
      <c r="H37" s="3">
        <f>'Услуга №1  '!H37</f>
        <v>5.9</v>
      </c>
      <c r="I37" s="16">
        <v>65466.1</v>
      </c>
      <c r="J37" s="38">
        <f>J28</f>
        <v>168389</v>
      </c>
      <c r="K37" s="75">
        <f>I37/J37</f>
        <v>0.38877895824549108</v>
      </c>
      <c r="L37" s="58"/>
      <c r="M37" s="77"/>
    </row>
    <row r="38" spans="1:13" x14ac:dyDescent="0.25">
      <c r="A38" s="98" t="s">
        <v>10</v>
      </c>
      <c r="B38" s="98"/>
      <c r="C38" s="98"/>
      <c r="D38" s="98"/>
      <c r="E38" s="98"/>
      <c r="F38" s="1" t="s">
        <v>17</v>
      </c>
      <c r="G38" s="3">
        <f t="shared" ref="G38:G40" si="4">I38/H38</f>
        <v>122.64404997049998</v>
      </c>
      <c r="H38" s="3">
        <f>'Услуга №1  '!H38</f>
        <v>1559.32</v>
      </c>
      <c r="I38" s="16">
        <v>191241.32</v>
      </c>
      <c r="J38" s="38">
        <f>J37</f>
        <v>168389</v>
      </c>
      <c r="K38" s="75">
        <f t="shared" ref="K38:K40" si="5">I38/J38</f>
        <v>1.135711477590579</v>
      </c>
      <c r="L38" s="58"/>
      <c r="M38" s="77"/>
    </row>
    <row r="39" spans="1:13" x14ac:dyDescent="0.25">
      <c r="A39" s="98" t="s">
        <v>11</v>
      </c>
      <c r="B39" s="98"/>
      <c r="C39" s="98"/>
      <c r="D39" s="98"/>
      <c r="E39" s="98"/>
      <c r="F39" s="1" t="s">
        <v>17</v>
      </c>
      <c r="G39" s="3">
        <f t="shared" si="4"/>
        <v>273.93304318714428</v>
      </c>
      <c r="H39" s="3">
        <f>'Услуга №1  '!H39</f>
        <v>29.87</v>
      </c>
      <c r="I39" s="16">
        <v>8182.38</v>
      </c>
      <c r="J39" s="38">
        <f>J38</f>
        <v>168389</v>
      </c>
      <c r="K39" s="75">
        <f t="shared" si="5"/>
        <v>4.8592128939538806E-2</v>
      </c>
      <c r="L39" s="58"/>
      <c r="M39" s="77"/>
    </row>
    <row r="40" spans="1:13" x14ac:dyDescent="0.25">
      <c r="A40" s="98" t="s">
        <v>12</v>
      </c>
      <c r="B40" s="98"/>
      <c r="C40" s="98"/>
      <c r="D40" s="98"/>
      <c r="E40" s="98"/>
      <c r="F40" s="73" t="s">
        <v>17</v>
      </c>
      <c r="G40" s="3">
        <f t="shared" si="4"/>
        <v>222.58362821420144</v>
      </c>
      <c r="H40" s="3">
        <f>'Услуга №1  '!H40</f>
        <v>42.39</v>
      </c>
      <c r="I40" s="16">
        <v>9435.32</v>
      </c>
      <c r="J40" s="38">
        <f>J38</f>
        <v>168389</v>
      </c>
      <c r="K40" s="75">
        <f t="shared" si="5"/>
        <v>5.6032876256762613E-2</v>
      </c>
      <c r="L40" s="58"/>
      <c r="M40" s="77"/>
    </row>
    <row r="41" spans="1:13" ht="15" customHeight="1" x14ac:dyDescent="0.25">
      <c r="A41" s="95" t="s">
        <v>13</v>
      </c>
      <c r="B41" s="96"/>
      <c r="C41" s="96"/>
      <c r="D41" s="96"/>
      <c r="E41" s="96"/>
      <c r="F41" s="96"/>
      <c r="G41" s="96"/>
      <c r="H41" s="97"/>
      <c r="I41" s="51">
        <f>SUM(I37:I40)</f>
        <v>274325.12</v>
      </c>
      <c r="J41" s="52"/>
      <c r="K41" s="56">
        <f>SUM(K37:K40)</f>
        <v>1.6291154410323714</v>
      </c>
      <c r="L41" s="58"/>
      <c r="M41" s="77"/>
    </row>
    <row r="42" spans="1:13" x14ac:dyDescent="0.25">
      <c r="A42" s="77"/>
      <c r="B42" s="77"/>
      <c r="C42" s="77"/>
      <c r="D42" s="77"/>
      <c r="E42" s="77"/>
      <c r="F42" s="72"/>
      <c r="G42" s="72"/>
      <c r="H42" s="72"/>
      <c r="I42" s="72"/>
      <c r="J42" s="72"/>
      <c r="K42" s="72"/>
      <c r="L42" s="72"/>
      <c r="M42" s="77"/>
    </row>
    <row r="43" spans="1:13" s="77" customFormat="1" x14ac:dyDescent="0.25">
      <c r="A43" s="117" t="s">
        <v>95</v>
      </c>
      <c r="B43" s="117"/>
      <c r="C43" s="117"/>
      <c r="D43" s="117"/>
      <c r="E43" s="117"/>
      <c r="F43" s="117"/>
      <c r="G43" s="117"/>
      <c r="H43" s="117"/>
      <c r="I43" s="117"/>
      <c r="J43" s="117"/>
      <c r="K43" s="117"/>
      <c r="L43" s="117"/>
    </row>
    <row r="44" spans="1:13" s="77" customFormat="1" ht="80.25" customHeight="1" x14ac:dyDescent="0.25">
      <c r="A44" s="141" t="s">
        <v>96</v>
      </c>
      <c r="B44" s="142"/>
      <c r="C44" s="142"/>
      <c r="D44" s="142"/>
      <c r="E44" s="143"/>
      <c r="F44" s="74" t="s">
        <v>6</v>
      </c>
      <c r="G44" s="74" t="s">
        <v>58</v>
      </c>
      <c r="H44" s="74" t="s">
        <v>59</v>
      </c>
      <c r="I44" s="74" t="s">
        <v>75</v>
      </c>
      <c r="J44" s="74" t="s">
        <v>70</v>
      </c>
      <c r="K44" s="55" t="s">
        <v>71</v>
      </c>
      <c r="L44" s="57"/>
    </row>
    <row r="45" spans="1:13" s="78" customFormat="1" ht="24" customHeight="1" x14ac:dyDescent="0.25">
      <c r="A45" s="98" t="s">
        <v>97</v>
      </c>
      <c r="B45" s="98"/>
      <c r="C45" s="98"/>
      <c r="D45" s="98"/>
      <c r="E45" s="98"/>
      <c r="F45" s="79" t="s">
        <v>17</v>
      </c>
      <c r="G45" s="1">
        <v>1</v>
      </c>
      <c r="H45" s="1">
        <v>127000</v>
      </c>
      <c r="I45" s="1">
        <f>G45*H45</f>
        <v>127000</v>
      </c>
      <c r="J45" s="38">
        <f>J40</f>
        <v>168389</v>
      </c>
      <c r="K45" s="80">
        <f>I45/J45</f>
        <v>0.75420603483600468</v>
      </c>
      <c r="L45" s="58"/>
    </row>
    <row r="46" spans="1:13" ht="15" customHeight="1" x14ac:dyDescent="0.25">
      <c r="A46" s="95" t="s">
        <v>98</v>
      </c>
      <c r="B46" s="96"/>
      <c r="C46" s="96"/>
      <c r="D46" s="96"/>
      <c r="E46" s="96"/>
      <c r="F46" s="96"/>
      <c r="G46" s="96"/>
      <c r="H46" s="97"/>
      <c r="I46" s="51">
        <f>I45</f>
        <v>127000</v>
      </c>
      <c r="J46" s="52"/>
      <c r="K46" s="56">
        <f>K45</f>
        <v>0.75420603483600468</v>
      </c>
      <c r="L46" s="58"/>
      <c r="M46" s="77"/>
    </row>
    <row r="47" spans="1:13" s="77" customFormat="1" x14ac:dyDescent="0.25">
      <c r="A47" s="27"/>
      <c r="B47" s="27"/>
      <c r="C47" s="27"/>
      <c r="D47" s="27"/>
      <c r="E47" s="27"/>
      <c r="F47" s="27"/>
      <c r="G47" s="27"/>
      <c r="H47" s="27"/>
      <c r="I47" s="27"/>
      <c r="J47" s="27"/>
      <c r="K47" s="27"/>
      <c r="L47" s="18"/>
    </row>
    <row r="48" spans="1:13" ht="14.25" customHeight="1" x14ac:dyDescent="0.25">
      <c r="A48" s="103" t="s">
        <v>14</v>
      </c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77"/>
    </row>
    <row r="49" spans="1:13" ht="45" x14ac:dyDescent="0.25">
      <c r="A49" s="124" t="s">
        <v>18</v>
      </c>
      <c r="B49" s="124"/>
      <c r="C49" s="124"/>
      <c r="D49" s="124"/>
      <c r="E49" s="124"/>
      <c r="F49" s="74" t="s">
        <v>6</v>
      </c>
      <c r="G49" s="74" t="s">
        <v>58</v>
      </c>
      <c r="H49" s="74" t="s">
        <v>59</v>
      </c>
      <c r="I49" s="74" t="s">
        <v>75</v>
      </c>
      <c r="J49" s="74" t="s">
        <v>70</v>
      </c>
      <c r="K49" s="55" t="s">
        <v>71</v>
      </c>
      <c r="L49" s="57"/>
      <c r="M49" s="77"/>
    </row>
    <row r="50" spans="1:13" ht="18.75" customHeight="1" x14ac:dyDescent="0.25">
      <c r="A50" s="99" t="s">
        <v>16</v>
      </c>
      <c r="B50" s="100"/>
      <c r="C50" s="100"/>
      <c r="D50" s="100"/>
      <c r="E50" s="101"/>
      <c r="F50" s="21" t="s">
        <v>76</v>
      </c>
      <c r="G50" s="50">
        <f t="shared" ref="G50:G55" si="6">I50/H50+0.04</f>
        <v>3.2892726197516264</v>
      </c>
      <c r="H50" s="3">
        <f>'Услуга №1  '!H45</f>
        <v>422.75</v>
      </c>
      <c r="I50" s="16">
        <v>1373.63</v>
      </c>
      <c r="J50" s="38">
        <f>J40</f>
        <v>168389</v>
      </c>
      <c r="K50" s="75">
        <f>I50/J50</f>
        <v>8.1574805955258369E-3</v>
      </c>
      <c r="L50" s="58"/>
      <c r="M50" s="18"/>
    </row>
    <row r="51" spans="1:13" ht="18.75" customHeight="1" x14ac:dyDescent="0.25">
      <c r="A51" s="99" t="s">
        <v>40</v>
      </c>
      <c r="B51" s="100"/>
      <c r="C51" s="100"/>
      <c r="D51" s="100"/>
      <c r="E51" s="101"/>
      <c r="F51" s="21" t="s">
        <v>17</v>
      </c>
      <c r="G51" s="50">
        <f t="shared" si="6"/>
        <v>1.0710081967213114</v>
      </c>
      <c r="H51" s="3">
        <f>'Услуга №1  '!H46</f>
        <v>1220</v>
      </c>
      <c r="I51" s="16">
        <v>1257.83</v>
      </c>
      <c r="J51" s="38">
        <f>J38</f>
        <v>168389</v>
      </c>
      <c r="K51" s="75">
        <f>I51/J51</f>
        <v>7.4697872188800923E-3</v>
      </c>
      <c r="L51" s="58"/>
      <c r="M51" s="18"/>
    </row>
    <row r="52" spans="1:13" ht="18.75" customHeight="1" x14ac:dyDescent="0.25">
      <c r="A52" s="99" t="s">
        <v>15</v>
      </c>
      <c r="B52" s="100"/>
      <c r="C52" s="100"/>
      <c r="D52" s="100"/>
      <c r="E52" s="101"/>
      <c r="F52" s="21" t="s">
        <v>17</v>
      </c>
      <c r="G52" s="50">
        <f t="shared" si="6"/>
        <v>2.4399911881843721</v>
      </c>
      <c r="H52" s="3">
        <f>'Услуга №1  '!H47</f>
        <v>236.04669999999999</v>
      </c>
      <c r="I52" s="16">
        <v>566.51</v>
      </c>
      <c r="J52" s="38">
        <f>J51</f>
        <v>168389</v>
      </c>
      <c r="K52" s="75">
        <f t="shared" ref="K52:K55" si="7">I52/J52</f>
        <v>3.3642933920861812E-3</v>
      </c>
      <c r="L52" s="58"/>
      <c r="M52" s="18"/>
    </row>
    <row r="53" spans="1:13" ht="18.75" customHeight="1" x14ac:dyDescent="0.25">
      <c r="A53" s="99" t="s">
        <v>60</v>
      </c>
      <c r="B53" s="100"/>
      <c r="C53" s="100"/>
      <c r="D53" s="100"/>
      <c r="E53" s="101"/>
      <c r="F53" s="21" t="s">
        <v>17</v>
      </c>
      <c r="G53" s="50">
        <f t="shared" si="6"/>
        <v>2.1131565557729943</v>
      </c>
      <c r="H53" s="3">
        <f>'Услуга №1  '!H48</f>
        <v>5110</v>
      </c>
      <c r="I53" s="16">
        <v>10593.83</v>
      </c>
      <c r="J53" s="38">
        <f>J52</f>
        <v>168389</v>
      </c>
      <c r="K53" s="75">
        <f t="shared" si="7"/>
        <v>6.291283872461978E-2</v>
      </c>
      <c r="L53" s="58"/>
      <c r="M53" s="18"/>
    </row>
    <row r="54" spans="1:13" ht="29.25" customHeight="1" x14ac:dyDescent="0.25">
      <c r="A54" s="113" t="s">
        <v>62</v>
      </c>
      <c r="B54" s="105"/>
      <c r="C54" s="105"/>
      <c r="D54" s="105"/>
      <c r="E54" s="106"/>
      <c r="F54" s="21" t="s">
        <v>17</v>
      </c>
      <c r="G54" s="50">
        <f t="shared" si="6"/>
        <v>2.3839058705306684</v>
      </c>
      <c r="H54" s="3">
        <f>'Услуга №1  '!H49</f>
        <v>29774.31</v>
      </c>
      <c r="I54" s="16">
        <v>69788.179999999993</v>
      </c>
      <c r="J54" s="38">
        <f>J52</f>
        <v>168389</v>
      </c>
      <c r="K54" s="75">
        <f t="shared" si="7"/>
        <v>0.41444619304111308</v>
      </c>
      <c r="L54" s="58"/>
      <c r="M54" s="18"/>
    </row>
    <row r="55" spans="1:13" ht="18.75" customHeight="1" x14ac:dyDescent="0.25">
      <c r="A55" s="99" t="s">
        <v>61</v>
      </c>
      <c r="B55" s="100"/>
      <c r="C55" s="100"/>
      <c r="D55" s="100"/>
      <c r="E55" s="101"/>
      <c r="F55" s="21" t="s">
        <v>17</v>
      </c>
      <c r="G55" s="50">
        <f t="shared" si="6"/>
        <v>4.8400180433373512</v>
      </c>
      <c r="H55" s="3">
        <f>'Услуга №1  '!H50</f>
        <v>203.95339999999999</v>
      </c>
      <c r="I55" s="16">
        <v>978.98</v>
      </c>
      <c r="J55" s="38">
        <f>J54</f>
        <v>168389</v>
      </c>
      <c r="K55" s="75">
        <f t="shared" si="7"/>
        <v>5.8138001888484404E-3</v>
      </c>
      <c r="L55" s="58"/>
      <c r="M55" s="18"/>
    </row>
    <row r="56" spans="1:13" s="81" customFormat="1" ht="30.75" customHeight="1" x14ac:dyDescent="0.25">
      <c r="A56" s="113" t="s">
        <v>99</v>
      </c>
      <c r="B56" s="105"/>
      <c r="C56" s="105"/>
      <c r="D56" s="105"/>
      <c r="E56" s="106"/>
      <c r="F56" s="1" t="s">
        <v>17</v>
      </c>
      <c r="G56" s="50">
        <f>I56/H56</f>
        <v>0.18204635644388065</v>
      </c>
      <c r="H56" s="3">
        <f>'Услуга №1  '!H51</f>
        <v>279080.51</v>
      </c>
      <c r="I56" s="3">
        <v>50805.59</v>
      </c>
      <c r="J56" s="38">
        <f>J54</f>
        <v>168389</v>
      </c>
      <c r="K56" s="3">
        <f>I56/J56</f>
        <v>0.30171561087719506</v>
      </c>
      <c r="L56" s="18"/>
    </row>
    <row r="57" spans="1:13" ht="18.75" customHeight="1" x14ac:dyDescent="0.25">
      <c r="A57" s="114" t="s">
        <v>77</v>
      </c>
      <c r="B57" s="115"/>
      <c r="C57" s="115"/>
      <c r="D57" s="115"/>
      <c r="E57" s="115"/>
      <c r="F57" s="115"/>
      <c r="G57" s="115"/>
      <c r="H57" s="115"/>
      <c r="I57" s="51">
        <f>SUM(I50:I56)</f>
        <v>135364.54999999999</v>
      </c>
      <c r="J57" s="52"/>
      <c r="K57" s="56">
        <f>SUM(K50:K56)</f>
        <v>0.80388000403826854</v>
      </c>
      <c r="L57" s="58"/>
      <c r="M57" s="85"/>
    </row>
    <row r="58" spans="1:13" x14ac:dyDescent="0.25">
      <c r="A58" s="45"/>
      <c r="B58" s="45"/>
      <c r="C58" s="45"/>
      <c r="D58" s="45"/>
      <c r="E58" s="45"/>
      <c r="F58" s="35"/>
      <c r="G58" s="36"/>
      <c r="H58" s="37"/>
      <c r="I58" s="37"/>
      <c r="J58" s="35"/>
      <c r="K58" s="37"/>
      <c r="L58" s="18"/>
      <c r="M58" s="77"/>
    </row>
    <row r="59" spans="1:13" s="77" customFormat="1" x14ac:dyDescent="0.25">
      <c r="A59" s="103" t="s">
        <v>78</v>
      </c>
      <c r="B59" s="103"/>
      <c r="C59" s="103"/>
      <c r="D59" s="103"/>
      <c r="E59" s="103"/>
      <c r="F59" s="103"/>
      <c r="G59" s="103"/>
      <c r="H59" s="103"/>
      <c r="I59" s="103"/>
      <c r="J59" s="103"/>
      <c r="K59" s="103"/>
      <c r="L59" s="103"/>
    </row>
    <row r="60" spans="1:13" s="77" customFormat="1" ht="60" customHeight="1" x14ac:dyDescent="0.25">
      <c r="A60" s="124" t="s">
        <v>18</v>
      </c>
      <c r="B60" s="124"/>
      <c r="C60" s="124"/>
      <c r="D60" s="124"/>
      <c r="E60" s="124"/>
      <c r="F60" s="74" t="s">
        <v>6</v>
      </c>
      <c r="G60" s="74" t="s">
        <v>58</v>
      </c>
      <c r="H60" s="74" t="s">
        <v>59</v>
      </c>
      <c r="I60" s="74" t="s">
        <v>75</v>
      </c>
      <c r="J60" s="74" t="s">
        <v>70</v>
      </c>
      <c r="K60" s="49" t="s">
        <v>71</v>
      </c>
      <c r="L60" s="23"/>
    </row>
    <row r="61" spans="1:13" s="77" customFormat="1" ht="30.75" customHeight="1" x14ac:dyDescent="0.25">
      <c r="A61" s="113" t="s">
        <v>79</v>
      </c>
      <c r="B61" s="105"/>
      <c r="C61" s="105"/>
      <c r="D61" s="105"/>
      <c r="E61" s="106"/>
      <c r="F61" s="1" t="s">
        <v>17</v>
      </c>
      <c r="G61" s="50">
        <f>I61/H61+0.03</f>
        <v>2.3992497734823313</v>
      </c>
      <c r="H61" s="3">
        <f>'Услуга №1  '!H56</f>
        <v>16555</v>
      </c>
      <c r="I61" s="3">
        <v>39222.93</v>
      </c>
      <c r="J61" s="38">
        <f>J53</f>
        <v>168389</v>
      </c>
      <c r="K61" s="3">
        <f>I61/J61</f>
        <v>0.23293047645630058</v>
      </c>
      <c r="L61" s="18"/>
    </row>
    <row r="62" spans="1:13" s="77" customFormat="1" ht="18.75" customHeight="1" x14ac:dyDescent="0.25">
      <c r="A62" s="99" t="s">
        <v>81</v>
      </c>
      <c r="B62" s="100"/>
      <c r="C62" s="100"/>
      <c r="D62" s="100"/>
      <c r="E62" s="101"/>
      <c r="F62" s="1" t="s">
        <v>17</v>
      </c>
      <c r="G62" s="50">
        <f>I62/H62+0.07</f>
        <v>0.29222222222222222</v>
      </c>
      <c r="H62" s="3">
        <f>'Услуга №1  '!H57</f>
        <v>4500</v>
      </c>
      <c r="I62" s="3">
        <v>1000</v>
      </c>
      <c r="J62" s="38">
        <f>J55</f>
        <v>168389</v>
      </c>
      <c r="K62" s="3">
        <f>I62/J62</f>
        <v>5.9386301955590927E-3</v>
      </c>
      <c r="L62" s="18"/>
      <c r="M62" s="85"/>
    </row>
    <row r="63" spans="1:13" s="88" customFormat="1" ht="18.75" customHeight="1" x14ac:dyDescent="0.25">
      <c r="A63" s="98" t="s">
        <v>106</v>
      </c>
      <c r="B63" s="98"/>
      <c r="C63" s="98"/>
      <c r="D63" s="98"/>
      <c r="E63" s="98"/>
      <c r="F63" s="1" t="s">
        <v>24</v>
      </c>
      <c r="G63" s="3"/>
      <c r="H63" s="3"/>
      <c r="I63" s="3">
        <v>127444.59</v>
      </c>
      <c r="J63" s="38">
        <f>J62</f>
        <v>168389</v>
      </c>
      <c r="K63" s="3">
        <f t="shared" ref="K63" si="8">I63/J63</f>
        <v>0.75684629043464835</v>
      </c>
      <c r="L63" s="18"/>
    </row>
    <row r="64" spans="1:13" s="77" customFormat="1" x14ac:dyDescent="0.25">
      <c r="A64" s="114" t="s">
        <v>80</v>
      </c>
      <c r="B64" s="115"/>
      <c r="C64" s="115"/>
      <c r="D64" s="115"/>
      <c r="E64" s="115"/>
      <c r="F64" s="115"/>
      <c r="G64" s="115"/>
      <c r="H64" s="115"/>
      <c r="I64" s="63">
        <f>SUM(I61:I63)</f>
        <v>167667.51999999999</v>
      </c>
      <c r="J64" s="63"/>
      <c r="K64" s="63">
        <f>SUM(K61:K63)</f>
        <v>0.99571539708650803</v>
      </c>
      <c r="L64" s="18"/>
    </row>
    <row r="65" spans="1:13" s="77" customFormat="1" x14ac:dyDescent="0.25">
      <c r="A65" s="27"/>
      <c r="B65" s="27"/>
      <c r="C65" s="27"/>
      <c r="D65" s="27"/>
      <c r="E65" s="27"/>
      <c r="F65" s="27"/>
      <c r="G65" s="27"/>
      <c r="H65" s="27"/>
      <c r="I65" s="65"/>
      <c r="J65" s="66"/>
      <c r="K65" s="66"/>
      <c r="L65" s="18"/>
    </row>
    <row r="66" spans="1:13" s="77" customFormat="1" x14ac:dyDescent="0.25">
      <c r="A66" s="103" t="s">
        <v>82</v>
      </c>
      <c r="B66" s="103"/>
      <c r="C66" s="103"/>
      <c r="D66" s="103"/>
      <c r="E66" s="103"/>
      <c r="F66" s="103"/>
      <c r="G66" s="103"/>
      <c r="H66" s="103"/>
      <c r="I66" s="103"/>
      <c r="J66" s="103"/>
      <c r="K66" s="103"/>
      <c r="L66" s="103"/>
    </row>
    <row r="67" spans="1:13" s="77" customFormat="1" ht="60" customHeight="1" x14ac:dyDescent="0.25">
      <c r="A67" s="108" t="s">
        <v>19</v>
      </c>
      <c r="B67" s="109"/>
      <c r="C67" s="109"/>
      <c r="D67" s="109"/>
      <c r="E67" s="110"/>
      <c r="F67" s="74" t="s">
        <v>6</v>
      </c>
      <c r="G67" s="74" t="s">
        <v>58</v>
      </c>
      <c r="H67" s="74" t="s">
        <v>59</v>
      </c>
      <c r="I67" s="74" t="s">
        <v>75</v>
      </c>
      <c r="J67" s="67" t="s">
        <v>70</v>
      </c>
      <c r="K67" s="49" t="s">
        <v>71</v>
      </c>
      <c r="L67" s="23"/>
      <c r="M67" s="23"/>
    </row>
    <row r="68" spans="1:13" s="77" customFormat="1" ht="36.75" customHeight="1" x14ac:dyDescent="0.25">
      <c r="A68" s="108" t="s">
        <v>20</v>
      </c>
      <c r="B68" s="109"/>
      <c r="C68" s="109"/>
      <c r="D68" s="109"/>
      <c r="E68" s="110"/>
      <c r="F68" s="24" t="s">
        <v>21</v>
      </c>
      <c r="G68" s="50">
        <v>1.6</v>
      </c>
      <c r="H68" s="3">
        <f>'Услуга №1  '!H63</f>
        <v>512.5</v>
      </c>
      <c r="I68" s="3">
        <f>G68*H68*12</f>
        <v>9840</v>
      </c>
      <c r="J68" s="68">
        <f>J63</f>
        <v>168389</v>
      </c>
      <c r="K68" s="3">
        <f>I68/J68</f>
        <v>5.8436121124301466E-2</v>
      </c>
      <c r="L68" s="22"/>
      <c r="M68" s="18"/>
    </row>
    <row r="69" spans="1:13" s="77" customFormat="1" ht="30" x14ac:dyDescent="0.25">
      <c r="A69" s="108" t="s">
        <v>83</v>
      </c>
      <c r="B69" s="109"/>
      <c r="C69" s="109"/>
      <c r="D69" s="109"/>
      <c r="E69" s="110"/>
      <c r="F69" s="24" t="s">
        <v>84</v>
      </c>
      <c r="G69" s="50">
        <v>1.4</v>
      </c>
      <c r="H69" s="3">
        <f>'Услуга №1  '!H64</f>
        <v>1500</v>
      </c>
      <c r="I69" s="3">
        <f>G69*H69*12</f>
        <v>25200</v>
      </c>
      <c r="J69" s="68">
        <f>J68</f>
        <v>168389</v>
      </c>
      <c r="K69" s="3">
        <f>I69/J69</f>
        <v>0.14965348092808914</v>
      </c>
      <c r="L69" s="22"/>
      <c r="M69" s="18"/>
    </row>
    <row r="70" spans="1:13" s="77" customFormat="1" x14ac:dyDescent="0.25">
      <c r="A70" s="114" t="s">
        <v>22</v>
      </c>
      <c r="B70" s="115"/>
      <c r="C70" s="115"/>
      <c r="D70" s="115"/>
      <c r="E70" s="115"/>
      <c r="F70" s="115"/>
      <c r="G70" s="115"/>
      <c r="H70" s="118"/>
      <c r="I70" s="63">
        <f t="shared" ref="I70" si="9">SUM(I68:I69)</f>
        <v>35040</v>
      </c>
      <c r="J70" s="64"/>
      <c r="K70" s="64">
        <f>SUM(K68:K69)</f>
        <v>0.2080896020523906</v>
      </c>
      <c r="L70" s="69"/>
      <c r="M70" s="18"/>
    </row>
    <row r="71" spans="1:13" x14ac:dyDescent="0.25">
      <c r="A71" s="77"/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</row>
    <row r="72" spans="1:13" x14ac:dyDescent="0.25">
      <c r="A72" s="103" t="s">
        <v>39</v>
      </c>
      <c r="B72" s="103"/>
      <c r="C72" s="103"/>
      <c r="D72" s="103"/>
      <c r="E72" s="103"/>
      <c r="F72" s="103"/>
      <c r="G72" s="103"/>
      <c r="H72" s="103"/>
      <c r="I72" s="103"/>
      <c r="J72" s="103"/>
      <c r="K72" s="103"/>
      <c r="L72" s="103"/>
      <c r="M72" s="103"/>
    </row>
    <row r="73" spans="1:13" ht="11.25" customHeight="1" x14ac:dyDescent="0.25">
      <c r="A73" s="7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</row>
    <row r="74" spans="1:13" ht="75" x14ac:dyDescent="0.25">
      <c r="A74" s="108" t="s">
        <v>4</v>
      </c>
      <c r="B74" s="109"/>
      <c r="C74" s="109"/>
      <c r="D74" s="109"/>
      <c r="E74" s="110"/>
      <c r="F74" s="74" t="s">
        <v>5</v>
      </c>
      <c r="G74" s="74" t="s">
        <v>1</v>
      </c>
      <c r="H74" s="74" t="s">
        <v>68</v>
      </c>
      <c r="I74" s="74" t="s">
        <v>69</v>
      </c>
      <c r="J74" s="74" t="s">
        <v>70</v>
      </c>
      <c r="K74" s="49" t="s">
        <v>71</v>
      </c>
      <c r="L74" s="2"/>
      <c r="M74" s="77"/>
    </row>
    <row r="75" spans="1:13" x14ac:dyDescent="0.25">
      <c r="A75" s="98" t="s">
        <v>42</v>
      </c>
      <c r="B75" s="98"/>
      <c r="C75" s="98"/>
      <c r="D75" s="98"/>
      <c r="E75" s="98"/>
      <c r="F75" s="28">
        <f>'Услуга №1  '!F71</f>
        <v>33509.769999999997</v>
      </c>
      <c r="G75" s="50">
        <v>0.2</v>
      </c>
      <c r="H75" s="17">
        <f>F75*G75*12</f>
        <v>80423.448000000004</v>
      </c>
      <c r="I75" s="3">
        <f>H75*1.302+42524.03</f>
        <v>147235.35929600001</v>
      </c>
      <c r="J75" s="38">
        <f>J29</f>
        <v>168389</v>
      </c>
      <c r="K75" s="3">
        <f>I75/J75</f>
        <v>0.87437635056921781</v>
      </c>
      <c r="L75" s="3"/>
      <c r="M75" s="77"/>
    </row>
    <row r="76" spans="1:13" x14ac:dyDescent="0.25">
      <c r="A76" s="98" t="s">
        <v>48</v>
      </c>
      <c r="B76" s="98"/>
      <c r="C76" s="98"/>
      <c r="D76" s="98"/>
      <c r="E76" s="98"/>
      <c r="F76" s="28">
        <f>'Услуга №1  '!F72</f>
        <v>27305.33</v>
      </c>
      <c r="G76" s="50">
        <v>0.2</v>
      </c>
      <c r="H76" s="17">
        <f>F76*G76*12</f>
        <v>65532.792000000009</v>
      </c>
      <c r="I76" s="3">
        <f>H76*1.302+42524.03</f>
        <v>127847.72518400001</v>
      </c>
      <c r="J76" s="38">
        <f>J75</f>
        <v>168389</v>
      </c>
      <c r="K76" s="3">
        <f>I76/J76</f>
        <v>0.75924036121124305</v>
      </c>
      <c r="L76" s="3"/>
      <c r="M76" s="77"/>
    </row>
    <row r="77" spans="1:13" ht="18.75" customHeight="1" x14ac:dyDescent="0.25">
      <c r="A77" s="95" t="s">
        <v>23</v>
      </c>
      <c r="B77" s="96"/>
      <c r="C77" s="96"/>
      <c r="D77" s="96"/>
      <c r="E77" s="96"/>
      <c r="F77" s="96"/>
      <c r="G77" s="96"/>
      <c r="H77" s="97"/>
      <c r="I77" s="51">
        <f t="shared" ref="I77" si="10">SUM(I75:I76)</f>
        <v>275083.08448000002</v>
      </c>
      <c r="J77" s="51"/>
      <c r="K77" s="51">
        <f>SUM(K75:K76)</f>
        <v>1.6336167117804608</v>
      </c>
      <c r="L77" s="26"/>
      <c r="M77" s="77"/>
    </row>
    <row r="78" spans="1:13" x14ac:dyDescent="0.25">
      <c r="A78" s="27"/>
      <c r="B78" s="27"/>
      <c r="C78" s="27"/>
      <c r="D78" s="27"/>
      <c r="E78" s="27"/>
      <c r="F78" s="77"/>
      <c r="G78" s="77"/>
      <c r="H78" s="77"/>
      <c r="I78" s="77"/>
      <c r="J78" s="77"/>
      <c r="K78" s="77"/>
      <c r="L78" s="77"/>
      <c r="M78" s="77"/>
    </row>
    <row r="79" spans="1:13" x14ac:dyDescent="0.25">
      <c r="A79" s="116" t="s">
        <v>85</v>
      </c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7"/>
      <c r="M79" s="77"/>
    </row>
    <row r="80" spans="1:13" ht="45" x14ac:dyDescent="0.25">
      <c r="A80" s="124" t="s">
        <v>87</v>
      </c>
      <c r="B80" s="124"/>
      <c r="C80" s="124"/>
      <c r="D80" s="124"/>
      <c r="E80" s="124"/>
      <c r="F80" s="74" t="s">
        <v>6</v>
      </c>
      <c r="G80" s="74" t="s">
        <v>58</v>
      </c>
      <c r="H80" s="74" t="s">
        <v>59</v>
      </c>
      <c r="I80" s="74" t="s">
        <v>75</v>
      </c>
      <c r="J80" s="74" t="s">
        <v>70</v>
      </c>
      <c r="K80" s="55" t="s">
        <v>71</v>
      </c>
      <c r="L80" s="57"/>
      <c r="M80" s="77"/>
    </row>
    <row r="81" spans="1:13" ht="30" customHeight="1" x14ac:dyDescent="0.25">
      <c r="A81" s="113" t="s">
        <v>107</v>
      </c>
      <c r="B81" s="105"/>
      <c r="C81" s="105"/>
      <c r="D81" s="105"/>
      <c r="E81" s="106"/>
      <c r="F81" s="1" t="s">
        <v>24</v>
      </c>
      <c r="G81" s="50">
        <v>0.2</v>
      </c>
      <c r="H81" s="17">
        <f>'Услуга №1  '!H77</f>
        <v>4000</v>
      </c>
      <c r="I81" s="20">
        <f>G81*H81</f>
        <v>800</v>
      </c>
      <c r="J81" s="38">
        <f>J76</f>
        <v>168389</v>
      </c>
      <c r="K81" s="147">
        <f>I81/J81</f>
        <v>4.7509041564472738E-3</v>
      </c>
      <c r="L81" s="58"/>
      <c r="M81" s="77"/>
    </row>
    <row r="82" spans="1:13" x14ac:dyDescent="0.25">
      <c r="A82" s="98" t="s">
        <v>88</v>
      </c>
      <c r="B82" s="98"/>
      <c r="C82" s="98"/>
      <c r="D82" s="98"/>
      <c r="E82" s="98"/>
      <c r="F82" s="1" t="s">
        <v>24</v>
      </c>
      <c r="G82" s="50">
        <v>0.2</v>
      </c>
      <c r="H82" s="17">
        <f>'Услуга №1  '!H78</f>
        <v>20280</v>
      </c>
      <c r="I82" s="20">
        <f>G82*H82</f>
        <v>4056</v>
      </c>
      <c r="J82" s="38">
        <f>J81</f>
        <v>168389</v>
      </c>
      <c r="K82" s="75">
        <f>I82/J82</f>
        <v>2.408708407318768E-2</v>
      </c>
      <c r="L82" s="58"/>
      <c r="M82" s="77"/>
    </row>
    <row r="83" spans="1:13" x14ac:dyDescent="0.25">
      <c r="A83" s="98" t="s">
        <v>108</v>
      </c>
      <c r="B83" s="98"/>
      <c r="C83" s="98"/>
      <c r="D83" s="98"/>
      <c r="E83" s="98"/>
      <c r="F83" s="1" t="s">
        <v>24</v>
      </c>
      <c r="G83" s="50">
        <v>0.2</v>
      </c>
      <c r="H83" s="17">
        <v>21552</v>
      </c>
      <c r="I83" s="16">
        <f>G83*H83</f>
        <v>4310.4000000000005</v>
      </c>
      <c r="J83" s="38">
        <f>J82</f>
        <v>168389</v>
      </c>
      <c r="K83" s="90">
        <f>I83/J83</f>
        <v>2.5597871594937916E-2</v>
      </c>
      <c r="L83" s="58"/>
      <c r="M83" s="89"/>
    </row>
    <row r="84" spans="1:13" x14ac:dyDescent="0.25">
      <c r="A84" s="114" t="s">
        <v>86</v>
      </c>
      <c r="B84" s="115"/>
      <c r="C84" s="115"/>
      <c r="D84" s="115"/>
      <c r="E84" s="115"/>
      <c r="F84" s="115"/>
      <c r="G84" s="115"/>
      <c r="H84" s="115"/>
      <c r="I84" s="63">
        <f>SUM(I81:I83)</f>
        <v>9166.4000000000015</v>
      </c>
      <c r="J84" s="64"/>
      <c r="K84" s="64">
        <f>SUM(K81:K83)</f>
        <v>5.4435859824572871E-2</v>
      </c>
      <c r="L84" s="58"/>
      <c r="M84" s="77"/>
    </row>
    <row r="85" spans="1:13" x14ac:dyDescent="0.25">
      <c r="A85" s="46"/>
      <c r="B85" s="46"/>
      <c r="C85" s="46"/>
      <c r="D85" s="46"/>
      <c r="E85" s="46"/>
      <c r="F85" s="46"/>
      <c r="G85" s="46"/>
      <c r="H85" s="27"/>
      <c r="I85" s="27"/>
      <c r="J85" s="27"/>
      <c r="K85" s="27"/>
      <c r="L85" s="34"/>
      <c r="M85" s="77"/>
    </row>
    <row r="86" spans="1:13" x14ac:dyDescent="0.25">
      <c r="A86" s="116" t="s">
        <v>25</v>
      </c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77"/>
    </row>
    <row r="87" spans="1:13" x14ac:dyDescent="0.25">
      <c r="A87" s="107" t="s">
        <v>26</v>
      </c>
      <c r="B87" s="107"/>
      <c r="C87" s="107"/>
      <c r="D87" s="108" t="s">
        <v>27</v>
      </c>
      <c r="E87" s="109"/>
      <c r="F87" s="109"/>
      <c r="G87" s="109"/>
      <c r="H87" s="109"/>
      <c r="I87" s="109"/>
      <c r="J87" s="110"/>
      <c r="K87" s="107" t="s">
        <v>38</v>
      </c>
      <c r="L87" s="107"/>
      <c r="M87" s="77"/>
    </row>
    <row r="88" spans="1:13" ht="30" x14ac:dyDescent="0.25">
      <c r="A88" s="1" t="s">
        <v>28</v>
      </c>
      <c r="B88" s="2" t="s">
        <v>29</v>
      </c>
      <c r="C88" s="1" t="s">
        <v>30</v>
      </c>
      <c r="D88" s="1" t="s">
        <v>31</v>
      </c>
      <c r="E88" s="1" t="s">
        <v>32</v>
      </c>
      <c r="F88" s="1" t="s">
        <v>33</v>
      </c>
      <c r="G88" s="1" t="s">
        <v>34</v>
      </c>
      <c r="H88" s="1" t="s">
        <v>35</v>
      </c>
      <c r="I88" s="1" t="s">
        <v>36</v>
      </c>
      <c r="J88" s="1" t="s">
        <v>37</v>
      </c>
      <c r="K88" s="107"/>
      <c r="L88" s="107"/>
      <c r="M88" s="77"/>
    </row>
    <row r="89" spans="1:13" x14ac:dyDescent="0.25">
      <c r="A89" s="3">
        <f>K33</f>
        <v>15.22983874836955</v>
      </c>
      <c r="B89" s="3">
        <f>K46</f>
        <v>0.75420603483600468</v>
      </c>
      <c r="C89" s="3"/>
      <c r="D89" s="3">
        <f>K41</f>
        <v>1.6291154410323714</v>
      </c>
      <c r="E89" s="3">
        <f>K57</f>
        <v>0.80388000403826854</v>
      </c>
      <c r="F89" s="3"/>
      <c r="G89" s="3">
        <f>K70</f>
        <v>0.2080896020523906</v>
      </c>
      <c r="H89" s="1"/>
      <c r="I89" s="3">
        <f>K77</f>
        <v>1.6336167117804608</v>
      </c>
      <c r="J89" s="3">
        <f>K64+K84</f>
        <v>1.0501512569110809</v>
      </c>
      <c r="K89" s="111">
        <f>SUM(A89:J89)</f>
        <v>21.30889779902013</v>
      </c>
      <c r="L89" s="112"/>
      <c r="M89" s="77"/>
    </row>
    <row r="90" spans="1:13" ht="30" customHeight="1" x14ac:dyDescent="0.25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</row>
    <row r="91" spans="1:13" x14ac:dyDescent="0.25">
      <c r="A91" s="30" t="s">
        <v>49</v>
      </c>
      <c r="B91" s="29"/>
      <c r="C91" s="30"/>
      <c r="D91" s="30"/>
      <c r="E91" s="30"/>
      <c r="F91" s="30" t="s">
        <v>50</v>
      </c>
      <c r="G91" s="29"/>
      <c r="H91" s="29"/>
      <c r="I91" s="70">
        <f>I84+I77+I70+I64+I57+I41+I33+I46</f>
        <v>3588183.9914792003</v>
      </c>
      <c r="J91" s="29"/>
      <c r="K91" s="70">
        <f>K89*J82</f>
        <v>3588183.9914792008</v>
      </c>
      <c r="L91" s="29"/>
      <c r="M91" s="29"/>
    </row>
    <row r="92" spans="1:13" x14ac:dyDescent="0.25">
      <c r="A92" s="10"/>
      <c r="B92" s="6"/>
      <c r="C92" s="11"/>
    </row>
    <row r="93" spans="1:13" x14ac:dyDescent="0.25">
      <c r="A93" s="5"/>
      <c r="I93" s="54"/>
      <c r="K93" s="54"/>
    </row>
    <row r="95" spans="1:13" x14ac:dyDescent="0.25">
      <c r="A95" s="30" t="str">
        <f>'Работа №1'!A91</f>
        <v>Курлович Анастасия Вячеславовна</v>
      </c>
      <c r="B95" s="31"/>
      <c r="C95" s="29"/>
      <c r="D95" s="30"/>
      <c r="E95" s="30"/>
      <c r="F95" s="30"/>
      <c r="G95" s="29"/>
      <c r="H95" s="29"/>
      <c r="I95" s="62"/>
      <c r="J95" s="29"/>
      <c r="K95" s="29"/>
      <c r="L95" s="29"/>
      <c r="M95" s="29"/>
    </row>
    <row r="96" spans="1:13" x14ac:dyDescent="0.25">
      <c r="A96" s="30" t="s">
        <v>51</v>
      </c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</row>
    <row r="97" spans="8:11" hidden="1" x14ac:dyDescent="0.25">
      <c r="H97" s="12">
        <v>211</v>
      </c>
      <c r="I97" s="54">
        <f>I33+I77</f>
        <v>2839620.4014792005</v>
      </c>
      <c r="K97" s="12">
        <f>(K33+K77)*188400</f>
        <v>3177075.0086922622</v>
      </c>
    </row>
    <row r="98" spans="8:11" hidden="1" x14ac:dyDescent="0.25">
      <c r="H98" s="12">
        <v>223</v>
      </c>
      <c r="I98" s="54">
        <f>I41</f>
        <v>274325.12</v>
      </c>
      <c r="K98" s="12">
        <f>K41*188400</f>
        <v>306925.34909049876</v>
      </c>
    </row>
    <row r="99" spans="8:11" hidden="1" x14ac:dyDescent="0.25">
      <c r="H99" s="12">
        <v>225</v>
      </c>
      <c r="I99" s="54">
        <f>I57</f>
        <v>135364.54999999999</v>
      </c>
      <c r="K99" s="12">
        <f>K57*188400</f>
        <v>151450.99276080978</v>
      </c>
    </row>
    <row r="100" spans="8:11" hidden="1" x14ac:dyDescent="0.25">
      <c r="H100" s="12">
        <v>226</v>
      </c>
      <c r="I100" s="54">
        <f>I64</f>
        <v>167667.51999999999</v>
      </c>
      <c r="K100" s="12">
        <f>K64*188400</f>
        <v>187592.78081109811</v>
      </c>
    </row>
    <row r="101" spans="8:11" hidden="1" x14ac:dyDescent="0.25">
      <c r="H101" s="12">
        <v>221</v>
      </c>
      <c r="I101" s="54">
        <f>I70</f>
        <v>35040</v>
      </c>
      <c r="K101" s="12">
        <f>K70*188400</f>
        <v>39204.081026670392</v>
      </c>
    </row>
    <row r="102" spans="8:11" hidden="1" x14ac:dyDescent="0.25">
      <c r="H102" s="86" t="s">
        <v>100</v>
      </c>
      <c r="I102" s="54">
        <f>I84</f>
        <v>9166.4000000000015</v>
      </c>
      <c r="K102" s="12">
        <f>K84*188400</f>
        <v>10255.715990949529</v>
      </c>
    </row>
    <row r="103" spans="8:11" hidden="1" x14ac:dyDescent="0.25">
      <c r="H103" s="12">
        <v>310</v>
      </c>
      <c r="I103" s="54">
        <f>I46</f>
        <v>127000</v>
      </c>
      <c r="K103" s="12">
        <f>K46*188400</f>
        <v>142092.41696310329</v>
      </c>
    </row>
    <row r="104" spans="8:11" hidden="1" x14ac:dyDescent="0.25"/>
  </sheetData>
  <mergeCells count="86">
    <mergeCell ref="A16:E16"/>
    <mergeCell ref="G16:K16"/>
    <mergeCell ref="A17:E17"/>
    <mergeCell ref="A8:L8"/>
    <mergeCell ref="A9:L9"/>
    <mergeCell ref="A14:E14"/>
    <mergeCell ref="G14:K14"/>
    <mergeCell ref="A15:E15"/>
    <mergeCell ref="G15:K15"/>
    <mergeCell ref="G17:K17"/>
    <mergeCell ref="A10:M10"/>
    <mergeCell ref="A7:L7"/>
    <mergeCell ref="A1:D1"/>
    <mergeCell ref="A2:F2"/>
    <mergeCell ref="A3:E3"/>
    <mergeCell ref="A5:E5"/>
    <mergeCell ref="A6:C6"/>
    <mergeCell ref="A18:E18"/>
    <mergeCell ref="G18:K18"/>
    <mergeCell ref="A37:E37"/>
    <mergeCell ref="A22:E22"/>
    <mergeCell ref="G22:K22"/>
    <mergeCell ref="A19:E19"/>
    <mergeCell ref="G19:K19"/>
    <mergeCell ref="A20:E20"/>
    <mergeCell ref="G20:K20"/>
    <mergeCell ref="A21:E21"/>
    <mergeCell ref="G21:K21"/>
    <mergeCell ref="A30:E30"/>
    <mergeCell ref="A31:E31"/>
    <mergeCell ref="A32:E32"/>
    <mergeCell ref="A23:E23"/>
    <mergeCell ref="G23:K23"/>
    <mergeCell ref="A38:E38"/>
    <mergeCell ref="A39:E39"/>
    <mergeCell ref="A40:E40"/>
    <mergeCell ref="A49:E49"/>
    <mergeCell ref="A46:H46"/>
    <mergeCell ref="A44:E44"/>
    <mergeCell ref="A33:H33"/>
    <mergeCell ref="A77:H77"/>
    <mergeCell ref="A62:E62"/>
    <mergeCell ref="A35:L35"/>
    <mergeCell ref="A36:E36"/>
    <mergeCell ref="A61:E61"/>
    <mergeCell ref="A76:E76"/>
    <mergeCell ref="A74:E74"/>
    <mergeCell ref="A41:H41"/>
    <mergeCell ref="A43:L43"/>
    <mergeCell ref="A51:E51"/>
    <mergeCell ref="A52:E52"/>
    <mergeCell ref="A45:E45"/>
    <mergeCell ref="A59:L59"/>
    <mergeCell ref="A57:H57"/>
    <mergeCell ref="A25:G25"/>
    <mergeCell ref="A26:E26"/>
    <mergeCell ref="A27:E27"/>
    <mergeCell ref="A28:E28"/>
    <mergeCell ref="A29:E29"/>
    <mergeCell ref="A50:E50"/>
    <mergeCell ref="A48:L48"/>
    <mergeCell ref="A84:H84"/>
    <mergeCell ref="A80:E80"/>
    <mergeCell ref="A81:E81"/>
    <mergeCell ref="A82:E82"/>
    <mergeCell ref="A75:E75"/>
    <mergeCell ref="A79:L79"/>
    <mergeCell ref="A56:E56"/>
    <mergeCell ref="A68:E68"/>
    <mergeCell ref="A69:E69"/>
    <mergeCell ref="A72:M72"/>
    <mergeCell ref="A60:E60"/>
    <mergeCell ref="A66:L66"/>
    <mergeCell ref="A83:E83"/>
    <mergeCell ref="D87:J87"/>
    <mergeCell ref="K87:L88"/>
    <mergeCell ref="K89:L89"/>
    <mergeCell ref="A53:E53"/>
    <mergeCell ref="A54:E54"/>
    <mergeCell ref="A55:E55"/>
    <mergeCell ref="A86:L86"/>
    <mergeCell ref="A87:C87"/>
    <mergeCell ref="A64:H64"/>
    <mergeCell ref="A67:E67"/>
    <mergeCell ref="A70:H70"/>
    <mergeCell ref="A63:E63"/>
  </mergeCells>
  <printOptions horizontalCentered="1"/>
  <pageMargins left="0" right="0" top="0" bottom="0" header="0" footer="0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СВОД</vt:lpstr>
      <vt:lpstr>Услуга №1  </vt:lpstr>
      <vt:lpstr>Работа №1</vt:lpstr>
      <vt:lpstr>Работа №2</vt:lpstr>
      <vt:lpstr>'Работа №1'!Область_печати</vt:lpstr>
      <vt:lpstr>'Услуга №1 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2019-01-22T08:11:16Z</dcterms:modified>
</cp:coreProperties>
</file>