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4"/>
  </bookViews>
  <sheets>
    <sheet name="СВОД" sheetId="8" r:id="rId1"/>
    <sheet name="Услуга №1 " sheetId="4" r:id="rId2"/>
    <sheet name="Работа №1" sheetId="5" r:id="rId3"/>
    <sheet name="Работа №2" sheetId="6" r:id="rId4"/>
    <sheet name="Работа №3" sheetId="7" r:id="rId5"/>
  </sheets>
  <definedNames>
    <definedName name="_xlnm.Print_Area" localSheetId="2">'Работа №1'!$A$1:$L$99</definedName>
    <definedName name="_xlnm.Print_Area" localSheetId="3">'Работа №2'!$A$1:$L$99</definedName>
    <definedName name="_xlnm.Print_Area" localSheetId="4">'Работа №3'!$A$1:$L$93</definedName>
    <definedName name="_xlnm.Print_Area" localSheetId="1">'Услуга №1 '!$A$1:$L$101</definedName>
  </definedNames>
  <calcPr calcId="162913"/>
</workbook>
</file>

<file path=xl/calcChain.xml><?xml version="1.0" encoding="utf-8"?>
<calcChain xmlns="http://schemas.openxmlformats.org/spreadsheetml/2006/main">
  <c r="L98" i="4" l="1"/>
  <c r="K95" i="4"/>
  <c r="J95" i="4"/>
  <c r="I95" i="4"/>
  <c r="G95" i="4"/>
  <c r="E95" i="4"/>
  <c r="I98" i="4"/>
  <c r="I46" i="4"/>
  <c r="I70" i="7"/>
  <c r="I71" i="7"/>
  <c r="I72" i="7"/>
  <c r="I73" i="7"/>
  <c r="I74" i="7"/>
  <c r="I75" i="7"/>
  <c r="I76" i="7"/>
  <c r="I69" i="7"/>
  <c r="I31" i="7"/>
  <c r="I32" i="7"/>
  <c r="I33" i="7"/>
  <c r="I30" i="7"/>
  <c r="I80" i="6"/>
  <c r="I81" i="6"/>
  <c r="I79" i="6"/>
  <c r="I36" i="6"/>
  <c r="I37" i="6"/>
  <c r="I38" i="6"/>
  <c r="I39" i="6"/>
  <c r="I40" i="6"/>
  <c r="I41" i="6"/>
  <c r="I42" i="6"/>
  <c r="I43" i="6"/>
  <c r="I35" i="6"/>
  <c r="I80" i="5"/>
  <c r="I81" i="5"/>
  <c r="I79" i="5"/>
  <c r="I35" i="5"/>
  <c r="I36" i="5"/>
  <c r="I37" i="5"/>
  <c r="I38" i="5"/>
  <c r="I39" i="5"/>
  <c r="I40" i="5"/>
  <c r="I41" i="5"/>
  <c r="I42" i="5"/>
  <c r="I34" i="5"/>
  <c r="I37" i="4"/>
  <c r="I38" i="4"/>
  <c r="I83" i="4"/>
  <c r="I82" i="4"/>
  <c r="I45" i="4"/>
  <c r="I44" i="4"/>
  <c r="I43" i="4"/>
  <c r="I42" i="4"/>
  <c r="I41" i="4"/>
  <c r="I40" i="4"/>
  <c r="I39" i="4"/>
  <c r="J82" i="4" l="1"/>
  <c r="I51" i="7" l="1"/>
  <c r="I61" i="6"/>
  <c r="I61" i="5"/>
  <c r="I64" i="4"/>
  <c r="L52" i="7"/>
  <c r="I52" i="6"/>
  <c r="I56" i="4"/>
  <c r="I54" i="4"/>
  <c r="I55" i="4"/>
  <c r="I40" i="7"/>
  <c r="L43" i="7"/>
  <c r="I50" i="5"/>
  <c r="I50" i="6"/>
  <c r="A92" i="7" l="1"/>
  <c r="A98" i="6"/>
  <c r="A98" i="5"/>
  <c r="I62" i="4" l="1"/>
  <c r="I61" i="4"/>
  <c r="I88" i="4"/>
  <c r="J30" i="7" l="1"/>
  <c r="J31" i="7" s="1"/>
  <c r="J32" i="7" s="1"/>
  <c r="J33" i="7" s="1"/>
  <c r="J42" i="5" l="1"/>
  <c r="J41" i="5"/>
  <c r="J40" i="5"/>
  <c r="J39" i="5"/>
  <c r="J38" i="5"/>
  <c r="J37" i="5"/>
  <c r="J36" i="5"/>
  <c r="J35" i="5"/>
  <c r="J34" i="5"/>
  <c r="F33" i="7" l="1"/>
  <c r="F73" i="7"/>
  <c r="F72" i="7"/>
  <c r="F71" i="7"/>
  <c r="F70" i="7"/>
  <c r="F69" i="7"/>
  <c r="F81" i="6"/>
  <c r="F80" i="6"/>
  <c r="F79" i="6"/>
  <c r="F81" i="5"/>
  <c r="F80" i="5"/>
  <c r="F79" i="5"/>
  <c r="H81" i="7" l="1"/>
  <c r="I81" i="7" s="1"/>
  <c r="H86" i="6"/>
  <c r="I86" i="6" s="1"/>
  <c r="H86" i="5"/>
  <c r="H63" i="7"/>
  <c r="H62" i="7"/>
  <c r="H73" i="6"/>
  <c r="H72" i="6"/>
  <c r="H73" i="5"/>
  <c r="H72" i="5"/>
  <c r="H57" i="7"/>
  <c r="H56" i="7"/>
  <c r="H67" i="6"/>
  <c r="H66" i="6"/>
  <c r="H67" i="5"/>
  <c r="H66" i="5"/>
  <c r="H49" i="7"/>
  <c r="I49" i="7" s="1"/>
  <c r="H50" i="7"/>
  <c r="H59" i="6"/>
  <c r="I59" i="6" s="1"/>
  <c r="H60" i="6"/>
  <c r="H60" i="5"/>
  <c r="H59" i="5"/>
  <c r="H42" i="7"/>
  <c r="H41" i="7"/>
  <c r="H40" i="7"/>
  <c r="H39" i="7"/>
  <c r="H52" i="6"/>
  <c r="H51" i="6"/>
  <c r="H50" i="6"/>
  <c r="H49" i="6"/>
  <c r="H52" i="5"/>
  <c r="H51" i="5"/>
  <c r="H50" i="5"/>
  <c r="H49" i="5"/>
  <c r="F75" i="7"/>
  <c r="F43" i="6"/>
  <c r="F42" i="5"/>
  <c r="F76" i="7"/>
  <c r="F42" i="6"/>
  <c r="F41" i="5"/>
  <c r="F32" i="7"/>
  <c r="F41" i="6"/>
  <c r="F40" i="5"/>
  <c r="F40" i="6"/>
  <c r="F39" i="5"/>
  <c r="F39" i="6"/>
  <c r="F38" i="5"/>
  <c r="F74" i="7"/>
  <c r="F38" i="6"/>
  <c r="F37" i="5"/>
  <c r="F37" i="6"/>
  <c r="F36" i="5"/>
  <c r="F31" i="7"/>
  <c r="F36" i="6"/>
  <c r="F35" i="5"/>
  <c r="F30" i="7"/>
  <c r="F35" i="6"/>
  <c r="F34" i="5"/>
  <c r="J35" i="6" l="1"/>
  <c r="J36" i="6" s="1"/>
  <c r="J37" i="6" s="1"/>
  <c r="J39" i="6" s="1"/>
  <c r="J41" i="6" l="1"/>
  <c r="J40" i="6"/>
  <c r="J42" i="6" s="1"/>
  <c r="J43" i="6" s="1"/>
  <c r="J38" i="6"/>
  <c r="L31" i="6"/>
  <c r="I86" i="5"/>
  <c r="J88" i="4"/>
  <c r="K88" i="4" l="1"/>
  <c r="K89" i="4" s="1"/>
  <c r="I113" i="4" s="1"/>
  <c r="I82" i="7"/>
  <c r="I87" i="6"/>
  <c r="I87" i="5"/>
  <c r="I89" i="4"/>
  <c r="H79" i="6"/>
  <c r="J79" i="6"/>
  <c r="I63" i="7"/>
  <c r="I62" i="7"/>
  <c r="I73" i="6"/>
  <c r="I72" i="6"/>
  <c r="I73" i="5"/>
  <c r="I72" i="5"/>
  <c r="I76" i="4"/>
  <c r="I75" i="4"/>
  <c r="I67" i="5"/>
  <c r="I57" i="7"/>
  <c r="I67" i="6"/>
  <c r="I70" i="4"/>
  <c r="I69" i="4"/>
  <c r="I56" i="7"/>
  <c r="I66" i="6"/>
  <c r="I66" i="5"/>
  <c r="I48" i="7"/>
  <c r="I50" i="7"/>
  <c r="I58" i="6"/>
  <c r="I60" i="6"/>
  <c r="I58" i="5"/>
  <c r="I59" i="5"/>
  <c r="I60" i="5"/>
  <c r="I63" i="4"/>
  <c r="J39" i="7"/>
  <c r="J40" i="7" s="1"/>
  <c r="J41" i="7" s="1"/>
  <c r="J42" i="7" s="1"/>
  <c r="J48" i="7" s="1"/>
  <c r="I41" i="7"/>
  <c r="I42" i="7"/>
  <c r="I39" i="7"/>
  <c r="J49" i="6"/>
  <c r="J50" i="6" s="1"/>
  <c r="J51" i="6" s="1"/>
  <c r="J52" i="6" s="1"/>
  <c r="J58" i="6" s="1"/>
  <c r="J59" i="6" s="1"/>
  <c r="I51" i="6"/>
  <c r="I49" i="6"/>
  <c r="J49" i="5"/>
  <c r="J50" i="5" s="1"/>
  <c r="J51" i="5" s="1"/>
  <c r="J52" i="5" s="1"/>
  <c r="I51" i="5"/>
  <c r="I52" i="5"/>
  <c r="I49" i="5"/>
  <c r="J54" i="4"/>
  <c r="J55" i="4" s="1"/>
  <c r="I53" i="4"/>
  <c r="J56" i="4" l="1"/>
  <c r="J62" i="4" s="1"/>
  <c r="J61" i="4"/>
  <c r="J63" i="4" s="1"/>
  <c r="J64" i="4" s="1"/>
  <c r="J58" i="5"/>
  <c r="J59" i="5" s="1"/>
  <c r="J86" i="6"/>
  <c r="K86" i="6" s="1"/>
  <c r="K87" i="6" s="1"/>
  <c r="I108" i="6" s="1"/>
  <c r="J80" i="6"/>
  <c r="J81" i="6" s="1"/>
  <c r="K50" i="6"/>
  <c r="K49" i="6"/>
  <c r="K79" i="6"/>
  <c r="I62" i="5"/>
  <c r="I64" i="7"/>
  <c r="I74" i="5"/>
  <c r="K42" i="7"/>
  <c r="K40" i="7"/>
  <c r="I52" i="7"/>
  <c r="J60" i="6"/>
  <c r="K58" i="6"/>
  <c r="I62" i="6"/>
  <c r="I74" i="6"/>
  <c r="I77" i="4"/>
  <c r="I58" i="7"/>
  <c r="I68" i="5"/>
  <c r="I68" i="6"/>
  <c r="K53" i="4"/>
  <c r="I71" i="4"/>
  <c r="K61" i="4"/>
  <c r="K59" i="6"/>
  <c r="I65" i="4"/>
  <c r="K41" i="7"/>
  <c r="K50" i="5"/>
  <c r="K49" i="5"/>
  <c r="K56" i="4"/>
  <c r="K55" i="4"/>
  <c r="I43" i="7"/>
  <c r="I53" i="5"/>
  <c r="I53" i="6"/>
  <c r="I57" i="4"/>
  <c r="K39" i="7"/>
  <c r="K52" i="6"/>
  <c r="K51" i="6"/>
  <c r="K52" i="5"/>
  <c r="K51" i="5"/>
  <c r="K54" i="4"/>
  <c r="K59" i="5" l="1"/>
  <c r="J60" i="5"/>
  <c r="J61" i="5" s="1"/>
  <c r="K53" i="5"/>
  <c r="K58" i="5"/>
  <c r="K53" i="6"/>
  <c r="J49" i="7"/>
  <c r="K48" i="7"/>
  <c r="K43" i="7"/>
  <c r="K60" i="6"/>
  <c r="J61" i="6"/>
  <c r="K60" i="5"/>
  <c r="K62" i="4"/>
  <c r="K64" i="4"/>
  <c r="J69" i="4"/>
  <c r="K63" i="4"/>
  <c r="K57" i="4"/>
  <c r="D95" i="4" l="1"/>
  <c r="I109" i="4"/>
  <c r="D93" i="6"/>
  <c r="I104" i="6"/>
  <c r="D88" i="7"/>
  <c r="I99" i="7"/>
  <c r="D93" i="5"/>
  <c r="I106" i="5"/>
  <c r="J50" i="7"/>
  <c r="K49" i="7"/>
  <c r="J66" i="6"/>
  <c r="K61" i="6"/>
  <c r="K62" i="6" s="1"/>
  <c r="K61" i="5"/>
  <c r="K62" i="5" s="1"/>
  <c r="J66" i="5"/>
  <c r="K65" i="4"/>
  <c r="J70" i="4"/>
  <c r="K69" i="4"/>
  <c r="I111" i="4" l="1"/>
  <c r="E93" i="5"/>
  <c r="I108" i="5"/>
  <c r="E93" i="6"/>
  <c r="I106" i="6"/>
  <c r="A7" i="8"/>
  <c r="J51" i="7"/>
  <c r="K50" i="7"/>
  <c r="J67" i="6"/>
  <c r="K66" i="6"/>
  <c r="K70" i="4"/>
  <c r="J75" i="4"/>
  <c r="J67" i="5"/>
  <c r="K66" i="5"/>
  <c r="K71" i="4"/>
  <c r="I112" i="4" l="1"/>
  <c r="J56" i="7"/>
  <c r="K51" i="7"/>
  <c r="K52" i="7" s="1"/>
  <c r="J72" i="6"/>
  <c r="K67" i="6"/>
  <c r="K68" i="6" s="1"/>
  <c r="J76" i="4"/>
  <c r="K76" i="4" s="1"/>
  <c r="K75" i="4"/>
  <c r="J72" i="5"/>
  <c r="K67" i="5"/>
  <c r="K68" i="5" s="1"/>
  <c r="I109" i="5" l="1"/>
  <c r="J93" i="6"/>
  <c r="I107" i="6"/>
  <c r="E88" i="7"/>
  <c r="I101" i="7"/>
  <c r="A9" i="8" s="1"/>
  <c r="K77" i="4"/>
  <c r="J57" i="7"/>
  <c r="K56" i="7"/>
  <c r="J73" i="6"/>
  <c r="K73" i="6" s="1"/>
  <c r="K72" i="6"/>
  <c r="J73" i="5"/>
  <c r="K72" i="5"/>
  <c r="K73" i="5" l="1"/>
  <c r="J79" i="5"/>
  <c r="I110" i="4"/>
  <c r="K74" i="5"/>
  <c r="J62" i="7"/>
  <c r="K57" i="7"/>
  <c r="K58" i="7" s="1"/>
  <c r="I102" i="7" s="1"/>
  <c r="A10" i="8" s="1"/>
  <c r="K74" i="6"/>
  <c r="J80" i="5" l="1"/>
  <c r="J81" i="5" s="1"/>
  <c r="J86" i="5"/>
  <c r="K86" i="5" s="1"/>
  <c r="K87" i="5" s="1"/>
  <c r="J93" i="5" s="1"/>
  <c r="G93" i="5"/>
  <c r="I107" i="5"/>
  <c r="G93" i="6"/>
  <c r="I105" i="6"/>
  <c r="J63" i="7"/>
  <c r="K63" i="7" s="1"/>
  <c r="K62" i="7"/>
  <c r="I110" i="5" l="1"/>
  <c r="K64" i="7"/>
  <c r="G88" i="7" l="1"/>
  <c r="H35" i="5" l="1"/>
  <c r="H36" i="5"/>
  <c r="H37" i="5"/>
  <c r="H38" i="5"/>
  <c r="H39" i="5"/>
  <c r="H40" i="5"/>
  <c r="H41" i="5"/>
  <c r="H42" i="5"/>
  <c r="H34" i="5"/>
  <c r="H81" i="5"/>
  <c r="H79" i="5"/>
  <c r="H80" i="5"/>
  <c r="J83" i="4"/>
  <c r="H70" i="7"/>
  <c r="H71" i="7"/>
  <c r="H72" i="7"/>
  <c r="H74" i="7"/>
  <c r="J69" i="7"/>
  <c r="J70" i="7" s="1"/>
  <c r="J71" i="7" s="1"/>
  <c r="J72" i="7" s="1"/>
  <c r="J73" i="7" s="1"/>
  <c r="J74" i="7" s="1"/>
  <c r="J75" i="7" s="1"/>
  <c r="J76" i="7" s="1"/>
  <c r="H75" i="7"/>
  <c r="H69" i="7"/>
  <c r="L26" i="7"/>
  <c r="L32" i="4"/>
  <c r="K80" i="5" l="1"/>
  <c r="J81" i="7"/>
  <c r="K81" i="7" s="1"/>
  <c r="K82" i="7" s="1"/>
  <c r="I100" i="7"/>
  <c r="A8" i="8" s="1"/>
  <c r="K74" i="7"/>
  <c r="G77" i="7"/>
  <c r="H73" i="7"/>
  <c r="K70" i="7"/>
  <c r="K75" i="7"/>
  <c r="K71" i="7"/>
  <c r="K72" i="7"/>
  <c r="K69" i="7"/>
  <c r="H82" i="4"/>
  <c r="H76" i="7"/>
  <c r="K76" i="7" l="1"/>
  <c r="K73" i="7"/>
  <c r="J88" i="7"/>
  <c r="I103" i="7"/>
  <c r="A11" i="8" s="1"/>
  <c r="K82" i="4"/>
  <c r="K79" i="5"/>
  <c r="K81" i="5"/>
  <c r="K77" i="7" l="1"/>
  <c r="I88" i="7" s="1"/>
  <c r="I77" i="7"/>
  <c r="I82" i="5"/>
  <c r="K82" i="5"/>
  <c r="I93" i="5" s="1"/>
  <c r="H37" i="4" l="1"/>
  <c r="H38" i="4"/>
  <c r="H39" i="4"/>
  <c r="H40" i="4"/>
  <c r="H41" i="4"/>
  <c r="H42" i="4"/>
  <c r="H43" i="4"/>
  <c r="H44" i="4"/>
  <c r="H45" i="4"/>
  <c r="H46" i="4"/>
  <c r="K34" i="5"/>
  <c r="K35" i="5"/>
  <c r="K36" i="5"/>
  <c r="K37" i="5"/>
  <c r="K38" i="5"/>
  <c r="K39" i="5"/>
  <c r="K40" i="5"/>
  <c r="K41" i="5"/>
  <c r="K45" i="4" l="1"/>
  <c r="K38" i="4"/>
  <c r="K37" i="4"/>
  <c r="K46" i="4"/>
  <c r="K44" i="4"/>
  <c r="K39" i="4"/>
  <c r="K40" i="4"/>
  <c r="K41" i="4"/>
  <c r="K42" i="4"/>
  <c r="K43" i="4"/>
  <c r="I43" i="5"/>
  <c r="I96" i="5" s="1"/>
  <c r="K42" i="5"/>
  <c r="K43" i="5" s="1"/>
  <c r="H31" i="7"/>
  <c r="H32" i="7"/>
  <c r="H33" i="7"/>
  <c r="H30" i="7"/>
  <c r="H36" i="6"/>
  <c r="H37" i="6"/>
  <c r="H38" i="6"/>
  <c r="H39" i="6"/>
  <c r="H40" i="6"/>
  <c r="H80" i="6"/>
  <c r="H41" i="6"/>
  <c r="H42" i="6"/>
  <c r="H81" i="6"/>
  <c r="H43" i="6"/>
  <c r="H35" i="6"/>
  <c r="K81" i="6" l="1"/>
  <c r="K33" i="7"/>
  <c r="K36" i="6"/>
  <c r="K31" i="7"/>
  <c r="K35" i="6"/>
  <c r="K43" i="6"/>
  <c r="K41" i="6"/>
  <c r="K32" i="7"/>
  <c r="K37" i="6"/>
  <c r="K42" i="6"/>
  <c r="K38" i="6"/>
  <c r="K39" i="6"/>
  <c r="I47" i="4"/>
  <c r="K40" i="6"/>
  <c r="K47" i="4"/>
  <c r="A95" i="4" s="1"/>
  <c r="A93" i="5"/>
  <c r="K93" i="5" s="1"/>
  <c r="L96" i="5" s="1"/>
  <c r="I105" i="5"/>
  <c r="K30" i="7"/>
  <c r="K80" i="6"/>
  <c r="F31" i="6"/>
  <c r="F30" i="5"/>
  <c r="F32" i="4"/>
  <c r="I82" i="6" l="1"/>
  <c r="K34" i="7"/>
  <c r="A88" i="7" s="1"/>
  <c r="I34" i="7"/>
  <c r="I90" i="7" s="1"/>
  <c r="I44" i="6"/>
  <c r="K44" i="6"/>
  <c r="K82" i="6"/>
  <c r="I93" i="6" s="1"/>
  <c r="F88" i="7"/>
  <c r="F26" i="7"/>
  <c r="L30" i="5"/>
  <c r="I98" i="7" l="1"/>
  <c r="I95" i="6"/>
  <c r="K88" i="7"/>
  <c r="L90" i="7" s="1"/>
  <c r="A93" i="6"/>
  <c r="I103" i="6"/>
  <c r="K93" i="6"/>
  <c r="L95" i="6" s="1"/>
  <c r="H83" i="4"/>
  <c r="K83" i="4" l="1"/>
  <c r="K84" i="4" s="1"/>
  <c r="I84" i="4"/>
  <c r="A2" i="8" l="1"/>
  <c r="E4" i="8" s="1"/>
  <c r="I108" i="4"/>
  <c r="A6" i="8" s="1"/>
  <c r="B2" i="8" l="1"/>
</calcChain>
</file>

<file path=xl/sharedStrings.xml><?xml version="1.0" encoding="utf-8"?>
<sst xmlns="http://schemas.openxmlformats.org/spreadsheetml/2006/main" count="605" uniqueCount="108">
  <si>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</si>
  <si>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</si>
  <si>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</si>
  <si>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Ученый секретарь</t>
  </si>
  <si>
    <t>Заведующий выставочным залом</t>
  </si>
  <si>
    <t>Директор</t>
  </si>
  <si>
    <t>Главный хранитель фондов</t>
  </si>
  <si>
    <t>Художник-фотограф</t>
  </si>
  <si>
    <t>Заведующий сектором учета отдела фондов и научной паспортизации</t>
  </si>
  <si>
    <t>Художник-реставратор</t>
  </si>
  <si>
    <t>Смотритель музейный</t>
  </si>
  <si>
    <t>Методист музея</t>
  </si>
  <si>
    <t>Специалист экспозиционного и выставочного отдела</t>
  </si>
  <si>
    <t>Руководитель любительского объединения "Эхо Арги"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</si>
  <si>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</si>
  <si>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</si>
  <si>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</si>
  <si>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</si>
  <si>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</si>
  <si>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</si>
  <si>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</si>
  <si>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</si>
  <si>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</si>
  <si>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</si>
  <si>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кВт час.</t>
  </si>
  <si>
    <t>Гкал</t>
  </si>
  <si>
    <t>м3</t>
  </si>
  <si>
    <t>Затраты на содержание объектов недвижимого имущества</t>
  </si>
  <si>
    <t>ТО средств тревожной сигнализации</t>
  </si>
  <si>
    <t>Промывка теплосети</t>
  </si>
  <si>
    <t>ТО пожарной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</si>
  <si>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</si>
  <si>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</si>
  <si>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</si>
  <si>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</si>
  <si>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</si>
  <si>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</si>
  <si>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</si>
  <si>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</si>
  <si>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</si>
  <si>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</si>
  <si>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</si>
  <si>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</si>
  <si>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</si>
  <si>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</si>
  <si>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</si>
  <si>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</si>
  <si>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</si>
  <si>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</si>
  <si>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</si>
  <si>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</si>
  <si>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</si>
  <si>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</si>
  <si>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</si>
  <si>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</si>
  <si>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</si>
  <si>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Руководитель коллектива (народный)</t>
  </si>
  <si>
    <t>Затраты на оплату труда (с начислениями) работников, непосредственно не связанных с оказанием услуги</t>
  </si>
  <si>
    <t>Планируемое число зрителей в год:</t>
  </si>
  <si>
    <t xml:space="preserve">ИСХОДНЫЕ ДАННЫЕ И РЕЗУЛЬТАТЫ РАСЧЕТОВ  МБУК  "МВЦ"г.НАЗАРОВО </t>
  </si>
  <si>
    <t>Утверждаю</t>
  </si>
  <si>
    <t xml:space="preserve">Приказ № _____ от  _______________ </t>
  </si>
  <si>
    <t>_______________________ Н.Н.Гурулев</t>
  </si>
  <si>
    <t>Директор МБУК "МВЦ"</t>
  </si>
  <si>
    <t>Т.М.Мельникова</t>
  </si>
  <si>
    <t>8(39155) 7-45-95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</si>
  <si>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"Музейно-Выставочный центр" г.Назарово Красноярского края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</si>
  <si>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Публичный показ музейных предметов, музейных коллекций </t>
    </r>
  </si>
  <si>
    <t xml:space="preserve">Тариф (цена), рублей </t>
  </si>
  <si>
    <t xml:space="preserve">Нормативный объем </t>
  </si>
  <si>
    <t xml:space="preserve">Итого работники, непосредственно связанные с оказанием услуг </t>
  </si>
  <si>
    <t>Итого коммунальные услуги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</si>
  <si>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вне стационара, удаленно через сеть Интернет</t>
    </r>
  </si>
  <si>
    <t>Штатное расписание: 11,5 человек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</si>
  <si>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</si>
  <si>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</si>
  <si>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</si>
  <si>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</si>
  <si>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Руководитель коллектива "народный"</t>
  </si>
  <si>
    <t>СВОД рубли</t>
  </si>
  <si>
    <t>СВОД норматив</t>
  </si>
  <si>
    <t>Сумма в год</t>
  </si>
  <si>
    <t>Плата за содерж. и тек. ремонт общего имущества мнгоквартирного дома</t>
  </si>
  <si>
    <t>Затраты на прочие работы, услуги</t>
  </si>
  <si>
    <t>Реагирование на срабатывание средств тревожной сигнализации</t>
  </si>
  <si>
    <t>Обучение сотрудников</t>
  </si>
  <si>
    <t>Итого прочие работы, услуги</t>
  </si>
  <si>
    <t>Затраты на услуги связи</t>
  </si>
  <si>
    <t>Интернет</t>
  </si>
  <si>
    <t>Прочие затраты</t>
  </si>
  <si>
    <t>Планируемое число выставок в год:</t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</si>
  <si>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22000 человек</t>
    </r>
  </si>
  <si>
    <t>Планируемое число основного фонда в год:</t>
  </si>
  <si>
    <t xml:space="preserve"> БАЗОВОГО  НОРМАТИВА ЗАТРАТ НА ОКАЗАНИЕ МУНИЦИПАЛЬНЫХ УСЛУГ (РАБОТ)</t>
  </si>
  <si>
    <r>
      <t xml:space="preserve">Работа: </t>
    </r>
    <r>
      <rPr>
        <sz val="11"/>
        <color theme="1"/>
        <rFont val="Times New Roman"/>
        <family val="1"/>
        <charset val="204"/>
      </rPr>
      <t>Формирование, учет, изучение, обеспечение физического сохранения и безопасности музейных предметов, музейных коллекций.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</si>
  <si>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Осуществление экскурсионного обслуживания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</si>
  <si>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Создание экспозиций (выставок) музеев, организация выездных выставок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</si>
  <si>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Стационар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</si>
  <si>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Стационар, вне стационара</t>
    </r>
  </si>
  <si>
    <t>211+213</t>
  </si>
  <si>
    <t>Обеспечение меропрятий</t>
  </si>
  <si>
    <t>296+340</t>
  </si>
  <si>
    <t>Курлович Анастасия Вячеславовна</t>
  </si>
  <si>
    <t xml:space="preserve">НА 29.12.2018 г. </t>
  </si>
  <si>
    <t>"________"____________2019 г.</t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</si>
  <si>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45500 человек.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</si>
  <si>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43 выставки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</si>
  <si>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13800 ед. основного фонда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</si>
</sst>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0" borderId="1" xfId="0" applyFont="1" applyBorder="1"/>
    <xf numFmtId="0" fontId="3" fillId="0" borderId="0" xfId="0" applyFont="1"/>
    <xf numFmtId="0" fontId="4" fillId="0" borderId="0" xfId="0" applyFont="1" applyBorder="1" applyAlignment="1">
      <alignment horizontal="center"/>
    </xf>
    <xf numFmtId="4" fontId="4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/>
    <xf numFmtId="0" fontId="3" fillId="0" borderId="0" xfId="0" applyFont="1" applyAlignment="1"/>
    <xf numFmtId="0" fontId="1" fillId="0" borderId="0" xfId="0" applyFont="1"/>
    <xf numFmtId="0" fontId="5" fillId="0" borderId="0" xfId="0" applyFont="1"/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2" fontId="1" fillId="0" borderId="1" xfId="0" applyNumberFormat="1" applyFont="1" applyBorder="1"/>
    <xf numFmtId="0" fontId="4" fillId="0" borderId="1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2" fontId="1" fillId="0" borderId="0" xfId="0" applyNumberFormat="1" applyFont="1" applyBorder="1"/>
    <xf numFmtId="0" fontId="5" fillId="0" borderId="0" xfId="0" applyFont="1" applyAlignment="1">
      <alignment horizontal="center"/>
    </xf>
    <xf numFmtId="0" fontId="1" fillId="0" borderId="0" xfId="0" applyNumberFormat="1" applyFont="1" applyAlignment="1">
      <alignment horizontal="right"/>
    </xf>
    <xf numFmtId="0" fontId="1" fillId="0" borderId="1" xfId="0" applyFont="1" applyFill="1" applyBorder="1" applyAlignment="1">
      <alignment wrapText="1"/>
    </xf>
    <xf numFmtId="0" fontId="4" fillId="0" borderId="0" xfId="0" applyFont="1"/>
    <xf numFmtId="0" fontId="5" fillId="0" borderId="1" xfId="0" applyFont="1" applyBorder="1" applyAlignment="1"/>
    <xf numFmtId="0" fontId="1" fillId="0" borderId="1" xfId="0" applyFont="1" applyBorder="1" applyAlignment="1"/>
    <xf numFmtId="1" fontId="1" fillId="0" borderId="1" xfId="0" applyNumberFormat="1" applyFont="1" applyBorder="1"/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5" fillId="0" borderId="0" xfId="0" applyFont="1" applyBorder="1" applyAlignment="1">
      <alignment horizontal="left"/>
    </xf>
    <xf numFmtId="0" fontId="1" fillId="0" borderId="0" xfId="0" applyFont="1" applyBorder="1" applyAlignment="1"/>
    <xf numFmtId="0" fontId="5" fillId="0" borderId="0" xfId="0" applyFont="1" applyBorder="1" applyAlignment="1"/>
    <xf numFmtId="2" fontId="1" fillId="0" borderId="0" xfId="0" applyNumberFormat="1" applyFont="1" applyBorder="1" applyAlignment="1"/>
    <xf numFmtId="0" fontId="1" fillId="0" borderId="1" xfId="0" applyFont="1" applyBorder="1" applyAlignment="1">
      <alignment horizontal="center" wrapText="1"/>
    </xf>
    <xf numFmtId="2" fontId="1" fillId="0" borderId="0" xfId="0" applyNumberFormat="1" applyFont="1"/>
    <xf numFmtId="4" fontId="1" fillId="0" borderId="0" xfId="0" applyNumberFormat="1" applyFont="1"/>
    <xf numFmtId="4" fontId="0" fillId="0" borderId="0" xfId="0" applyNumberFormat="1"/>
    <xf numFmtId="0" fontId="6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5" fillId="0" borderId="0" xfId="0" applyFont="1" applyBorder="1" applyAlignment="1">
      <alignment horizontal="left" wrapText="1"/>
    </xf>
    <xf numFmtId="0" fontId="1" fillId="0" borderId="0" xfId="0" applyFont="1" applyBorder="1" applyAlignment="1">
      <alignment wrapText="1"/>
    </xf>
    <xf numFmtId="164" fontId="1" fillId="0" borderId="1" xfId="0" applyNumberFormat="1" applyFont="1" applyBorder="1"/>
    <xf numFmtId="2" fontId="5" fillId="0" borderId="1" xfId="0" applyNumberFormat="1" applyFont="1" applyBorder="1" applyAlignment="1"/>
    <xf numFmtId="4" fontId="5" fillId="0" borderId="1" xfId="0" applyNumberFormat="1" applyFont="1" applyBorder="1" applyAlignment="1"/>
    <xf numFmtId="1" fontId="1" fillId="0" borderId="2" xfId="0" applyNumberFormat="1" applyFont="1" applyBorder="1"/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0" fontId="1" fillId="0" borderId="0" xfId="0" applyFont="1" applyFill="1" applyBorder="1"/>
    <xf numFmtId="4" fontId="5" fillId="0" borderId="0" xfId="0" applyNumberFormat="1" applyFont="1" applyBorder="1" applyAlignment="1"/>
    <xf numFmtId="2" fontId="5" fillId="0" borderId="0" xfId="0" applyNumberFormat="1" applyFont="1" applyBorder="1" applyAlignment="1"/>
    <xf numFmtId="2" fontId="0" fillId="0" borderId="0" xfId="0" applyNumberFormat="1"/>
    <xf numFmtId="4" fontId="7" fillId="2" borderId="1" xfId="0" applyNumberFormat="1" applyFont="1" applyFill="1" applyBorder="1"/>
    <xf numFmtId="2" fontId="1" fillId="0" borderId="2" xfId="0" applyNumberFormat="1" applyFont="1" applyBorder="1"/>
    <xf numFmtId="4" fontId="5" fillId="0" borderId="0" xfId="0" applyNumberFormat="1" applyFont="1"/>
    <xf numFmtId="2" fontId="5" fillId="0" borderId="0" xfId="0" applyNumberFormat="1" applyFont="1" applyBorder="1"/>
    <xf numFmtId="10" fontId="1" fillId="0" borderId="0" xfId="0" applyNumberFormat="1" applyFont="1"/>
    <xf numFmtId="0" fontId="3" fillId="0" borderId="0" xfId="0" applyFont="1" applyAlignment="1">
      <alignment horizontal="left"/>
    </xf>
    <xf numFmtId="0" fontId="0" fillId="0" borderId="0" xfId="0" applyAlignment="1"/>
    <xf numFmtId="0" fontId="3" fillId="0" borderId="0" xfId="0" applyFont="1" applyAlignment="1"/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2" fontId="1" fillId="0" borderId="2" xfId="0" applyNumberFormat="1" applyFont="1" applyBorder="1"/>
    <xf numFmtId="2" fontId="1" fillId="0" borderId="4" xfId="0" applyNumberFormat="1" applyFont="1" applyBorder="1"/>
    <xf numFmtId="0" fontId="5" fillId="0" borderId="2" xfId="0" applyFont="1" applyBorder="1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4" xfId="0" applyFont="1" applyBorder="1"/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0" fontId="1" fillId="0" borderId="0" xfId="0" applyNumberFormat="1" applyFont="1" applyFill="1"/>
    <xf numFmtId="0" fontId="1" fillId="0" borderId="2" xfId="0" applyFont="1" applyFill="1" applyBorder="1" applyAlignment="1">
      <alignment horizontal="center" wrapText="1"/>
    </xf>
    <xf numFmtId="4" fontId="5" fillId="0" borderId="2" xfId="0" applyNumberFormat="1" applyFont="1" applyBorder="1" applyAlignment="1">
      <alignment horizontal="right"/>
    </xf>
    <xf numFmtId="0" fontId="1" fillId="0" borderId="9" xfId="0" applyFont="1" applyBorder="1" applyAlignment="1">
      <alignment horizontal="center" wrapText="1"/>
    </xf>
    <xf numFmtId="2" fontId="1" fillId="0" borderId="9" xfId="0" applyNumberFormat="1" applyFont="1" applyBorder="1"/>
    <xf numFmtId="0" fontId="1" fillId="0" borderId="9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workbookViewId="0">
      <selection activeCell="E21" sqref="E21"/>
    </sheetView>
  </sheetViews>
  <sheetFormatPr defaultRowHeight="15" x14ac:dyDescent="0.25"/>
  <cols>
    <col min="1" max="2" width="18.28515625" customWidth="1"/>
    <col min="5" max="5" width="11.42578125" bestFit="1" customWidth="1"/>
  </cols>
  <sheetData>
    <row r="1" spans="1:5" ht="33" customHeight="1" x14ac:dyDescent="0.25">
      <c r="A1" s="43" t="s">
        <v>79</v>
      </c>
      <c r="B1" s="43" t="s">
        <v>80</v>
      </c>
    </row>
    <row r="2" spans="1:5" ht="31.5" customHeight="1" x14ac:dyDescent="0.25">
      <c r="A2" s="44">
        <f>'Услуга №1 '!I98+'Работа №1'!I96+'Работа №2'!I95+'Работа №3'!I90</f>
        <v>5012140.9899200005</v>
      </c>
      <c r="B2" s="44">
        <f>'Услуга №1 '!L98+'Работа №1'!L96+'Работа №2'!L95+'Работа №3'!L90</f>
        <v>5012140.9899200005</v>
      </c>
    </row>
    <row r="4" spans="1:5" x14ac:dyDescent="0.25">
      <c r="A4">
        <v>212</v>
      </c>
      <c r="B4">
        <v>540</v>
      </c>
      <c r="E4" s="42">
        <f>A2+B4</f>
        <v>5012680.9899200005</v>
      </c>
    </row>
    <row r="6" spans="1:5" x14ac:dyDescent="0.25">
      <c r="A6" s="42">
        <f>'Услуга №1 '!I108+'Работа №1'!I105+'Работа №2'!I103+'Работа №3'!I98</f>
        <v>3646440.7525200001</v>
      </c>
      <c r="B6" t="s">
        <v>99</v>
      </c>
    </row>
    <row r="7" spans="1:5" x14ac:dyDescent="0.25">
      <c r="A7" s="42">
        <f>'Услуга №1 '!I109+'Работа №1'!I106+'Работа №2'!I104+'Работа №3'!I99</f>
        <v>427128.0260093023</v>
      </c>
      <c r="B7">
        <v>223</v>
      </c>
    </row>
    <row r="8" spans="1:5" x14ac:dyDescent="0.25">
      <c r="A8" s="42">
        <f>'Услуга №1 '!I110+'Работа №1'!I107+'Работа №2'!I105+'Работа №3'!I100</f>
        <v>30000</v>
      </c>
      <c r="B8">
        <v>221</v>
      </c>
    </row>
    <row r="9" spans="1:5" x14ac:dyDescent="0.25">
      <c r="A9" s="42">
        <f>'Услуга №1 '!I111+'Работа №1'!I108+'Работа №2'!I106+'Работа №3'!I101</f>
        <v>839159.18039999995</v>
      </c>
      <c r="B9">
        <v>225</v>
      </c>
    </row>
    <row r="10" spans="1:5" x14ac:dyDescent="0.25">
      <c r="A10" s="42">
        <f>'Услуга №1 '!I112+'Работа №1'!I109+'Работа №2'!I107+'Работа №3'!I102</f>
        <v>61849.159999999996</v>
      </c>
      <c r="B10">
        <v>226</v>
      </c>
    </row>
    <row r="11" spans="1:5" x14ac:dyDescent="0.25">
      <c r="A11" s="42">
        <f>'Услуга №1 '!I113+'Работа №1'!I110+'Работа №2'!I108+'Работа №3'!I103</f>
        <v>6684.4186511627904</v>
      </c>
      <c r="B11" t="s">
        <v>101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4"/>
  <sheetViews>
    <sheetView view="pageBreakPreview" topLeftCell="A10" zoomScale="60" zoomScaleNormal="90" workbookViewId="0">
      <selection activeCell="I34" sqref="I34"/>
    </sheetView>
  </sheetViews>
  <sheetFormatPr defaultRowHeight="15" x14ac:dyDescent="0.25"/>
  <cols>
    <col min="1" max="1" width="10.42578125" bestFit="1" customWidth="1"/>
    <col min="5" max="5" width="14.140625" customWidth="1"/>
    <col min="6" max="6" width="10.42578125" customWidth="1"/>
    <col min="7" max="7" width="9.7109375" customWidth="1"/>
    <col min="8" max="8" width="14" customWidth="1"/>
    <col min="9" max="9" width="13.7109375" customWidth="1"/>
    <col min="10" max="10" width="11.5703125" customWidth="1"/>
    <col min="11" max="11" width="14.140625" customWidth="1"/>
    <col min="12" max="12" width="14.7109375" customWidth="1"/>
    <col min="13" max="13" width="13.85546875" customWidth="1"/>
    <col min="14" max="14" width="11.42578125" bestFit="1" customWidth="1"/>
  </cols>
  <sheetData>
    <row r="1" spans="1:13" hidden="1" x14ac:dyDescent="0.25"/>
    <row r="2" spans="1:13" ht="15.75" x14ac:dyDescent="0.25">
      <c r="A2" s="2" t="s">
        <v>60</v>
      </c>
      <c r="B2" s="2"/>
      <c r="C2" s="3"/>
      <c r="D2" s="4"/>
    </row>
    <row r="3" spans="1:13" ht="15.75" x14ac:dyDescent="0.25">
      <c r="A3" s="5" t="s">
        <v>61</v>
      </c>
      <c r="B3" s="5"/>
      <c r="C3" s="3"/>
      <c r="D3" s="4"/>
    </row>
    <row r="4" spans="1:13" ht="6" customHeight="1" x14ac:dyDescent="0.25">
      <c r="A4" s="6"/>
      <c r="B4" s="7"/>
      <c r="C4" s="3"/>
      <c r="D4" s="4"/>
    </row>
    <row r="5" spans="1:13" ht="15.75" x14ac:dyDescent="0.25">
      <c r="A5" s="62" t="s">
        <v>62</v>
      </c>
      <c r="B5" s="62"/>
      <c r="C5" s="62"/>
      <c r="D5" s="63"/>
      <c r="E5" s="63"/>
      <c r="F5" s="63"/>
    </row>
    <row r="6" spans="1:13" ht="15.75" x14ac:dyDescent="0.25">
      <c r="A6" s="64" t="s">
        <v>104</v>
      </c>
      <c r="B6" s="64"/>
      <c r="C6" s="64"/>
      <c r="D6" s="63"/>
    </row>
    <row r="7" spans="1:13" ht="15.75" x14ac:dyDescent="0.25">
      <c r="A7" s="8"/>
      <c r="B7" s="8"/>
      <c r="C7" s="8"/>
      <c r="D7" s="2"/>
    </row>
    <row r="8" spans="1:13" hidden="1" x14ac:dyDescent="0.25"/>
    <row r="9" spans="1:13" ht="15.75" x14ac:dyDescent="0.25">
      <c r="A9" s="72" t="s">
        <v>59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1:13" ht="15.75" x14ac:dyDescent="0.25">
      <c r="A10" s="72" t="s">
        <v>93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  <row r="11" spans="1:13" ht="15.75" x14ac:dyDescent="0.25">
      <c r="A11" s="72" t="s">
        <v>103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</row>
    <row r="13" spans="1:13" s="9" customFormat="1" x14ac:dyDescent="0.25">
      <c r="A13" s="10" t="s">
        <v>66</v>
      </c>
    </row>
    <row r="14" spans="1:13" s="9" customFormat="1" x14ac:dyDescent="0.25">
      <c r="A14" s="10" t="s">
        <v>67</v>
      </c>
    </row>
    <row r="15" spans="1:13" s="9" customFormat="1" x14ac:dyDescent="0.25">
      <c r="A15" s="10" t="s">
        <v>72</v>
      </c>
    </row>
    <row r="16" spans="1:13" s="9" customFormat="1" x14ac:dyDescent="0.25">
      <c r="A16" s="10" t="s">
        <v>105</v>
      </c>
    </row>
    <row r="17" spans="1:12" x14ac:dyDescent="0.25">
      <c r="A17" s="10" t="s">
        <v>73</v>
      </c>
      <c r="B17" s="9"/>
      <c r="C17" s="9"/>
      <c r="D17" s="9"/>
      <c r="E17" s="9"/>
    </row>
    <row r="18" spans="1:12" s="9" customFormat="1" ht="33" customHeight="1" x14ac:dyDescent="0.25">
      <c r="A18" s="73" t="s">
        <v>0</v>
      </c>
      <c r="B18" s="73"/>
      <c r="C18" s="73"/>
      <c r="D18" s="73"/>
      <c r="E18" s="73"/>
      <c r="F18" s="39" t="s">
        <v>1</v>
      </c>
      <c r="G18" s="73" t="s">
        <v>2</v>
      </c>
      <c r="H18" s="73"/>
      <c r="I18" s="73"/>
      <c r="J18" s="73"/>
      <c r="K18" s="73"/>
      <c r="L18" s="1" t="s">
        <v>1</v>
      </c>
    </row>
    <row r="19" spans="1:12" s="9" customFormat="1" x14ac:dyDescent="0.25">
      <c r="A19" s="65" t="s">
        <v>6</v>
      </c>
      <c r="B19" s="66"/>
      <c r="C19" s="66"/>
      <c r="D19" s="66"/>
      <c r="E19" s="67"/>
      <c r="F19" s="1">
        <v>0.32</v>
      </c>
      <c r="G19" s="68" t="s">
        <v>5</v>
      </c>
      <c r="H19" s="68"/>
      <c r="I19" s="68"/>
      <c r="J19" s="68"/>
      <c r="K19" s="68"/>
      <c r="L19" s="1">
        <v>0.45</v>
      </c>
    </row>
    <row r="20" spans="1:12" s="9" customFormat="1" x14ac:dyDescent="0.25">
      <c r="A20" s="65" t="s">
        <v>3</v>
      </c>
      <c r="B20" s="66"/>
      <c r="C20" s="66"/>
      <c r="D20" s="66"/>
      <c r="E20" s="67"/>
      <c r="F20" s="1">
        <v>0.32</v>
      </c>
      <c r="G20" s="68" t="s">
        <v>13</v>
      </c>
      <c r="H20" s="68"/>
      <c r="I20" s="68"/>
      <c r="J20" s="68"/>
      <c r="K20" s="68"/>
      <c r="L20" s="1">
        <v>0.32</v>
      </c>
    </row>
    <row r="21" spans="1:12" s="9" customFormat="1" x14ac:dyDescent="0.25">
      <c r="A21" s="65" t="s">
        <v>4</v>
      </c>
      <c r="B21" s="66"/>
      <c r="C21" s="66"/>
      <c r="D21" s="66"/>
      <c r="E21" s="67"/>
      <c r="F21" s="1">
        <v>0.32</v>
      </c>
      <c r="G21" s="68"/>
      <c r="H21" s="68"/>
      <c r="I21" s="68"/>
      <c r="J21" s="68"/>
      <c r="K21" s="68"/>
      <c r="L21" s="1"/>
    </row>
    <row r="22" spans="1:12" s="9" customFormat="1" x14ac:dyDescent="0.25">
      <c r="A22" s="65" t="s">
        <v>11</v>
      </c>
      <c r="B22" s="66"/>
      <c r="C22" s="66"/>
      <c r="D22" s="66"/>
      <c r="E22" s="67"/>
      <c r="F22" s="1">
        <v>0.32</v>
      </c>
      <c r="G22" s="68"/>
      <c r="H22" s="68"/>
      <c r="I22" s="68"/>
      <c r="J22" s="68"/>
      <c r="K22" s="68"/>
      <c r="L22" s="1"/>
    </row>
    <row r="23" spans="1:12" s="9" customFormat="1" x14ac:dyDescent="0.25">
      <c r="A23" s="65" t="s">
        <v>7</v>
      </c>
      <c r="B23" s="66"/>
      <c r="C23" s="66"/>
      <c r="D23" s="66"/>
      <c r="E23" s="67"/>
      <c r="F23" s="1">
        <v>0.32</v>
      </c>
      <c r="G23" s="68"/>
      <c r="H23" s="68"/>
      <c r="I23" s="68"/>
      <c r="J23" s="68"/>
      <c r="K23" s="68"/>
      <c r="L23" s="1"/>
    </row>
    <row r="24" spans="1:12" s="9" customFormat="1" x14ac:dyDescent="0.25">
      <c r="A24" s="65" t="s">
        <v>10</v>
      </c>
      <c r="B24" s="66"/>
      <c r="C24" s="66"/>
      <c r="D24" s="66"/>
      <c r="E24" s="67"/>
      <c r="F24" s="1">
        <v>0.32</v>
      </c>
      <c r="G24" s="68"/>
      <c r="H24" s="68"/>
      <c r="I24" s="68"/>
      <c r="J24" s="68"/>
      <c r="K24" s="68"/>
      <c r="L24" s="1"/>
    </row>
    <row r="25" spans="1:12" s="9" customFormat="1" x14ac:dyDescent="0.25">
      <c r="A25" s="65" t="s">
        <v>9</v>
      </c>
      <c r="B25" s="66"/>
      <c r="C25" s="66"/>
      <c r="D25" s="66"/>
      <c r="E25" s="67"/>
      <c r="F25" s="1">
        <v>0.23</v>
      </c>
      <c r="G25" s="68"/>
      <c r="H25" s="68"/>
      <c r="I25" s="68"/>
      <c r="J25" s="68"/>
      <c r="K25" s="68"/>
      <c r="L25" s="1"/>
    </row>
    <row r="26" spans="1:12" s="9" customFormat="1" x14ac:dyDescent="0.25">
      <c r="A26" s="65" t="s">
        <v>12</v>
      </c>
      <c r="B26" s="66"/>
      <c r="C26" s="66"/>
      <c r="D26" s="66"/>
      <c r="E26" s="67"/>
      <c r="F26" s="1">
        <v>0.32</v>
      </c>
      <c r="G26" s="68"/>
      <c r="H26" s="68"/>
      <c r="I26" s="68"/>
      <c r="J26" s="68"/>
      <c r="K26" s="68"/>
      <c r="L26" s="1"/>
    </row>
    <row r="27" spans="1:12" s="9" customFormat="1" ht="28.5" customHeight="1" x14ac:dyDescent="0.25">
      <c r="A27" s="69" t="s">
        <v>8</v>
      </c>
      <c r="B27" s="70"/>
      <c r="C27" s="70"/>
      <c r="D27" s="70"/>
      <c r="E27" s="71"/>
      <c r="F27" s="1">
        <v>0.32</v>
      </c>
      <c r="G27" s="68"/>
      <c r="H27" s="68"/>
      <c r="I27" s="68"/>
      <c r="J27" s="68"/>
      <c r="K27" s="68"/>
      <c r="L27" s="1"/>
    </row>
    <row r="28" spans="1:12" s="9" customFormat="1" x14ac:dyDescent="0.25">
      <c r="A28" s="65" t="s">
        <v>56</v>
      </c>
      <c r="B28" s="66"/>
      <c r="C28" s="66"/>
      <c r="D28" s="66"/>
      <c r="E28" s="67"/>
      <c r="F28" s="1">
        <v>0.32</v>
      </c>
      <c r="G28" s="68"/>
      <c r="H28" s="68"/>
      <c r="I28" s="68"/>
      <c r="J28" s="68"/>
      <c r="K28" s="68"/>
      <c r="L28" s="1"/>
    </row>
    <row r="29" spans="1:12" s="9" customFormat="1" x14ac:dyDescent="0.25">
      <c r="A29" s="65"/>
      <c r="B29" s="66"/>
      <c r="C29" s="66"/>
      <c r="D29" s="66"/>
      <c r="E29" s="67"/>
      <c r="F29" s="1"/>
      <c r="G29" s="68"/>
      <c r="H29" s="68"/>
      <c r="I29" s="68"/>
      <c r="J29" s="68"/>
      <c r="K29" s="68"/>
      <c r="L29" s="1"/>
    </row>
    <row r="30" spans="1:12" s="9" customFormat="1" hidden="1" x14ac:dyDescent="0.25">
      <c r="A30" s="65"/>
      <c r="B30" s="66"/>
      <c r="C30" s="66"/>
      <c r="D30" s="66"/>
      <c r="E30" s="67"/>
      <c r="F30" s="1"/>
      <c r="G30" s="68"/>
      <c r="H30" s="68"/>
      <c r="I30" s="68"/>
      <c r="J30" s="68"/>
      <c r="K30" s="68"/>
      <c r="L30" s="1"/>
    </row>
    <row r="31" spans="1:12" s="9" customFormat="1" hidden="1" x14ac:dyDescent="0.25">
      <c r="A31" s="65"/>
      <c r="B31" s="66"/>
      <c r="C31" s="66"/>
      <c r="D31" s="66"/>
      <c r="E31" s="67"/>
      <c r="F31" s="1"/>
      <c r="G31" s="68"/>
      <c r="H31" s="68"/>
      <c r="I31" s="68"/>
      <c r="J31" s="68"/>
      <c r="K31" s="68"/>
      <c r="L31" s="1"/>
    </row>
    <row r="32" spans="1:12" s="9" customFormat="1" x14ac:dyDescent="0.25">
      <c r="A32" s="75" t="s">
        <v>14</v>
      </c>
      <c r="B32" s="75"/>
      <c r="C32" s="75"/>
      <c r="D32" s="75"/>
      <c r="E32" s="75"/>
      <c r="F32" s="1">
        <f>SUM(F19:F31)</f>
        <v>3.11</v>
      </c>
      <c r="G32" s="75" t="s">
        <v>14</v>
      </c>
      <c r="H32" s="75"/>
      <c r="I32" s="75"/>
      <c r="J32" s="75"/>
      <c r="K32" s="75"/>
      <c r="L32" s="1">
        <f>SUM(L19:L31)</f>
        <v>0.77</v>
      </c>
    </row>
    <row r="33" spans="1:16" s="9" customFormat="1" x14ac:dyDescent="0.25"/>
    <row r="34" spans="1:16" s="9" customFormat="1" x14ac:dyDescent="0.25">
      <c r="A34" s="10" t="s">
        <v>58</v>
      </c>
      <c r="F34" s="9">
        <v>45500</v>
      </c>
      <c r="O34" s="97"/>
      <c r="P34" s="61"/>
    </row>
    <row r="35" spans="1:16" s="9" customFormat="1" hidden="1" x14ac:dyDescent="0.25"/>
    <row r="36" spans="1:16" s="9" customFormat="1" ht="60.75" customHeight="1" x14ac:dyDescent="0.25">
      <c r="A36" s="75" t="s">
        <v>15</v>
      </c>
      <c r="B36" s="75"/>
      <c r="C36" s="75"/>
      <c r="D36" s="75"/>
      <c r="E36" s="75"/>
      <c r="F36" s="32" t="s">
        <v>16</v>
      </c>
      <c r="G36" s="32" t="s">
        <v>1</v>
      </c>
      <c r="H36" s="32" t="s">
        <v>74</v>
      </c>
      <c r="I36" s="32" t="s">
        <v>75</v>
      </c>
      <c r="J36" s="32" t="s">
        <v>76</v>
      </c>
      <c r="K36" s="34" t="s">
        <v>77</v>
      </c>
      <c r="L36" s="12"/>
    </row>
    <row r="37" spans="1:16" s="9" customFormat="1" x14ac:dyDescent="0.25">
      <c r="A37" s="68" t="s">
        <v>6</v>
      </c>
      <c r="B37" s="68"/>
      <c r="C37" s="68"/>
      <c r="D37" s="68"/>
      <c r="E37" s="68"/>
      <c r="F37" s="1">
        <v>23663</v>
      </c>
      <c r="G37" s="1">
        <v>0.32</v>
      </c>
      <c r="H37" s="13">
        <f t="shared" ref="H37:H46" si="0">F37*G37*12</f>
        <v>90865.919999999998</v>
      </c>
      <c r="I37" s="13">
        <f>H37*1.302-290.59-909.42</f>
        <v>117107.41784000001</v>
      </c>
      <c r="J37" s="1">
        <v>45500</v>
      </c>
      <c r="K37" s="13">
        <f>I37/J37</f>
        <v>2.5737894030769235</v>
      </c>
      <c r="L37" s="13"/>
      <c r="N37" s="40"/>
    </row>
    <row r="38" spans="1:16" s="9" customFormat="1" x14ac:dyDescent="0.25">
      <c r="A38" s="68" t="s">
        <v>3</v>
      </c>
      <c r="B38" s="68"/>
      <c r="C38" s="68"/>
      <c r="D38" s="68"/>
      <c r="E38" s="68"/>
      <c r="F38" s="1">
        <v>20665.599999999999</v>
      </c>
      <c r="G38" s="1">
        <v>0.32</v>
      </c>
      <c r="H38" s="13">
        <f t="shared" si="0"/>
        <v>79355.903999999995</v>
      </c>
      <c r="I38" s="13">
        <f>H38*1.302-290.43-909.42</f>
        <v>102121.537008</v>
      </c>
      <c r="J38" s="1">
        <v>45500</v>
      </c>
      <c r="K38" s="13">
        <f t="shared" ref="K38:K46" si="1">I38/J38</f>
        <v>2.2444293847912089</v>
      </c>
      <c r="L38" s="13"/>
    </row>
    <row r="39" spans="1:16" s="9" customFormat="1" x14ac:dyDescent="0.25">
      <c r="A39" s="68" t="s">
        <v>4</v>
      </c>
      <c r="B39" s="68"/>
      <c r="C39" s="68"/>
      <c r="D39" s="68"/>
      <c r="E39" s="68"/>
      <c r="F39" s="1">
        <v>19677.599999999999</v>
      </c>
      <c r="G39" s="1">
        <v>0.32</v>
      </c>
      <c r="H39" s="13">
        <f t="shared" si="0"/>
        <v>75561.983999999997</v>
      </c>
      <c r="I39" s="13">
        <f>H39*1.302-290.43-909.42</f>
        <v>97181.853168000001</v>
      </c>
      <c r="J39" s="1">
        <v>45500</v>
      </c>
      <c r="K39" s="13">
        <f t="shared" si="1"/>
        <v>2.1358649047912088</v>
      </c>
      <c r="L39" s="13"/>
    </row>
    <row r="40" spans="1:16" s="9" customFormat="1" x14ac:dyDescent="0.25">
      <c r="A40" s="68" t="s">
        <v>11</v>
      </c>
      <c r="B40" s="68"/>
      <c r="C40" s="68"/>
      <c r="D40" s="68"/>
      <c r="E40" s="68"/>
      <c r="F40" s="1">
        <v>18738.61</v>
      </c>
      <c r="G40" s="1">
        <v>0.32</v>
      </c>
      <c r="H40" s="13">
        <f t="shared" si="0"/>
        <v>71956.262400000007</v>
      </c>
      <c r="I40" s="13">
        <f>H40*1.302-290.43-909.42</f>
        <v>92487.203644800014</v>
      </c>
      <c r="J40" s="1">
        <v>45500</v>
      </c>
      <c r="K40" s="13">
        <f t="shared" si="1"/>
        <v>2.0326857943912091</v>
      </c>
      <c r="L40" s="13"/>
    </row>
    <row r="41" spans="1:16" s="9" customFormat="1" x14ac:dyDescent="0.25">
      <c r="A41" s="68" t="s">
        <v>7</v>
      </c>
      <c r="B41" s="68"/>
      <c r="C41" s="68"/>
      <c r="D41" s="68"/>
      <c r="E41" s="68"/>
      <c r="F41" s="1">
        <v>19007.055</v>
      </c>
      <c r="G41" s="1">
        <v>0.32</v>
      </c>
      <c r="H41" s="13">
        <f t="shared" si="0"/>
        <v>72987.091199999995</v>
      </c>
      <c r="I41" s="13">
        <f>H41*1.302-290.43-909.42</f>
        <v>93829.342742400011</v>
      </c>
      <c r="J41" s="1">
        <v>45500</v>
      </c>
      <c r="K41" s="13">
        <f t="shared" si="1"/>
        <v>2.0621833569758246</v>
      </c>
      <c r="L41" s="13"/>
    </row>
    <row r="42" spans="1:16" s="9" customFormat="1" x14ac:dyDescent="0.25">
      <c r="A42" s="68" t="s">
        <v>10</v>
      </c>
      <c r="B42" s="68"/>
      <c r="C42" s="68"/>
      <c r="D42" s="68"/>
      <c r="E42" s="68"/>
      <c r="F42" s="1">
        <v>18102.400000000001</v>
      </c>
      <c r="G42" s="1">
        <v>0.32</v>
      </c>
      <c r="H42" s="13">
        <f t="shared" si="0"/>
        <v>69513.216000000015</v>
      </c>
      <c r="I42" s="13">
        <f>H42*1.302-290.43-909.42</f>
        <v>89306.357232000038</v>
      </c>
      <c r="J42" s="1">
        <v>45500</v>
      </c>
      <c r="K42" s="13">
        <f t="shared" si="1"/>
        <v>1.9627770820219788</v>
      </c>
      <c r="L42" s="13"/>
    </row>
    <row r="43" spans="1:16" s="9" customFormat="1" x14ac:dyDescent="0.25">
      <c r="A43" s="68" t="s">
        <v>9</v>
      </c>
      <c r="B43" s="68"/>
      <c r="C43" s="68"/>
      <c r="D43" s="68"/>
      <c r="E43" s="68"/>
      <c r="F43" s="14">
        <v>18089.04</v>
      </c>
      <c r="G43" s="1">
        <v>0.23</v>
      </c>
      <c r="H43" s="13">
        <f t="shared" si="0"/>
        <v>49925.750400000004</v>
      </c>
      <c r="I43" s="13">
        <f>H43*1.302-290.43-909.42</f>
        <v>63803.477020800012</v>
      </c>
      <c r="J43" s="1">
        <v>45500</v>
      </c>
      <c r="K43" s="13">
        <f t="shared" si="1"/>
        <v>1.4022742202373628</v>
      </c>
      <c r="L43" s="13"/>
    </row>
    <row r="44" spans="1:16" s="9" customFormat="1" ht="17.25" customHeight="1" x14ac:dyDescent="0.25">
      <c r="A44" s="69" t="s">
        <v>12</v>
      </c>
      <c r="B44" s="70"/>
      <c r="C44" s="70"/>
      <c r="D44" s="70"/>
      <c r="E44" s="71"/>
      <c r="F44" s="14">
        <v>20250.8</v>
      </c>
      <c r="G44" s="1">
        <v>0.32</v>
      </c>
      <c r="H44" s="13">
        <f t="shared" si="0"/>
        <v>77763.072</v>
      </c>
      <c r="I44" s="13">
        <f>H44*1.302-290.43-909.42</f>
        <v>100047.66974400001</v>
      </c>
      <c r="J44" s="1">
        <v>45500</v>
      </c>
      <c r="K44" s="13">
        <f t="shared" si="1"/>
        <v>2.1988498844835167</v>
      </c>
      <c r="L44" s="13"/>
    </row>
    <row r="45" spans="1:16" s="9" customFormat="1" ht="30" customHeight="1" x14ac:dyDescent="0.25">
      <c r="A45" s="69" t="s">
        <v>8</v>
      </c>
      <c r="B45" s="70"/>
      <c r="C45" s="70"/>
      <c r="D45" s="70"/>
      <c r="E45" s="71"/>
      <c r="F45" s="14">
        <v>19301.599999999999</v>
      </c>
      <c r="G45" s="1">
        <v>0.32</v>
      </c>
      <c r="H45" s="13">
        <f t="shared" si="0"/>
        <v>74118.144</v>
      </c>
      <c r="I45" s="13">
        <f>H45*1.302-290.43-909.42</f>
        <v>95301.973488000018</v>
      </c>
      <c r="J45" s="1">
        <v>45500</v>
      </c>
      <c r="K45" s="13">
        <f t="shared" si="1"/>
        <v>2.0945488678681321</v>
      </c>
      <c r="L45" s="13"/>
    </row>
    <row r="46" spans="1:16" s="9" customFormat="1" ht="15.75" customHeight="1" x14ac:dyDescent="0.25">
      <c r="A46" s="68" t="s">
        <v>56</v>
      </c>
      <c r="B46" s="68"/>
      <c r="C46" s="68"/>
      <c r="D46" s="68"/>
      <c r="E46" s="68"/>
      <c r="F46" s="14">
        <v>19270.599999999999</v>
      </c>
      <c r="G46" s="1">
        <v>0.32</v>
      </c>
      <c r="H46" s="13">
        <f t="shared" si="0"/>
        <v>73999.103999999992</v>
      </c>
      <c r="I46" s="13">
        <f>H46*1.302-290.43-909.42+0.1</f>
        <v>95147.083408000006</v>
      </c>
      <c r="J46" s="1">
        <v>45500</v>
      </c>
      <c r="K46" s="13">
        <f t="shared" si="1"/>
        <v>2.0911446902857143</v>
      </c>
      <c r="L46" s="13"/>
    </row>
    <row r="47" spans="1:16" s="9" customFormat="1" ht="30" customHeight="1" x14ac:dyDescent="0.25">
      <c r="A47" s="76" t="s">
        <v>70</v>
      </c>
      <c r="B47" s="77"/>
      <c r="C47" s="77"/>
      <c r="D47" s="77"/>
      <c r="E47" s="78"/>
      <c r="F47" s="1"/>
      <c r="G47" s="1"/>
      <c r="H47" s="1"/>
      <c r="I47" s="49">
        <f>SUM(I37:I46)</f>
        <v>946333.91529599996</v>
      </c>
      <c r="J47" s="13"/>
      <c r="K47" s="48">
        <f>SUM(K37:K46)</f>
        <v>20.798547588923078</v>
      </c>
      <c r="L47" s="13"/>
      <c r="M47" s="59"/>
    </row>
    <row r="48" spans="1:16" s="9" customFormat="1" ht="17.25" customHeight="1" x14ac:dyDescent="0.25">
      <c r="A48" s="45"/>
      <c r="B48" s="45"/>
      <c r="C48" s="45"/>
      <c r="D48" s="45"/>
      <c r="E48" s="45"/>
      <c r="F48" s="16"/>
      <c r="G48" s="16"/>
      <c r="H48" s="16"/>
      <c r="I48" s="17"/>
      <c r="J48" s="17"/>
      <c r="K48" s="17"/>
      <c r="L48" s="17"/>
      <c r="O48" s="41"/>
    </row>
    <row r="49" spans="1:14" s="9" customFormat="1" x14ac:dyDescent="0.25">
      <c r="A49" s="74" t="s">
        <v>18</v>
      </c>
      <c r="B49" s="74"/>
      <c r="C49" s="74"/>
      <c r="D49" s="74"/>
      <c r="E49" s="74"/>
      <c r="F49" s="74"/>
      <c r="G49" s="74"/>
      <c r="H49" s="74"/>
      <c r="I49" s="74"/>
      <c r="J49" s="74"/>
      <c r="K49" s="74"/>
      <c r="L49" s="74"/>
    </row>
    <row r="50" spans="1:14" s="9" customFormat="1" hidden="1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</row>
    <row r="51" spans="1:14" s="9" customFormat="1" hidden="1" x14ac:dyDescent="0.25"/>
    <row r="52" spans="1:14" s="9" customFormat="1" ht="60" customHeight="1" x14ac:dyDescent="0.25">
      <c r="A52" s="75" t="s">
        <v>19</v>
      </c>
      <c r="B52" s="75"/>
      <c r="C52" s="75"/>
      <c r="D52" s="75"/>
      <c r="E52" s="75"/>
      <c r="F52" s="32" t="s">
        <v>17</v>
      </c>
      <c r="G52" s="32" t="s">
        <v>69</v>
      </c>
      <c r="H52" s="32" t="s">
        <v>68</v>
      </c>
      <c r="I52" s="32" t="s">
        <v>81</v>
      </c>
      <c r="J52" s="32" t="s">
        <v>76</v>
      </c>
      <c r="K52" s="34" t="s">
        <v>77</v>
      </c>
      <c r="L52" s="46"/>
    </row>
    <row r="53" spans="1:14" s="9" customFormat="1" x14ac:dyDescent="0.25">
      <c r="A53" s="68" t="s">
        <v>20</v>
      </c>
      <c r="B53" s="68"/>
      <c r="C53" s="68"/>
      <c r="D53" s="68"/>
      <c r="E53" s="68"/>
      <c r="F53" s="1" t="s">
        <v>24</v>
      </c>
      <c r="G53" s="1">
        <v>2699.2</v>
      </c>
      <c r="H53" s="13">
        <v>7.8081149999999999</v>
      </c>
      <c r="I53" s="13">
        <f>G53*H53</f>
        <v>21075.664008</v>
      </c>
      <c r="J53" s="24">
        <v>45500</v>
      </c>
      <c r="K53" s="13">
        <f>I53/J53</f>
        <v>0.46320140676923077</v>
      </c>
      <c r="L53" s="17"/>
      <c r="N53" s="17"/>
    </row>
    <row r="54" spans="1:14" s="9" customFormat="1" x14ac:dyDescent="0.25">
      <c r="A54" s="68" t="s">
        <v>21</v>
      </c>
      <c r="B54" s="68"/>
      <c r="C54" s="68"/>
      <c r="D54" s="68"/>
      <c r="E54" s="68"/>
      <c r="F54" s="1" t="s">
        <v>25</v>
      </c>
      <c r="G54" s="1">
        <v>57.38</v>
      </c>
      <c r="H54" s="13">
        <v>1764.7059999999999</v>
      </c>
      <c r="I54" s="13">
        <f>G54*H54+31314.501</f>
        <v>132573.33127999998</v>
      </c>
      <c r="J54" s="24">
        <f>J53</f>
        <v>45500</v>
      </c>
      <c r="K54" s="13">
        <f t="shared" ref="K54:K56" si="2">I54/J54</f>
        <v>2.9136995885714283</v>
      </c>
      <c r="L54" s="17"/>
      <c r="N54" s="17"/>
    </row>
    <row r="55" spans="1:14" s="9" customFormat="1" x14ac:dyDescent="0.25">
      <c r="A55" s="68" t="s">
        <v>22</v>
      </c>
      <c r="B55" s="68"/>
      <c r="C55" s="68"/>
      <c r="D55" s="68"/>
      <c r="E55" s="68"/>
      <c r="F55" s="1" t="s">
        <v>26</v>
      </c>
      <c r="G55" s="1">
        <v>43.86</v>
      </c>
      <c r="H55" s="13">
        <v>28.405799999999999</v>
      </c>
      <c r="I55" s="13">
        <f>G55*H55</f>
        <v>1245.8783879999999</v>
      </c>
      <c r="J55" s="24">
        <f>J54</f>
        <v>45500</v>
      </c>
      <c r="K55" s="13">
        <f t="shared" si="2"/>
        <v>2.7381942593406591E-2</v>
      </c>
      <c r="L55" s="17"/>
      <c r="N55" s="17"/>
    </row>
    <row r="56" spans="1:14" s="9" customFormat="1" x14ac:dyDescent="0.25">
      <c r="A56" s="68" t="s">
        <v>23</v>
      </c>
      <c r="B56" s="68"/>
      <c r="C56" s="68"/>
      <c r="D56" s="68"/>
      <c r="E56" s="68"/>
      <c r="F56" s="1" t="s">
        <v>26</v>
      </c>
      <c r="G56" s="1">
        <v>43.86</v>
      </c>
      <c r="H56" s="13">
        <v>38.636400000000002</v>
      </c>
      <c r="I56" s="13">
        <f>G56*H56-0.04</f>
        <v>1694.552504</v>
      </c>
      <c r="J56" s="24">
        <f>J55</f>
        <v>45500</v>
      </c>
      <c r="K56" s="13">
        <f t="shared" si="2"/>
        <v>3.7242912175824178E-2</v>
      </c>
      <c r="L56" s="17"/>
      <c r="M56" s="19"/>
      <c r="N56" s="17"/>
    </row>
    <row r="57" spans="1:14" s="9" customFormat="1" x14ac:dyDescent="0.25">
      <c r="A57" s="79" t="s">
        <v>71</v>
      </c>
      <c r="B57" s="79"/>
      <c r="C57" s="79"/>
      <c r="D57" s="79"/>
      <c r="E57" s="79"/>
      <c r="F57" s="79"/>
      <c r="G57" s="79"/>
      <c r="H57" s="79"/>
      <c r="I57" s="49">
        <f t="shared" ref="I57" si="3">SUM(I53:I56)</f>
        <v>156589.42617999998</v>
      </c>
      <c r="J57" s="48"/>
      <c r="K57" s="48">
        <f>SUM(K53:K56)</f>
        <v>3.44152585010989</v>
      </c>
      <c r="L57" s="17"/>
      <c r="M57" s="59"/>
      <c r="N57" s="17"/>
    </row>
    <row r="58" spans="1:14" s="9" customFormat="1" x14ac:dyDescent="0.25"/>
    <row r="59" spans="1:14" s="9" customFormat="1" x14ac:dyDescent="0.25">
      <c r="A59" s="74" t="s">
        <v>27</v>
      </c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</row>
    <row r="60" spans="1:14" s="9" customFormat="1" ht="60" customHeight="1" x14ac:dyDescent="0.25">
      <c r="A60" s="75" t="s">
        <v>33</v>
      </c>
      <c r="B60" s="75"/>
      <c r="C60" s="75"/>
      <c r="D60" s="75"/>
      <c r="E60" s="75"/>
      <c r="F60" s="32" t="s">
        <v>17</v>
      </c>
      <c r="G60" s="32" t="s">
        <v>69</v>
      </c>
      <c r="H60" s="32" t="s">
        <v>68</v>
      </c>
      <c r="I60" s="32" t="s">
        <v>81</v>
      </c>
      <c r="J60" s="32" t="s">
        <v>76</v>
      </c>
      <c r="K60" s="34" t="s">
        <v>77</v>
      </c>
      <c r="L60" s="46"/>
    </row>
    <row r="61" spans="1:14" s="9" customFormat="1" x14ac:dyDescent="0.25">
      <c r="A61" s="68" t="s">
        <v>28</v>
      </c>
      <c r="B61" s="68"/>
      <c r="C61" s="68"/>
      <c r="D61" s="68"/>
      <c r="E61" s="68"/>
      <c r="F61" s="1" t="s">
        <v>31</v>
      </c>
      <c r="G61" s="13">
        <v>0.34</v>
      </c>
      <c r="H61" s="13">
        <v>724.31</v>
      </c>
      <c r="I61" s="13">
        <f>G61*H61*12</f>
        <v>2955.1848</v>
      </c>
      <c r="J61" s="24">
        <f>J55</f>
        <v>45500</v>
      </c>
      <c r="K61" s="13">
        <f t="shared" ref="K61:K64" si="4">I61/J61</f>
        <v>6.4949116483516478E-2</v>
      </c>
      <c r="L61" s="17"/>
    </row>
    <row r="62" spans="1:14" s="9" customFormat="1" x14ac:dyDescent="0.25">
      <c r="A62" s="68" t="s">
        <v>29</v>
      </c>
      <c r="B62" s="68"/>
      <c r="C62" s="68"/>
      <c r="D62" s="68"/>
      <c r="E62" s="68"/>
      <c r="F62" s="1" t="s">
        <v>31</v>
      </c>
      <c r="G62" s="13">
        <v>0.34</v>
      </c>
      <c r="H62" s="13">
        <v>529.16669999999999</v>
      </c>
      <c r="I62" s="13">
        <f>G62*H62*12</f>
        <v>2159.0001360000001</v>
      </c>
      <c r="J62" s="24">
        <f t="shared" ref="J62" si="5">J56</f>
        <v>45500</v>
      </c>
      <c r="K62" s="13">
        <f t="shared" si="4"/>
        <v>4.7450552439560444E-2</v>
      </c>
      <c r="L62" s="17"/>
    </row>
    <row r="63" spans="1:14" s="9" customFormat="1" x14ac:dyDescent="0.25">
      <c r="A63" s="68" t="s">
        <v>30</v>
      </c>
      <c r="B63" s="68"/>
      <c r="C63" s="68"/>
      <c r="D63" s="68"/>
      <c r="E63" s="68"/>
      <c r="F63" s="1" t="s">
        <v>31</v>
      </c>
      <c r="G63" s="13">
        <v>0.34</v>
      </c>
      <c r="H63" s="13">
        <v>2400</v>
      </c>
      <c r="I63" s="13">
        <f t="shared" ref="I63" si="6">G63*H63*12</f>
        <v>9792.0000000000018</v>
      </c>
      <c r="J63" s="24">
        <f>J61</f>
        <v>45500</v>
      </c>
      <c r="K63" s="13">
        <f t="shared" si="4"/>
        <v>0.21520879120879124</v>
      </c>
      <c r="L63" s="17"/>
    </row>
    <row r="64" spans="1:14" s="9" customFormat="1" ht="28.5" customHeight="1" x14ac:dyDescent="0.25">
      <c r="A64" s="69" t="s">
        <v>82</v>
      </c>
      <c r="B64" s="70"/>
      <c r="C64" s="70"/>
      <c r="D64" s="70"/>
      <c r="E64" s="71"/>
      <c r="F64" s="1" t="s">
        <v>31</v>
      </c>
      <c r="G64" s="13">
        <v>0.34</v>
      </c>
      <c r="H64" s="13">
        <v>26980.5</v>
      </c>
      <c r="I64" s="13">
        <f>G64*H64*12-0.02+259919.19</f>
        <v>369999.61</v>
      </c>
      <c r="J64" s="24">
        <f>J63</f>
        <v>45500</v>
      </c>
      <c r="K64" s="13">
        <f t="shared" si="4"/>
        <v>8.13185956043956</v>
      </c>
      <c r="L64" s="17"/>
    </row>
    <row r="65" spans="1:14" s="9" customFormat="1" x14ac:dyDescent="0.25">
      <c r="A65" s="82" t="s">
        <v>32</v>
      </c>
      <c r="B65" s="83"/>
      <c r="C65" s="83"/>
      <c r="D65" s="83"/>
      <c r="E65" s="83"/>
      <c r="F65" s="83"/>
      <c r="G65" s="83"/>
      <c r="H65" s="83"/>
      <c r="I65" s="49">
        <f>SUM(I61:I64)</f>
        <v>384905.79493599996</v>
      </c>
      <c r="J65" s="48"/>
      <c r="K65" s="48">
        <f>SUM(K61:K64)</f>
        <v>8.4594680205714283</v>
      </c>
      <c r="L65" s="17"/>
      <c r="M65" s="59"/>
      <c r="N65" s="41"/>
    </row>
    <row r="66" spans="1:14" s="9" customFormat="1" ht="13.5" customHeight="1" x14ac:dyDescent="0.25"/>
    <row r="67" spans="1:14" s="9" customFormat="1" x14ac:dyDescent="0.25">
      <c r="A67" s="74" t="s">
        <v>83</v>
      </c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</row>
    <row r="68" spans="1:14" s="9" customFormat="1" ht="60" customHeight="1" x14ac:dyDescent="0.25">
      <c r="A68" s="75" t="s">
        <v>33</v>
      </c>
      <c r="B68" s="75"/>
      <c r="C68" s="75"/>
      <c r="D68" s="75"/>
      <c r="E68" s="75"/>
      <c r="F68" s="32" t="s">
        <v>17</v>
      </c>
      <c r="G68" s="32" t="s">
        <v>69</v>
      </c>
      <c r="H68" s="32" t="s">
        <v>68</v>
      </c>
      <c r="I68" s="32" t="s">
        <v>81</v>
      </c>
      <c r="J68" s="32" t="s">
        <v>76</v>
      </c>
      <c r="K68" s="34" t="s">
        <v>77</v>
      </c>
      <c r="L68" s="46"/>
    </row>
    <row r="69" spans="1:14" s="9" customFormat="1" ht="30.75" customHeight="1" x14ac:dyDescent="0.25">
      <c r="A69" s="69" t="s">
        <v>84</v>
      </c>
      <c r="B69" s="70"/>
      <c r="C69" s="70"/>
      <c r="D69" s="70"/>
      <c r="E69" s="71"/>
      <c r="F69" s="1" t="s">
        <v>31</v>
      </c>
      <c r="G69" s="13">
        <v>0.34</v>
      </c>
      <c r="H69" s="13">
        <v>4737.7</v>
      </c>
      <c r="I69" s="13">
        <f>G69*H69*12</f>
        <v>19329.815999999999</v>
      </c>
      <c r="J69" s="24">
        <f>J64</f>
        <v>45500</v>
      </c>
      <c r="K69" s="13">
        <f>I69/J69</f>
        <v>0.42483112087912084</v>
      </c>
      <c r="L69" s="17"/>
      <c r="M69" s="59"/>
    </row>
    <row r="70" spans="1:14" s="9" customFormat="1" x14ac:dyDescent="0.25">
      <c r="A70" s="68" t="s">
        <v>85</v>
      </c>
      <c r="B70" s="68"/>
      <c r="C70" s="68"/>
      <c r="D70" s="68"/>
      <c r="E70" s="68"/>
      <c r="F70" s="1" t="s">
        <v>31</v>
      </c>
      <c r="G70" s="13">
        <v>0.34</v>
      </c>
      <c r="H70" s="13">
        <v>416.4</v>
      </c>
      <c r="I70" s="13">
        <f>G70*H70*12-0.01</f>
        <v>1698.9019999999998</v>
      </c>
      <c r="J70" s="24">
        <f>J69</f>
        <v>45500</v>
      </c>
      <c r="K70" s="13">
        <f t="shared" ref="K70" si="7">I70/J70</f>
        <v>3.7338505494505493E-2</v>
      </c>
      <c r="L70" s="17"/>
    </row>
    <row r="71" spans="1:14" s="9" customFormat="1" x14ac:dyDescent="0.25">
      <c r="A71" s="82" t="s">
        <v>86</v>
      </c>
      <c r="B71" s="83"/>
      <c r="C71" s="83"/>
      <c r="D71" s="83"/>
      <c r="E71" s="83"/>
      <c r="F71" s="83"/>
      <c r="G71" s="83"/>
      <c r="H71" s="83"/>
      <c r="I71" s="49">
        <f>SUM(I69:I70)</f>
        <v>21028.717999999997</v>
      </c>
      <c r="J71" s="48"/>
      <c r="K71" s="48">
        <f>SUM(K69:K70)</f>
        <v>0.46216962637362635</v>
      </c>
      <c r="L71" s="17"/>
    </row>
    <row r="72" spans="1:14" s="9" customFormat="1" x14ac:dyDescent="0.25">
      <c r="A72" s="35"/>
      <c r="B72" s="35"/>
      <c r="C72" s="35"/>
      <c r="D72" s="35"/>
      <c r="E72" s="35"/>
      <c r="F72" s="35"/>
      <c r="G72" s="35"/>
      <c r="H72" s="35"/>
      <c r="I72" s="54"/>
      <c r="J72" s="55"/>
      <c r="K72" s="55"/>
      <c r="L72" s="17"/>
    </row>
    <row r="73" spans="1:14" s="9" customFormat="1" x14ac:dyDescent="0.25">
      <c r="A73" s="74" t="s">
        <v>87</v>
      </c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</row>
    <row r="74" spans="1:14" s="9" customFormat="1" ht="60" customHeight="1" x14ac:dyDescent="0.25">
      <c r="A74" s="85" t="s">
        <v>34</v>
      </c>
      <c r="B74" s="86"/>
      <c r="C74" s="86"/>
      <c r="D74" s="86"/>
      <c r="E74" s="87"/>
      <c r="F74" s="32" t="s">
        <v>17</v>
      </c>
      <c r="G74" s="32" t="s">
        <v>69</v>
      </c>
      <c r="H74" s="32" t="s">
        <v>68</v>
      </c>
      <c r="I74" s="32" t="s">
        <v>81</v>
      </c>
      <c r="J74" s="33" t="s">
        <v>76</v>
      </c>
      <c r="K74" s="34" t="s">
        <v>77</v>
      </c>
      <c r="L74" s="46"/>
      <c r="M74" s="46"/>
    </row>
    <row r="75" spans="1:14" s="9" customFormat="1" ht="45" x14ac:dyDescent="0.25">
      <c r="A75" s="85" t="s">
        <v>35</v>
      </c>
      <c r="B75" s="86"/>
      <c r="C75" s="86"/>
      <c r="D75" s="86"/>
      <c r="E75" s="87"/>
      <c r="F75" s="20" t="s">
        <v>36</v>
      </c>
      <c r="G75" s="13">
        <v>0.67</v>
      </c>
      <c r="H75" s="13">
        <v>850</v>
      </c>
      <c r="I75" s="13">
        <f>G75*H75*12</f>
        <v>6834</v>
      </c>
      <c r="J75" s="50">
        <f>J70</f>
        <v>45500</v>
      </c>
      <c r="K75" s="13">
        <f>I75/J75</f>
        <v>0.15019780219780221</v>
      </c>
      <c r="L75" s="16"/>
      <c r="M75" s="17"/>
    </row>
    <row r="76" spans="1:14" s="9" customFormat="1" x14ac:dyDescent="0.25">
      <c r="A76" s="85" t="s">
        <v>88</v>
      </c>
      <c r="B76" s="86"/>
      <c r="C76" s="86"/>
      <c r="D76" s="86"/>
      <c r="E76" s="87"/>
      <c r="F76" s="20" t="s">
        <v>31</v>
      </c>
      <c r="G76" s="13">
        <v>0.34</v>
      </c>
      <c r="H76" s="13">
        <v>800</v>
      </c>
      <c r="I76" s="13">
        <f>G76*H76*12</f>
        <v>3264</v>
      </c>
      <c r="J76" s="50">
        <f>J75</f>
        <v>45500</v>
      </c>
      <c r="K76" s="13">
        <f>I76/J76</f>
        <v>7.1736263736263739E-2</v>
      </c>
      <c r="L76" s="16"/>
      <c r="M76" s="17"/>
    </row>
    <row r="77" spans="1:14" s="9" customFormat="1" x14ac:dyDescent="0.25">
      <c r="A77" s="82" t="s">
        <v>37</v>
      </c>
      <c r="B77" s="83"/>
      <c r="C77" s="83"/>
      <c r="D77" s="83"/>
      <c r="E77" s="83"/>
      <c r="F77" s="83"/>
      <c r="G77" s="83"/>
      <c r="H77" s="84"/>
      <c r="I77" s="49">
        <f t="shared" ref="I77" si="8">SUM(I75:I76)</f>
        <v>10098</v>
      </c>
      <c r="J77" s="48"/>
      <c r="K77" s="48">
        <f>SUM(K75:K76)</f>
        <v>0.22193406593406595</v>
      </c>
      <c r="L77" s="37"/>
      <c r="M77" s="60"/>
    </row>
    <row r="78" spans="1:14" s="9" customFormat="1" x14ac:dyDescent="0.25"/>
    <row r="79" spans="1:14" s="9" customFormat="1" x14ac:dyDescent="0.25">
      <c r="A79" s="74" t="s">
        <v>57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</row>
    <row r="80" spans="1:14" s="9" customFormat="1" hidden="1" x14ac:dyDescent="0.25"/>
    <row r="81" spans="1:13" s="9" customFormat="1" ht="75" x14ac:dyDescent="0.25">
      <c r="A81" s="75" t="s">
        <v>15</v>
      </c>
      <c r="B81" s="75"/>
      <c r="C81" s="75"/>
      <c r="D81" s="75"/>
      <c r="E81" s="75"/>
      <c r="F81" s="32" t="s">
        <v>16</v>
      </c>
      <c r="G81" s="32" t="s">
        <v>1</v>
      </c>
      <c r="H81" s="32" t="s">
        <v>74</v>
      </c>
      <c r="I81" s="32" t="s">
        <v>75</v>
      </c>
      <c r="J81" s="32" t="s">
        <v>76</v>
      </c>
      <c r="K81" s="34" t="s">
        <v>77</v>
      </c>
      <c r="L81" s="12"/>
    </row>
    <row r="82" spans="1:13" s="9" customFormat="1" ht="17.25" customHeight="1" x14ac:dyDescent="0.25">
      <c r="A82" s="68" t="s">
        <v>5</v>
      </c>
      <c r="B82" s="68"/>
      <c r="C82" s="68"/>
      <c r="D82" s="68"/>
      <c r="E82" s="68"/>
      <c r="F82" s="14">
        <v>27867.62</v>
      </c>
      <c r="G82" s="1">
        <v>0.45</v>
      </c>
      <c r="H82" s="13">
        <f>F82*G82*12</f>
        <v>150485.14799999999</v>
      </c>
      <c r="I82" s="13">
        <f>H82*1.302-290.43-909.42</f>
        <v>194731.81269599998</v>
      </c>
      <c r="J82" s="24">
        <f>J75</f>
        <v>45500</v>
      </c>
      <c r="K82" s="13">
        <f>I82/J82</f>
        <v>4.2798200592527467</v>
      </c>
      <c r="L82" s="13"/>
    </row>
    <row r="83" spans="1:13" s="9" customFormat="1" ht="17.25" customHeight="1" x14ac:dyDescent="0.25">
      <c r="A83" s="68" t="s">
        <v>13</v>
      </c>
      <c r="B83" s="68"/>
      <c r="C83" s="68"/>
      <c r="D83" s="68"/>
      <c r="E83" s="68"/>
      <c r="F83" s="14">
        <v>19451.2</v>
      </c>
      <c r="G83" s="1">
        <v>0.32</v>
      </c>
      <c r="H83" s="13">
        <f>F83*G83*12</f>
        <v>74692.608000000007</v>
      </c>
      <c r="I83" s="13">
        <f>H83*1.302-290.43-909.42</f>
        <v>96049.925616000022</v>
      </c>
      <c r="J83" s="24">
        <f>J82</f>
        <v>45500</v>
      </c>
      <c r="K83" s="13">
        <f>I83/J83</f>
        <v>2.1109873761758249</v>
      </c>
      <c r="L83" s="13"/>
    </row>
    <row r="84" spans="1:13" s="9" customFormat="1" ht="18" customHeight="1" x14ac:dyDescent="0.25">
      <c r="A84" s="76" t="s">
        <v>38</v>
      </c>
      <c r="B84" s="77"/>
      <c r="C84" s="77"/>
      <c r="D84" s="77"/>
      <c r="E84" s="78"/>
      <c r="F84" s="23"/>
      <c r="G84" s="23"/>
      <c r="H84" s="22"/>
      <c r="I84" s="49">
        <f>SUM(I82:I83)</f>
        <v>290781.738312</v>
      </c>
      <c r="J84" s="48"/>
      <c r="K84" s="48">
        <f>SUM(K82:K83)</f>
        <v>6.390807435428572</v>
      </c>
      <c r="L84" s="13"/>
    </row>
    <row r="85" spans="1:13" s="9" customFormat="1" ht="13.5" customHeight="1" x14ac:dyDescent="0.25"/>
    <row r="86" spans="1:13" s="9" customFormat="1" x14ac:dyDescent="0.25">
      <c r="A86" s="74" t="s">
        <v>39</v>
      </c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</row>
    <row r="87" spans="1:13" s="9" customFormat="1" ht="60" customHeight="1" x14ac:dyDescent="0.25">
      <c r="A87" s="75" t="s">
        <v>89</v>
      </c>
      <c r="B87" s="75"/>
      <c r="C87" s="75"/>
      <c r="D87" s="75"/>
      <c r="E87" s="75"/>
      <c r="F87" s="32" t="s">
        <v>17</v>
      </c>
      <c r="G87" s="32" t="s">
        <v>69</v>
      </c>
      <c r="H87" s="32" t="s">
        <v>68</v>
      </c>
      <c r="I87" s="32" t="s">
        <v>81</v>
      </c>
      <c r="J87" s="32" t="s">
        <v>76</v>
      </c>
      <c r="K87" s="34" t="s">
        <v>77</v>
      </c>
      <c r="L87" s="46"/>
    </row>
    <row r="88" spans="1:13" s="9" customFormat="1" x14ac:dyDescent="0.25">
      <c r="A88" s="68" t="s">
        <v>100</v>
      </c>
      <c r="B88" s="68"/>
      <c r="C88" s="68"/>
      <c r="D88" s="68"/>
      <c r="E88" s="68"/>
      <c r="F88" s="1" t="s">
        <v>40</v>
      </c>
      <c r="G88" s="13">
        <v>0.34</v>
      </c>
      <c r="H88" s="13">
        <v>558.34</v>
      </c>
      <c r="I88" s="13">
        <f>G88*H88*12-0.02</f>
        <v>2278.0072000000005</v>
      </c>
      <c r="J88" s="24">
        <f>J82</f>
        <v>45500</v>
      </c>
      <c r="K88" s="13">
        <f>I88/J88</f>
        <v>5.0066092307692316E-2</v>
      </c>
      <c r="L88" s="17"/>
      <c r="M88" s="59"/>
    </row>
    <row r="89" spans="1:13" s="9" customFormat="1" x14ac:dyDescent="0.25">
      <c r="A89" s="82" t="s">
        <v>41</v>
      </c>
      <c r="B89" s="83"/>
      <c r="C89" s="83"/>
      <c r="D89" s="83"/>
      <c r="E89" s="83"/>
      <c r="F89" s="83"/>
      <c r="G89" s="83"/>
      <c r="H89" s="83"/>
      <c r="I89" s="49">
        <f>I88</f>
        <v>2278.0072000000005</v>
      </c>
      <c r="J89" s="49"/>
      <c r="K89" s="49">
        <f t="shared" ref="K89" si="9">K88</f>
        <v>5.0066092307692316E-2</v>
      </c>
      <c r="L89" s="17"/>
    </row>
    <row r="90" spans="1:13" s="9" customFormat="1" x14ac:dyDescent="0.25"/>
    <row r="91" spans="1:13" s="9" customFormat="1" x14ac:dyDescent="0.25">
      <c r="A91" s="74" t="s">
        <v>42</v>
      </c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</row>
    <row r="92" spans="1:13" s="9" customFormat="1" hidden="1" x14ac:dyDescent="0.25"/>
    <row r="93" spans="1:13" s="9" customFormat="1" ht="48" customHeight="1" x14ac:dyDescent="0.25">
      <c r="A93" s="73" t="s">
        <v>43</v>
      </c>
      <c r="B93" s="73"/>
      <c r="C93" s="73"/>
      <c r="D93" s="85" t="s">
        <v>44</v>
      </c>
      <c r="E93" s="86"/>
      <c r="F93" s="86"/>
      <c r="G93" s="86"/>
      <c r="H93" s="86"/>
      <c r="I93" s="86"/>
      <c r="J93" s="87"/>
      <c r="K93" s="88" t="s">
        <v>55</v>
      </c>
      <c r="L93" s="89"/>
    </row>
    <row r="94" spans="1:13" s="9" customFormat="1" ht="30" x14ac:dyDescent="0.25">
      <c r="A94" s="1" t="s">
        <v>45</v>
      </c>
      <c r="B94" s="12" t="s">
        <v>46</v>
      </c>
      <c r="C94" s="1" t="s">
        <v>47</v>
      </c>
      <c r="D94" s="1" t="s">
        <v>48</v>
      </c>
      <c r="E94" s="1" t="s">
        <v>49</v>
      </c>
      <c r="F94" s="1" t="s">
        <v>50</v>
      </c>
      <c r="G94" s="1" t="s">
        <v>51</v>
      </c>
      <c r="H94" s="1" t="s">
        <v>52</v>
      </c>
      <c r="I94" s="1" t="s">
        <v>53</v>
      </c>
      <c r="J94" s="1" t="s">
        <v>54</v>
      </c>
      <c r="K94" s="90"/>
      <c r="L94" s="91"/>
    </row>
    <row r="95" spans="1:13" s="9" customFormat="1" x14ac:dyDescent="0.25">
      <c r="A95" s="13">
        <f>K47</f>
        <v>20.798547588923078</v>
      </c>
      <c r="B95" s="13"/>
      <c r="C95" s="1"/>
      <c r="D95" s="13">
        <f>K57</f>
        <v>3.44152585010989</v>
      </c>
      <c r="E95" s="13">
        <f>K65</f>
        <v>8.4594680205714283</v>
      </c>
      <c r="F95" s="1"/>
      <c r="G95" s="13">
        <f>K77</f>
        <v>0.22193406593406595</v>
      </c>
      <c r="H95" s="1"/>
      <c r="I95" s="13">
        <f>K84</f>
        <v>6.390807435428572</v>
      </c>
      <c r="J95" s="13">
        <f>K89+K71</f>
        <v>0.51223571868131867</v>
      </c>
      <c r="K95" s="80">
        <f>SUM(A95:J95)</f>
        <v>39.824518679648349</v>
      </c>
      <c r="L95" s="81"/>
    </row>
    <row r="96" spans="1:13" s="9" customFormat="1" x14ac:dyDescent="0.25"/>
    <row r="97" spans="1:12" s="9" customFormat="1" x14ac:dyDescent="0.25">
      <c r="A97" s="21" t="s">
        <v>63</v>
      </c>
      <c r="B97" s="21"/>
      <c r="C97" s="21"/>
      <c r="D97" s="21"/>
      <c r="E97" s="21"/>
      <c r="F97" s="21" t="s">
        <v>64</v>
      </c>
      <c r="G97" s="21"/>
    </row>
    <row r="98" spans="1:12" s="9" customFormat="1" x14ac:dyDescent="0.25">
      <c r="A98" s="21"/>
      <c r="B98" s="21"/>
      <c r="C98" s="3"/>
      <c r="D98" s="4"/>
      <c r="E98" s="4"/>
      <c r="F98" s="4"/>
      <c r="G98" s="4"/>
      <c r="I98" s="57">
        <f>I89+I84+I77+I71+I65+I57+I47</f>
        <v>1812015.599924</v>
      </c>
      <c r="L98" s="57">
        <f>K95*45500</f>
        <v>1812015.599924</v>
      </c>
    </row>
    <row r="99" spans="1:12" s="9" customFormat="1" x14ac:dyDescent="0.25"/>
    <row r="100" spans="1:12" s="9" customFormat="1" x14ac:dyDescent="0.25">
      <c r="A100" s="21" t="s">
        <v>102</v>
      </c>
      <c r="B100" s="7"/>
      <c r="L100" s="41"/>
    </row>
    <row r="101" spans="1:12" s="9" customFormat="1" x14ac:dyDescent="0.25">
      <c r="A101" s="21" t="s">
        <v>65</v>
      </c>
      <c r="B101" s="7"/>
      <c r="L101" s="41"/>
    </row>
    <row r="102" spans="1:12" x14ac:dyDescent="0.25">
      <c r="L102" s="56"/>
    </row>
    <row r="103" spans="1:12" x14ac:dyDescent="0.25">
      <c r="H103" s="53"/>
    </row>
    <row r="107" spans="1:12" hidden="1" x14ac:dyDescent="0.25"/>
    <row r="108" spans="1:12" hidden="1" x14ac:dyDescent="0.25">
      <c r="I108" s="41">
        <f>(K84+K47)*J88</f>
        <v>1237115.6536079999</v>
      </c>
      <c r="J108" s="9" t="s">
        <v>99</v>
      </c>
    </row>
    <row r="109" spans="1:12" hidden="1" x14ac:dyDescent="0.25">
      <c r="I109" s="41">
        <f>K57*J56</f>
        <v>156589.42617999998</v>
      </c>
      <c r="J109" s="9">
        <v>223</v>
      </c>
    </row>
    <row r="110" spans="1:12" hidden="1" x14ac:dyDescent="0.25">
      <c r="I110" s="42">
        <f>K77*J76</f>
        <v>10098</v>
      </c>
      <c r="J110">
        <v>221</v>
      </c>
    </row>
    <row r="111" spans="1:12" hidden="1" x14ac:dyDescent="0.25">
      <c r="I111" s="42">
        <f>(K65*J64)</f>
        <v>384905.79493599996</v>
      </c>
      <c r="J111">
        <v>225</v>
      </c>
    </row>
    <row r="112" spans="1:12" hidden="1" x14ac:dyDescent="0.25">
      <c r="I112">
        <f>K71*J70</f>
        <v>21028.718000000001</v>
      </c>
      <c r="J112" s="9">
        <v>226</v>
      </c>
    </row>
    <row r="113" spans="9:10" hidden="1" x14ac:dyDescent="0.25">
      <c r="I113" s="56">
        <f>K89*J88</f>
        <v>2278.0072000000005</v>
      </c>
      <c r="J113" t="s">
        <v>101</v>
      </c>
    </row>
    <row r="114" spans="9:10" hidden="1" x14ac:dyDescent="0.25"/>
  </sheetData>
  <mergeCells count="85">
    <mergeCell ref="A11:M11"/>
    <mergeCell ref="A84:E84"/>
    <mergeCell ref="A88:E88"/>
    <mergeCell ref="A83:E83"/>
    <mergeCell ref="A86:L86"/>
    <mergeCell ref="A74:E74"/>
    <mergeCell ref="A75:E75"/>
    <mergeCell ref="A81:E81"/>
    <mergeCell ref="A82:E82"/>
    <mergeCell ref="A56:E56"/>
    <mergeCell ref="A59:L59"/>
    <mergeCell ref="A60:E60"/>
    <mergeCell ref="A61:E61"/>
    <mergeCell ref="A62:E62"/>
    <mergeCell ref="A63:E63"/>
    <mergeCell ref="A55:E55"/>
    <mergeCell ref="K95:L95"/>
    <mergeCell ref="A65:H65"/>
    <mergeCell ref="A67:L67"/>
    <mergeCell ref="A68:E68"/>
    <mergeCell ref="A69:E69"/>
    <mergeCell ref="A70:E70"/>
    <mergeCell ref="A71:H71"/>
    <mergeCell ref="A77:H77"/>
    <mergeCell ref="A91:L91"/>
    <mergeCell ref="A93:C93"/>
    <mergeCell ref="D93:J93"/>
    <mergeCell ref="K93:L94"/>
    <mergeCell ref="A87:E87"/>
    <mergeCell ref="A76:E76"/>
    <mergeCell ref="A89:H89"/>
    <mergeCell ref="A73:L73"/>
    <mergeCell ref="A52:E52"/>
    <mergeCell ref="A53:E53"/>
    <mergeCell ref="A54:E54"/>
    <mergeCell ref="A64:E64"/>
    <mergeCell ref="A57:H57"/>
    <mergeCell ref="A79:L79"/>
    <mergeCell ref="A32:E32"/>
    <mergeCell ref="G32:K32"/>
    <mergeCell ref="A36:E36"/>
    <mergeCell ref="A37:E37"/>
    <mergeCell ref="A38:E38"/>
    <mergeCell ref="A39:E39"/>
    <mergeCell ref="A40:E40"/>
    <mergeCell ref="A47:E47"/>
    <mergeCell ref="A41:E41"/>
    <mergeCell ref="A42:E42"/>
    <mergeCell ref="A43:E43"/>
    <mergeCell ref="A44:E44"/>
    <mergeCell ref="A45:E45"/>
    <mergeCell ref="A46:E46"/>
    <mergeCell ref="A49:L49"/>
    <mergeCell ref="A30:E30"/>
    <mergeCell ref="G30:K30"/>
    <mergeCell ref="A31:E31"/>
    <mergeCell ref="G31:K31"/>
    <mergeCell ref="A18:E18"/>
    <mergeCell ref="G18:K18"/>
    <mergeCell ref="A20:E20"/>
    <mergeCell ref="G20:K20"/>
    <mergeCell ref="A21:E21"/>
    <mergeCell ref="G21:K21"/>
    <mergeCell ref="A22:E22"/>
    <mergeCell ref="G22:K22"/>
    <mergeCell ref="A23:E23"/>
    <mergeCell ref="G23:K23"/>
    <mergeCell ref="A19:E19"/>
    <mergeCell ref="G19:K19"/>
    <mergeCell ref="A5:F5"/>
    <mergeCell ref="A6:D6"/>
    <mergeCell ref="A28:E28"/>
    <mergeCell ref="G28:K28"/>
    <mergeCell ref="A29:E29"/>
    <mergeCell ref="A24:E24"/>
    <mergeCell ref="G24:K24"/>
    <mergeCell ref="A25:E25"/>
    <mergeCell ref="G25:K25"/>
    <mergeCell ref="A26:E26"/>
    <mergeCell ref="G26:K26"/>
    <mergeCell ref="A27:E27"/>
    <mergeCell ref="G27:K27"/>
    <mergeCell ref="G29:K29"/>
    <mergeCell ref="A9:M9"/>
    <mergeCell ref="A10:M10"/>
  </mergeCells>
  <printOptions horizontalCentered="1"/>
  <pageMargins left="0" right="0" top="0" bottom="0" header="0" footer="0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0"/>
  <sheetViews>
    <sheetView view="pageBreakPreview" zoomScale="60" zoomScaleNormal="90" workbookViewId="0">
      <selection activeCell="I49" sqref="I49"/>
    </sheetView>
  </sheetViews>
  <sheetFormatPr defaultRowHeight="15" x14ac:dyDescent="0.25"/>
  <cols>
    <col min="2" max="2" width="13.42578125" customWidth="1"/>
    <col min="5" max="5" width="13.42578125" customWidth="1"/>
    <col min="6" max="6" width="12.7109375" customWidth="1"/>
    <col min="7" max="7" width="9.5703125" customWidth="1"/>
    <col min="8" max="8" width="13.140625" customWidth="1"/>
    <col min="9" max="9" width="13.7109375" customWidth="1"/>
    <col min="10" max="11" width="13.5703125" customWidth="1"/>
    <col min="12" max="12" width="14.7109375" customWidth="1"/>
    <col min="13" max="13" width="13.85546875" customWidth="1"/>
  </cols>
  <sheetData>
    <row r="2" spans="1:13" ht="15.75" x14ac:dyDescent="0.25">
      <c r="A2" s="2" t="s">
        <v>60</v>
      </c>
      <c r="B2" s="2"/>
      <c r="C2" s="3"/>
      <c r="D2" s="4"/>
    </row>
    <row r="3" spans="1:13" ht="15.75" x14ac:dyDescent="0.25">
      <c r="A3" s="26" t="s">
        <v>61</v>
      </c>
      <c r="B3" s="26"/>
      <c r="C3" s="3"/>
      <c r="D3" s="4"/>
    </row>
    <row r="4" spans="1:13" x14ac:dyDescent="0.25">
      <c r="A4" s="6"/>
      <c r="B4" s="7"/>
      <c r="C4" s="3"/>
      <c r="D4" s="4"/>
    </row>
    <row r="5" spans="1:13" ht="15.75" x14ac:dyDescent="0.25">
      <c r="A5" s="62" t="s">
        <v>62</v>
      </c>
      <c r="B5" s="62"/>
      <c r="C5" s="62"/>
      <c r="D5" s="63"/>
      <c r="E5" s="63"/>
      <c r="F5" s="63"/>
    </row>
    <row r="6" spans="1:13" ht="15.75" x14ac:dyDescent="0.25">
      <c r="A6" s="64" t="s">
        <v>104</v>
      </c>
      <c r="B6" s="64"/>
      <c r="C6" s="64"/>
      <c r="D6" s="63"/>
    </row>
    <row r="7" spans="1:13" ht="15.75" x14ac:dyDescent="0.25">
      <c r="A7" s="27"/>
      <c r="B7" s="27"/>
      <c r="C7" s="27"/>
      <c r="D7" s="2"/>
    </row>
    <row r="8" spans="1:13" ht="15.75" x14ac:dyDescent="0.25">
      <c r="A8" s="72" t="s">
        <v>59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</row>
    <row r="9" spans="1:13" ht="15.75" x14ac:dyDescent="0.25">
      <c r="A9" s="72" t="s">
        <v>93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1:13" ht="15.75" x14ac:dyDescent="0.25">
      <c r="A10" s="72" t="s">
        <v>103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  <row r="12" spans="1:13" s="9" customFormat="1" x14ac:dyDescent="0.25">
      <c r="A12" s="10" t="s">
        <v>66</v>
      </c>
    </row>
    <row r="13" spans="1:13" s="9" customFormat="1" x14ac:dyDescent="0.25">
      <c r="A13" s="10" t="s">
        <v>96</v>
      </c>
    </row>
    <row r="14" spans="1:13" s="9" customFormat="1" x14ac:dyDescent="0.25">
      <c r="A14" s="10" t="s">
        <v>98</v>
      </c>
    </row>
    <row r="15" spans="1:13" s="9" customFormat="1" x14ac:dyDescent="0.25">
      <c r="A15" s="10" t="s">
        <v>106</v>
      </c>
    </row>
    <row r="16" spans="1:13" x14ac:dyDescent="0.25">
      <c r="A16" s="10" t="s">
        <v>73</v>
      </c>
      <c r="B16" s="9"/>
      <c r="C16" s="9"/>
      <c r="D16" s="9"/>
      <c r="E16" s="9"/>
    </row>
    <row r="17" spans="1:13" s="9" customFormat="1" ht="29.25" customHeight="1" x14ac:dyDescent="0.25">
      <c r="A17" s="73" t="s">
        <v>0</v>
      </c>
      <c r="B17" s="73"/>
      <c r="C17" s="73"/>
      <c r="D17" s="73"/>
      <c r="E17" s="73"/>
      <c r="F17" s="39" t="s">
        <v>1</v>
      </c>
      <c r="G17" s="73" t="s">
        <v>2</v>
      </c>
      <c r="H17" s="73"/>
      <c r="I17" s="73"/>
      <c r="J17" s="73"/>
      <c r="K17" s="73"/>
      <c r="L17" s="1" t="s">
        <v>1</v>
      </c>
    </row>
    <row r="18" spans="1:13" s="9" customFormat="1" x14ac:dyDescent="0.25">
      <c r="A18" s="65" t="s">
        <v>6</v>
      </c>
      <c r="B18" s="66"/>
      <c r="C18" s="66"/>
      <c r="D18" s="66"/>
      <c r="E18" s="67"/>
      <c r="F18" s="1">
        <v>0.1</v>
      </c>
      <c r="G18" s="68" t="s">
        <v>5</v>
      </c>
      <c r="H18" s="68"/>
      <c r="I18" s="68"/>
      <c r="J18" s="68"/>
      <c r="K18" s="68"/>
      <c r="L18" s="1">
        <v>0.1</v>
      </c>
    </row>
    <row r="19" spans="1:13" s="9" customFormat="1" x14ac:dyDescent="0.25">
      <c r="A19" s="65" t="s">
        <v>3</v>
      </c>
      <c r="B19" s="66"/>
      <c r="C19" s="66"/>
      <c r="D19" s="66"/>
      <c r="E19" s="67"/>
      <c r="F19" s="1">
        <v>0.1</v>
      </c>
      <c r="G19" s="68" t="s">
        <v>8</v>
      </c>
      <c r="H19" s="68"/>
      <c r="I19" s="68"/>
      <c r="J19" s="68"/>
      <c r="K19" s="68"/>
      <c r="L19" s="1">
        <v>0.1</v>
      </c>
    </row>
    <row r="20" spans="1:13" s="9" customFormat="1" x14ac:dyDescent="0.25">
      <c r="A20" s="65" t="s">
        <v>4</v>
      </c>
      <c r="B20" s="66"/>
      <c r="C20" s="66"/>
      <c r="D20" s="66"/>
      <c r="E20" s="67"/>
      <c r="F20" s="1">
        <v>0.1</v>
      </c>
      <c r="G20" s="68" t="s">
        <v>9</v>
      </c>
      <c r="H20" s="68"/>
      <c r="I20" s="68"/>
      <c r="J20" s="68"/>
      <c r="K20" s="68"/>
      <c r="L20" s="1">
        <v>0.05</v>
      </c>
      <c r="M20" s="97"/>
    </row>
    <row r="21" spans="1:13" s="9" customFormat="1" x14ac:dyDescent="0.25">
      <c r="A21" s="65" t="s">
        <v>11</v>
      </c>
      <c r="B21" s="66"/>
      <c r="C21" s="66"/>
      <c r="D21" s="66"/>
      <c r="E21" s="67"/>
      <c r="F21" s="1">
        <v>0.1</v>
      </c>
      <c r="G21" s="68"/>
      <c r="H21" s="68"/>
      <c r="I21" s="68"/>
      <c r="J21" s="68"/>
      <c r="K21" s="68"/>
      <c r="L21" s="1"/>
    </row>
    <row r="22" spans="1:13" s="9" customFormat="1" x14ac:dyDescent="0.25">
      <c r="A22" s="65" t="s">
        <v>7</v>
      </c>
      <c r="B22" s="66"/>
      <c r="C22" s="66"/>
      <c r="D22" s="66"/>
      <c r="E22" s="67"/>
      <c r="F22" s="1">
        <v>0.1</v>
      </c>
      <c r="G22" s="68"/>
      <c r="H22" s="68"/>
      <c r="I22" s="68"/>
      <c r="J22" s="68"/>
      <c r="K22" s="68"/>
      <c r="L22" s="1"/>
    </row>
    <row r="23" spans="1:13" s="9" customFormat="1" x14ac:dyDescent="0.25">
      <c r="A23" s="65" t="s">
        <v>10</v>
      </c>
      <c r="B23" s="66"/>
      <c r="C23" s="66"/>
      <c r="D23" s="66"/>
      <c r="E23" s="67"/>
      <c r="F23" s="1">
        <v>0.1</v>
      </c>
      <c r="G23" s="68"/>
      <c r="H23" s="68"/>
      <c r="I23" s="68"/>
      <c r="J23" s="68"/>
      <c r="K23" s="68"/>
      <c r="L23" s="1"/>
    </row>
    <row r="24" spans="1:13" s="9" customFormat="1" x14ac:dyDescent="0.25">
      <c r="A24" s="65" t="s">
        <v>12</v>
      </c>
      <c r="B24" s="66"/>
      <c r="C24" s="66"/>
      <c r="D24" s="66"/>
      <c r="E24" s="67"/>
      <c r="F24" s="1">
        <v>0.1</v>
      </c>
      <c r="G24" s="68"/>
      <c r="H24" s="68"/>
      <c r="I24" s="68"/>
      <c r="J24" s="68"/>
      <c r="K24" s="68"/>
      <c r="L24" s="1"/>
    </row>
    <row r="25" spans="1:13" s="9" customFormat="1" x14ac:dyDescent="0.25">
      <c r="A25" s="65" t="s">
        <v>13</v>
      </c>
      <c r="B25" s="66"/>
      <c r="C25" s="66"/>
      <c r="D25" s="66"/>
      <c r="E25" s="67"/>
      <c r="F25" s="1">
        <v>0.1</v>
      </c>
      <c r="G25" s="68"/>
      <c r="H25" s="68"/>
      <c r="I25" s="68"/>
      <c r="J25" s="68"/>
      <c r="K25" s="68"/>
      <c r="L25" s="1"/>
    </row>
    <row r="26" spans="1:13" s="9" customFormat="1" x14ac:dyDescent="0.25">
      <c r="A26" s="65" t="s">
        <v>56</v>
      </c>
      <c r="B26" s="66"/>
      <c r="C26" s="66"/>
      <c r="D26" s="66"/>
      <c r="E26" s="67"/>
      <c r="F26" s="1">
        <v>0.1</v>
      </c>
      <c r="G26" s="68"/>
      <c r="H26" s="68"/>
      <c r="I26" s="68"/>
      <c r="J26" s="68"/>
      <c r="K26" s="68"/>
      <c r="L26" s="1"/>
    </row>
    <row r="27" spans="1:13" s="9" customFormat="1" ht="12.75" customHeight="1" x14ac:dyDescent="0.25">
      <c r="A27" s="65"/>
      <c r="B27" s="66"/>
      <c r="C27" s="66"/>
      <c r="D27" s="66"/>
      <c r="E27" s="67"/>
      <c r="F27" s="1"/>
      <c r="G27" s="92"/>
      <c r="H27" s="92"/>
      <c r="I27" s="92"/>
      <c r="J27" s="92"/>
      <c r="K27" s="92"/>
      <c r="L27" s="11"/>
    </row>
    <row r="28" spans="1:13" s="9" customFormat="1" ht="12.75" customHeight="1" x14ac:dyDescent="0.25">
      <c r="A28" s="65"/>
      <c r="B28" s="66"/>
      <c r="C28" s="66"/>
      <c r="D28" s="66"/>
      <c r="E28" s="67"/>
      <c r="F28" s="1"/>
      <c r="G28" s="92"/>
      <c r="H28" s="92"/>
      <c r="I28" s="92"/>
      <c r="J28" s="92"/>
      <c r="K28" s="92"/>
      <c r="L28" s="11"/>
    </row>
    <row r="29" spans="1:13" s="9" customFormat="1" ht="12.75" customHeight="1" x14ac:dyDescent="0.25">
      <c r="A29" s="65"/>
      <c r="B29" s="66"/>
      <c r="C29" s="66"/>
      <c r="D29" s="66"/>
      <c r="E29" s="67"/>
      <c r="F29" s="1"/>
      <c r="G29" s="69"/>
      <c r="H29" s="70"/>
      <c r="I29" s="70"/>
      <c r="J29" s="70"/>
      <c r="K29" s="71"/>
      <c r="L29" s="11"/>
    </row>
    <row r="30" spans="1:13" s="9" customFormat="1" x14ac:dyDescent="0.25">
      <c r="A30" s="75" t="s">
        <v>14</v>
      </c>
      <c r="B30" s="75"/>
      <c r="C30" s="75"/>
      <c r="D30" s="75"/>
      <c r="E30" s="75"/>
      <c r="F30" s="1">
        <f>SUM(F18:F29)</f>
        <v>0.89999999999999991</v>
      </c>
      <c r="G30" s="75" t="s">
        <v>14</v>
      </c>
      <c r="H30" s="75"/>
      <c r="I30" s="75"/>
      <c r="J30" s="75"/>
      <c r="K30" s="75"/>
      <c r="L30" s="1">
        <f>SUM(L18:L29)</f>
        <v>0.25</v>
      </c>
    </row>
    <row r="31" spans="1:13" s="9" customFormat="1" x14ac:dyDescent="0.25"/>
    <row r="32" spans="1:13" s="9" customFormat="1" x14ac:dyDescent="0.25">
      <c r="A32" s="10" t="s">
        <v>90</v>
      </c>
      <c r="F32" s="9">
        <v>43</v>
      </c>
    </row>
    <row r="33" spans="1:12" s="9" customFormat="1" ht="75" x14ac:dyDescent="0.25">
      <c r="A33" s="75" t="s">
        <v>15</v>
      </c>
      <c r="B33" s="75"/>
      <c r="C33" s="75"/>
      <c r="D33" s="75"/>
      <c r="E33" s="75"/>
      <c r="F33" s="28" t="s">
        <v>16</v>
      </c>
      <c r="G33" s="28" t="s">
        <v>1</v>
      </c>
      <c r="H33" s="28" t="s">
        <v>74</v>
      </c>
      <c r="I33" s="28" t="s">
        <v>75</v>
      </c>
      <c r="J33" s="28" t="s">
        <v>76</v>
      </c>
      <c r="K33" s="98" t="s">
        <v>77</v>
      </c>
      <c r="L33" s="100"/>
    </row>
    <row r="34" spans="1:12" s="9" customFormat="1" x14ac:dyDescent="0.25">
      <c r="A34" s="68" t="s">
        <v>6</v>
      </c>
      <c r="B34" s="68"/>
      <c r="C34" s="68"/>
      <c r="D34" s="68"/>
      <c r="E34" s="68"/>
      <c r="F34" s="1">
        <f>'Услуга №1 '!F37</f>
        <v>23663</v>
      </c>
      <c r="G34" s="1">
        <v>0.1</v>
      </c>
      <c r="H34" s="1">
        <f>F34*G34*12</f>
        <v>28395.600000000002</v>
      </c>
      <c r="I34" s="13">
        <f>H34*1.302-0.42-0.81</f>
        <v>36969.84120000001</v>
      </c>
      <c r="J34" s="13">
        <f>F32</f>
        <v>43</v>
      </c>
      <c r="K34" s="58">
        <f>I34/J34</f>
        <v>859.7637488372095</v>
      </c>
      <c r="L34" s="101"/>
    </row>
    <row r="35" spans="1:12" s="9" customFormat="1" x14ac:dyDescent="0.25">
      <c r="A35" s="68" t="s">
        <v>3</v>
      </c>
      <c r="B35" s="68"/>
      <c r="C35" s="68"/>
      <c r="D35" s="68"/>
      <c r="E35" s="68"/>
      <c r="F35" s="1">
        <f>'Услуга №1 '!F38</f>
        <v>20665.599999999999</v>
      </c>
      <c r="G35" s="1">
        <v>0.1</v>
      </c>
      <c r="H35" s="1">
        <f t="shared" ref="H35:H42" si="0">F35*G35*12</f>
        <v>24798.720000000001</v>
      </c>
      <c r="I35" s="13">
        <f t="shared" ref="I35:I42" si="1">H35*1.302-0.42-0.81</f>
        <v>32286.703440000005</v>
      </c>
      <c r="J35" s="13">
        <f>F32</f>
        <v>43</v>
      </c>
      <c r="K35" s="58">
        <f t="shared" ref="K35:K42" si="2">I35/J35</f>
        <v>750.85356837209315</v>
      </c>
      <c r="L35" s="101"/>
    </row>
    <row r="36" spans="1:12" s="9" customFormat="1" x14ac:dyDescent="0.25">
      <c r="A36" s="68" t="s">
        <v>4</v>
      </c>
      <c r="B36" s="68"/>
      <c r="C36" s="68"/>
      <c r="D36" s="68"/>
      <c r="E36" s="68"/>
      <c r="F36" s="1">
        <f>'Услуга №1 '!F39</f>
        <v>19677.599999999999</v>
      </c>
      <c r="G36" s="1">
        <v>0.1</v>
      </c>
      <c r="H36" s="1">
        <f t="shared" si="0"/>
        <v>23613.119999999999</v>
      </c>
      <c r="I36" s="13">
        <f t="shared" si="1"/>
        <v>30743.052240000001</v>
      </c>
      <c r="J36" s="13">
        <f>F32</f>
        <v>43</v>
      </c>
      <c r="K36" s="58">
        <f t="shared" si="2"/>
        <v>714.95470325581402</v>
      </c>
      <c r="L36" s="101"/>
    </row>
    <row r="37" spans="1:12" s="9" customFormat="1" x14ac:dyDescent="0.25">
      <c r="A37" s="68" t="s">
        <v>11</v>
      </c>
      <c r="B37" s="68"/>
      <c r="C37" s="68"/>
      <c r="D37" s="68"/>
      <c r="E37" s="68"/>
      <c r="F37" s="1">
        <f>'Услуга №1 '!F40</f>
        <v>18738.61</v>
      </c>
      <c r="G37" s="1">
        <v>0.1</v>
      </c>
      <c r="H37" s="1">
        <f t="shared" si="0"/>
        <v>22486.332000000002</v>
      </c>
      <c r="I37" s="13">
        <f t="shared" si="1"/>
        <v>29275.974264000004</v>
      </c>
      <c r="J37" s="13">
        <f>F32</f>
        <v>43</v>
      </c>
      <c r="K37" s="58">
        <f t="shared" si="2"/>
        <v>680.83661079069782</v>
      </c>
      <c r="L37" s="101"/>
    </row>
    <row r="38" spans="1:12" s="9" customFormat="1" x14ac:dyDescent="0.25">
      <c r="A38" s="68" t="s">
        <v>7</v>
      </c>
      <c r="B38" s="68"/>
      <c r="C38" s="68"/>
      <c r="D38" s="68"/>
      <c r="E38" s="68"/>
      <c r="F38" s="1">
        <f>'Услуга №1 '!F41</f>
        <v>19007.055</v>
      </c>
      <c r="G38" s="1">
        <v>0.1</v>
      </c>
      <c r="H38" s="1">
        <f t="shared" si="0"/>
        <v>22808.466</v>
      </c>
      <c r="I38" s="13">
        <f t="shared" si="1"/>
        <v>29695.392732</v>
      </c>
      <c r="J38" s="13">
        <f>F32</f>
        <v>43</v>
      </c>
      <c r="K38" s="58">
        <f t="shared" si="2"/>
        <v>690.5905286511628</v>
      </c>
      <c r="L38" s="101"/>
    </row>
    <row r="39" spans="1:12" s="9" customFormat="1" x14ac:dyDescent="0.25">
      <c r="A39" s="68" t="s">
        <v>10</v>
      </c>
      <c r="B39" s="68"/>
      <c r="C39" s="68"/>
      <c r="D39" s="68"/>
      <c r="E39" s="68"/>
      <c r="F39" s="1">
        <f>'Услуга №1 '!F42</f>
        <v>18102.400000000001</v>
      </c>
      <c r="G39" s="1">
        <v>0.1</v>
      </c>
      <c r="H39" s="1">
        <f t="shared" si="0"/>
        <v>21722.880000000005</v>
      </c>
      <c r="I39" s="13">
        <f t="shared" si="1"/>
        <v>28281.959760000009</v>
      </c>
      <c r="J39" s="13">
        <f>F32</f>
        <v>43</v>
      </c>
      <c r="K39" s="58">
        <f t="shared" si="2"/>
        <v>657.71999441860487</v>
      </c>
      <c r="L39" s="101"/>
    </row>
    <row r="40" spans="1:12" s="9" customFormat="1" ht="15.75" customHeight="1" x14ac:dyDescent="0.25">
      <c r="A40" s="69" t="s">
        <v>12</v>
      </c>
      <c r="B40" s="70"/>
      <c r="C40" s="70"/>
      <c r="D40" s="70"/>
      <c r="E40" s="71"/>
      <c r="F40" s="14">
        <f>'Услуга №1 '!F44</f>
        <v>20250.8</v>
      </c>
      <c r="G40" s="1">
        <v>0.1</v>
      </c>
      <c r="H40" s="1">
        <f t="shared" si="0"/>
        <v>24300.959999999999</v>
      </c>
      <c r="I40" s="13">
        <f t="shared" si="1"/>
        <v>31638.619920000001</v>
      </c>
      <c r="J40" s="13">
        <f>F32</f>
        <v>43</v>
      </c>
      <c r="K40" s="58">
        <f t="shared" si="2"/>
        <v>735.78185860465123</v>
      </c>
      <c r="L40" s="101"/>
    </row>
    <row r="41" spans="1:12" s="9" customFormat="1" x14ac:dyDescent="0.25">
      <c r="A41" s="69" t="s">
        <v>13</v>
      </c>
      <c r="B41" s="70"/>
      <c r="C41" s="70"/>
      <c r="D41" s="70"/>
      <c r="E41" s="71"/>
      <c r="F41" s="14">
        <f>'Услуга №1 '!F83</f>
        <v>19451.2</v>
      </c>
      <c r="G41" s="1">
        <v>0.1</v>
      </c>
      <c r="H41" s="1">
        <f t="shared" si="0"/>
        <v>23341.440000000002</v>
      </c>
      <c r="I41" s="13">
        <f t="shared" si="1"/>
        <v>30389.324880000004</v>
      </c>
      <c r="J41" s="13">
        <f>F32</f>
        <v>43</v>
      </c>
      <c r="K41" s="58">
        <f t="shared" si="2"/>
        <v>706.72848558139549</v>
      </c>
      <c r="L41" s="101"/>
    </row>
    <row r="42" spans="1:12" s="9" customFormat="1" x14ac:dyDescent="0.25">
      <c r="A42" s="68" t="s">
        <v>56</v>
      </c>
      <c r="B42" s="68"/>
      <c r="C42" s="68"/>
      <c r="D42" s="68"/>
      <c r="E42" s="68"/>
      <c r="F42" s="14">
        <f>'Услуга №1 '!F46</f>
        <v>19270.599999999999</v>
      </c>
      <c r="G42" s="1">
        <v>0.1</v>
      </c>
      <c r="H42" s="1">
        <f t="shared" si="0"/>
        <v>23124.720000000001</v>
      </c>
      <c r="I42" s="13">
        <f t="shared" si="1"/>
        <v>30107.155440000002</v>
      </c>
      <c r="J42" s="13">
        <f>F32</f>
        <v>43</v>
      </c>
      <c r="K42" s="58">
        <f t="shared" si="2"/>
        <v>700.16640558139545</v>
      </c>
      <c r="L42" s="101"/>
    </row>
    <row r="43" spans="1:12" s="9" customFormat="1" ht="29.25" customHeight="1" x14ac:dyDescent="0.25">
      <c r="A43" s="76" t="s">
        <v>70</v>
      </c>
      <c r="B43" s="77"/>
      <c r="C43" s="77"/>
      <c r="D43" s="77"/>
      <c r="E43" s="78"/>
      <c r="F43" s="1"/>
      <c r="G43" s="13"/>
      <c r="H43" s="1"/>
      <c r="I43" s="51">
        <f>SUM(I34:I42)</f>
        <v>279388.02387600002</v>
      </c>
      <c r="J43" s="51"/>
      <c r="K43" s="99">
        <f>SUM(K34:K42)</f>
        <v>6497.3959040930249</v>
      </c>
      <c r="L43" s="102"/>
    </row>
    <row r="44" spans="1:12" s="9" customFormat="1" x14ac:dyDescent="0.25">
      <c r="A44" s="15"/>
      <c r="B44" s="15"/>
      <c r="C44" s="15"/>
      <c r="D44" s="15"/>
      <c r="E44" s="15"/>
      <c r="F44" s="16"/>
      <c r="G44" s="16"/>
      <c r="H44" s="16"/>
      <c r="I44" s="16"/>
      <c r="J44" s="17"/>
      <c r="K44" s="16"/>
      <c r="L44" s="17"/>
    </row>
    <row r="45" spans="1:12" s="9" customFormat="1" x14ac:dyDescent="0.25">
      <c r="A45" s="74" t="s">
        <v>18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</row>
    <row r="46" spans="1:12" s="9" customFormat="1" hidden="1" x14ac:dyDescent="0.25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</row>
    <row r="47" spans="1:12" s="9" customFormat="1" hidden="1" x14ac:dyDescent="0.25"/>
    <row r="48" spans="1:12" s="9" customFormat="1" ht="60" customHeight="1" x14ac:dyDescent="0.25">
      <c r="A48" s="75" t="s">
        <v>19</v>
      </c>
      <c r="B48" s="75"/>
      <c r="C48" s="75"/>
      <c r="D48" s="75"/>
      <c r="E48" s="75"/>
      <c r="F48" s="32" t="s">
        <v>17</v>
      </c>
      <c r="G48" s="32" t="s">
        <v>69</v>
      </c>
      <c r="H48" s="32" t="s">
        <v>68</v>
      </c>
      <c r="I48" s="32" t="s">
        <v>81</v>
      </c>
      <c r="J48" s="33" t="s">
        <v>76</v>
      </c>
      <c r="K48" s="34" t="s">
        <v>77</v>
      </c>
      <c r="L48" s="46"/>
    </row>
    <row r="49" spans="1:14" s="9" customFormat="1" x14ac:dyDescent="0.25">
      <c r="A49" s="68" t="s">
        <v>20</v>
      </c>
      <c r="B49" s="68"/>
      <c r="C49" s="68"/>
      <c r="D49" s="68"/>
      <c r="E49" s="68"/>
      <c r="F49" s="1" t="s">
        <v>24</v>
      </c>
      <c r="G49" s="1">
        <v>800</v>
      </c>
      <c r="H49" s="13">
        <f>'Услуга №1 '!H53</f>
        <v>7.8081149999999999</v>
      </c>
      <c r="I49" s="13">
        <f>G49*H49</f>
        <v>6246.4920000000002</v>
      </c>
      <c r="J49" s="50">
        <f>F32</f>
        <v>43</v>
      </c>
      <c r="K49" s="13">
        <f>I49/J49</f>
        <v>145.26725581395348</v>
      </c>
      <c r="L49" s="17"/>
      <c r="N49" s="17"/>
    </row>
    <row r="50" spans="1:14" s="9" customFormat="1" x14ac:dyDescent="0.25">
      <c r="A50" s="68" t="s">
        <v>21</v>
      </c>
      <c r="B50" s="68"/>
      <c r="C50" s="68"/>
      <c r="D50" s="68"/>
      <c r="E50" s="68"/>
      <c r="F50" s="1" t="s">
        <v>25</v>
      </c>
      <c r="G50" s="1">
        <v>17</v>
      </c>
      <c r="H50" s="13">
        <f>'Услуга №1 '!H54</f>
        <v>1764.7059999999999</v>
      </c>
      <c r="I50" s="13">
        <f>G50*H50+28.41</f>
        <v>30028.411999999997</v>
      </c>
      <c r="J50" s="50">
        <f>J49</f>
        <v>43</v>
      </c>
      <c r="K50" s="13">
        <f t="shared" ref="K50:K52" si="3">I50/J50</f>
        <v>698.33516279069761</v>
      </c>
      <c r="L50" s="17"/>
      <c r="N50" s="17"/>
    </row>
    <row r="51" spans="1:14" s="9" customFormat="1" x14ac:dyDescent="0.25">
      <c r="A51" s="68" t="s">
        <v>22</v>
      </c>
      <c r="B51" s="68"/>
      <c r="C51" s="68"/>
      <c r="D51" s="68"/>
      <c r="E51" s="68"/>
      <c r="F51" s="1" t="s">
        <v>26</v>
      </c>
      <c r="G51" s="1">
        <v>13</v>
      </c>
      <c r="H51" s="13">
        <f>'Услуга №1 '!H55</f>
        <v>28.405799999999999</v>
      </c>
      <c r="I51" s="13">
        <f t="shared" ref="I51:I52" si="4">G51*H51</f>
        <v>369.27539999999999</v>
      </c>
      <c r="J51" s="50">
        <f>J50</f>
        <v>43</v>
      </c>
      <c r="K51" s="13">
        <f t="shared" si="3"/>
        <v>8.5877999999999997</v>
      </c>
      <c r="L51" s="17"/>
      <c r="N51" s="17"/>
    </row>
    <row r="52" spans="1:14" s="9" customFormat="1" x14ac:dyDescent="0.25">
      <c r="A52" s="68" t="s">
        <v>23</v>
      </c>
      <c r="B52" s="68"/>
      <c r="C52" s="68"/>
      <c r="D52" s="68"/>
      <c r="E52" s="68"/>
      <c r="F52" s="1" t="s">
        <v>26</v>
      </c>
      <c r="G52" s="1">
        <v>13</v>
      </c>
      <c r="H52" s="13">
        <f>'Услуга №1 '!H56</f>
        <v>38.636400000000002</v>
      </c>
      <c r="I52" s="13">
        <f t="shared" si="4"/>
        <v>502.27320000000003</v>
      </c>
      <c r="J52" s="50">
        <f>J51</f>
        <v>43</v>
      </c>
      <c r="K52" s="13">
        <f t="shared" si="3"/>
        <v>11.680772093023256</v>
      </c>
      <c r="L52" s="17"/>
      <c r="M52" s="19"/>
      <c r="N52" s="17"/>
    </row>
    <row r="53" spans="1:14" s="9" customFormat="1" x14ac:dyDescent="0.25">
      <c r="A53" s="82" t="s">
        <v>71</v>
      </c>
      <c r="B53" s="83"/>
      <c r="C53" s="83"/>
      <c r="D53" s="83"/>
      <c r="E53" s="83"/>
      <c r="F53" s="83"/>
      <c r="G53" s="83"/>
      <c r="H53" s="84"/>
      <c r="I53" s="51">
        <f t="shared" ref="I53" si="5">SUM(I49:I52)</f>
        <v>37146.452599999997</v>
      </c>
      <c r="J53" s="51"/>
      <c r="K53" s="51">
        <f>SUM(K49:K52)</f>
        <v>863.87099069767442</v>
      </c>
      <c r="L53" s="17"/>
      <c r="N53" s="17"/>
    </row>
    <row r="54" spans="1:14" s="9" customFormat="1" x14ac:dyDescent="0.25"/>
    <row r="55" spans="1:14" s="9" customFormat="1" x14ac:dyDescent="0.25">
      <c r="A55" s="74" t="s">
        <v>27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</row>
    <row r="56" spans="1:14" s="9" customFormat="1" hidden="1" x14ac:dyDescent="0.25"/>
    <row r="57" spans="1:14" s="9" customFormat="1" ht="60" customHeight="1" x14ac:dyDescent="0.25">
      <c r="A57" s="75" t="s">
        <v>33</v>
      </c>
      <c r="B57" s="75"/>
      <c r="C57" s="75"/>
      <c r="D57" s="75"/>
      <c r="E57" s="75"/>
      <c r="F57" s="32" t="s">
        <v>17</v>
      </c>
      <c r="G57" s="32" t="s">
        <v>69</v>
      </c>
      <c r="H57" s="32" t="s">
        <v>68</v>
      </c>
      <c r="I57" s="32" t="s">
        <v>81</v>
      </c>
      <c r="J57" s="32" t="s">
        <v>76</v>
      </c>
      <c r="K57" s="34" t="s">
        <v>77</v>
      </c>
      <c r="L57" s="46"/>
    </row>
    <row r="58" spans="1:14" s="9" customFormat="1" x14ac:dyDescent="0.25">
      <c r="A58" s="68" t="s">
        <v>28</v>
      </c>
      <c r="B58" s="68"/>
      <c r="C58" s="68"/>
      <c r="D58" s="68"/>
      <c r="E58" s="68"/>
      <c r="F58" s="1" t="s">
        <v>31</v>
      </c>
      <c r="G58" s="47">
        <v>0.1</v>
      </c>
      <c r="H58" s="13">
        <v>724.31</v>
      </c>
      <c r="I58" s="13">
        <f t="shared" ref="I58:I60" si="6">H58*G58*12</f>
        <v>869.17200000000003</v>
      </c>
      <c r="J58" s="24">
        <f>J52</f>
        <v>43</v>
      </c>
      <c r="K58" s="13">
        <f t="shared" ref="K58:K61" si="7">I58/J58</f>
        <v>20.213302325581395</v>
      </c>
      <c r="L58" s="17"/>
    </row>
    <row r="59" spans="1:14" s="9" customFormat="1" x14ac:dyDescent="0.25">
      <c r="A59" s="68" t="s">
        <v>29</v>
      </c>
      <c r="B59" s="68"/>
      <c r="C59" s="68"/>
      <c r="D59" s="68"/>
      <c r="E59" s="68"/>
      <c r="F59" s="1" t="s">
        <v>31</v>
      </c>
      <c r="G59" s="47">
        <v>0.1</v>
      </c>
      <c r="H59" s="13">
        <f>'Услуга №1 '!H62</f>
        <v>529.16669999999999</v>
      </c>
      <c r="I59" s="13">
        <f t="shared" si="6"/>
        <v>635.00004000000001</v>
      </c>
      <c r="J59" s="24">
        <f>J58</f>
        <v>43</v>
      </c>
      <c r="K59" s="13">
        <f t="shared" si="7"/>
        <v>14.767442790697675</v>
      </c>
      <c r="L59" s="17"/>
    </row>
    <row r="60" spans="1:14" s="9" customFormat="1" x14ac:dyDescent="0.25">
      <c r="A60" s="68" t="s">
        <v>30</v>
      </c>
      <c r="B60" s="68"/>
      <c r="C60" s="68"/>
      <c r="D60" s="68"/>
      <c r="E60" s="68"/>
      <c r="F60" s="1" t="s">
        <v>31</v>
      </c>
      <c r="G60" s="47">
        <v>0.1</v>
      </c>
      <c r="H60" s="13">
        <f>'Услуга №1 '!H63</f>
        <v>2400</v>
      </c>
      <c r="I60" s="13">
        <f t="shared" si="6"/>
        <v>2880</v>
      </c>
      <c r="J60" s="24">
        <f>J59</f>
        <v>43</v>
      </c>
      <c r="K60" s="13">
        <f t="shared" si="7"/>
        <v>66.976744186046517</v>
      </c>
      <c r="L60" s="17"/>
    </row>
    <row r="61" spans="1:14" s="9" customFormat="1" ht="28.5" customHeight="1" x14ac:dyDescent="0.25">
      <c r="A61" s="69" t="s">
        <v>82</v>
      </c>
      <c r="B61" s="70"/>
      <c r="C61" s="70"/>
      <c r="D61" s="70"/>
      <c r="E61" s="71"/>
      <c r="F61" s="1" t="s">
        <v>31</v>
      </c>
      <c r="G61" s="47">
        <v>0.1</v>
      </c>
      <c r="H61" s="13">
        <v>26980.5</v>
      </c>
      <c r="I61" s="13">
        <f>H61*G61*12+235.78</f>
        <v>32612.38</v>
      </c>
      <c r="J61" s="24">
        <f>J60</f>
        <v>43</v>
      </c>
      <c r="K61" s="13">
        <f t="shared" si="7"/>
        <v>758.42744186046514</v>
      </c>
      <c r="L61" s="17"/>
    </row>
    <row r="62" spans="1:14" s="9" customFormat="1" x14ac:dyDescent="0.25">
      <c r="A62" s="82" t="s">
        <v>32</v>
      </c>
      <c r="B62" s="83"/>
      <c r="C62" s="83"/>
      <c r="D62" s="83"/>
      <c r="E62" s="83"/>
      <c r="F62" s="83"/>
      <c r="G62" s="83"/>
      <c r="H62" s="83"/>
      <c r="I62" s="49">
        <f>SUM(I58:I61)</f>
        <v>36996.552040000002</v>
      </c>
      <c r="J62" s="49"/>
      <c r="K62" s="49">
        <f>SUM(K58:K61)</f>
        <v>860.38493116279074</v>
      </c>
      <c r="L62" s="17"/>
    </row>
    <row r="63" spans="1:14" s="9" customFormat="1" x14ac:dyDescent="0.25"/>
    <row r="64" spans="1:14" s="9" customFormat="1" x14ac:dyDescent="0.25">
      <c r="A64" s="74" t="s">
        <v>83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</row>
    <row r="65" spans="1:13" s="9" customFormat="1" ht="60" customHeight="1" x14ac:dyDescent="0.25">
      <c r="A65" s="75" t="s">
        <v>33</v>
      </c>
      <c r="B65" s="75"/>
      <c r="C65" s="75"/>
      <c r="D65" s="75"/>
      <c r="E65" s="75"/>
      <c r="F65" s="32" t="s">
        <v>17</v>
      </c>
      <c r="G65" s="32" t="s">
        <v>69</v>
      </c>
      <c r="H65" s="32" t="s">
        <v>68</v>
      </c>
      <c r="I65" s="32" t="s">
        <v>81</v>
      </c>
      <c r="J65" s="32" t="s">
        <v>76</v>
      </c>
      <c r="K65" s="34" t="s">
        <v>77</v>
      </c>
      <c r="L65" s="46"/>
    </row>
    <row r="66" spans="1:13" s="9" customFormat="1" ht="30.75" customHeight="1" x14ac:dyDescent="0.25">
      <c r="A66" s="69" t="s">
        <v>84</v>
      </c>
      <c r="B66" s="70"/>
      <c r="C66" s="70"/>
      <c r="D66" s="70"/>
      <c r="E66" s="71"/>
      <c r="F66" s="1" t="s">
        <v>31</v>
      </c>
      <c r="G66" s="47">
        <v>0.1</v>
      </c>
      <c r="H66" s="13">
        <f>'Услуга №1 '!H69</f>
        <v>4737.7</v>
      </c>
      <c r="I66" s="13">
        <f>G66*H66*12</f>
        <v>5685.24</v>
      </c>
      <c r="J66" s="24">
        <f>J61</f>
        <v>43</v>
      </c>
      <c r="K66" s="13">
        <f>I66/J66</f>
        <v>132.21488372093023</v>
      </c>
      <c r="L66" s="17"/>
    </row>
    <row r="67" spans="1:13" s="9" customFormat="1" x14ac:dyDescent="0.25">
      <c r="A67" s="68" t="s">
        <v>85</v>
      </c>
      <c r="B67" s="68"/>
      <c r="C67" s="68"/>
      <c r="D67" s="68"/>
      <c r="E67" s="68"/>
      <c r="F67" s="1" t="s">
        <v>31</v>
      </c>
      <c r="G67" s="47">
        <v>0.1</v>
      </c>
      <c r="H67" s="13">
        <f>'Услуга №1 '!H70</f>
        <v>416.4</v>
      </c>
      <c r="I67" s="13">
        <f>G67*H67*12-0.01</f>
        <v>499.67</v>
      </c>
      <c r="J67" s="24">
        <f>J66</f>
        <v>43</v>
      </c>
      <c r="K67" s="13">
        <f t="shared" ref="K67" si="8">I67/J67</f>
        <v>11.620232558139536</v>
      </c>
      <c r="L67" s="17"/>
    </row>
    <row r="68" spans="1:13" s="9" customFormat="1" x14ac:dyDescent="0.25">
      <c r="A68" s="82" t="s">
        <v>86</v>
      </c>
      <c r="B68" s="83"/>
      <c r="C68" s="83"/>
      <c r="D68" s="83"/>
      <c r="E68" s="83"/>
      <c r="F68" s="83"/>
      <c r="G68" s="83"/>
      <c r="H68" s="83"/>
      <c r="I68" s="49">
        <f>SUM(I66:I67)</f>
        <v>6184.91</v>
      </c>
      <c r="J68" s="48"/>
      <c r="K68" s="48">
        <f>SUM(K66:K67)</f>
        <v>143.83511627906978</v>
      </c>
      <c r="L68" s="17"/>
    </row>
    <row r="69" spans="1:13" s="9" customFormat="1" x14ac:dyDescent="0.25">
      <c r="A69" s="35"/>
      <c r="B69" s="35"/>
      <c r="C69" s="35"/>
      <c r="D69" s="35"/>
      <c r="E69" s="35"/>
      <c r="F69" s="35"/>
      <c r="G69" s="35"/>
      <c r="H69" s="35"/>
      <c r="I69" s="54"/>
      <c r="J69" s="55"/>
      <c r="K69" s="55"/>
      <c r="L69" s="17"/>
    </row>
    <row r="70" spans="1:13" s="9" customFormat="1" x14ac:dyDescent="0.25">
      <c r="A70" s="74" t="s">
        <v>87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</row>
    <row r="71" spans="1:13" s="9" customFormat="1" ht="42.75" customHeight="1" x14ac:dyDescent="0.25">
      <c r="A71" s="85" t="s">
        <v>34</v>
      </c>
      <c r="B71" s="86"/>
      <c r="C71" s="86"/>
      <c r="D71" s="86"/>
      <c r="E71" s="87"/>
      <c r="F71" s="32" t="s">
        <v>17</v>
      </c>
      <c r="G71" s="32" t="s">
        <v>69</v>
      </c>
      <c r="H71" s="32" t="s">
        <v>68</v>
      </c>
      <c r="I71" s="32" t="s">
        <v>81</v>
      </c>
      <c r="J71" s="33" t="s">
        <v>76</v>
      </c>
      <c r="K71" s="34" t="s">
        <v>77</v>
      </c>
      <c r="L71" s="46"/>
      <c r="M71" s="46"/>
    </row>
    <row r="72" spans="1:13" s="9" customFormat="1" ht="30" x14ac:dyDescent="0.25">
      <c r="A72" s="85" t="s">
        <v>35</v>
      </c>
      <c r="B72" s="86"/>
      <c r="C72" s="86"/>
      <c r="D72" s="86"/>
      <c r="E72" s="87"/>
      <c r="F72" s="20" t="s">
        <v>36</v>
      </c>
      <c r="G72" s="13">
        <v>0.2</v>
      </c>
      <c r="H72" s="13">
        <f>'Услуга №1 '!H75</f>
        <v>850</v>
      </c>
      <c r="I72" s="13">
        <f>G72*H72*12</f>
        <v>2040</v>
      </c>
      <c r="J72" s="50">
        <f>J67</f>
        <v>43</v>
      </c>
      <c r="K72" s="13">
        <f>I72/J72</f>
        <v>47.441860465116278</v>
      </c>
      <c r="L72" s="16"/>
      <c r="M72" s="17"/>
    </row>
    <row r="73" spans="1:13" s="9" customFormat="1" x14ac:dyDescent="0.25">
      <c r="A73" s="85" t="s">
        <v>88</v>
      </c>
      <c r="B73" s="86"/>
      <c r="C73" s="86"/>
      <c r="D73" s="86"/>
      <c r="E73" s="87"/>
      <c r="F73" s="20" t="s">
        <v>31</v>
      </c>
      <c r="G73" s="13">
        <v>0.1</v>
      </c>
      <c r="H73" s="13">
        <f>'Услуга №1 '!H76</f>
        <v>800</v>
      </c>
      <c r="I73" s="13">
        <f>G73*H73*12</f>
        <v>960</v>
      </c>
      <c r="J73" s="50">
        <f>J72</f>
        <v>43</v>
      </c>
      <c r="K73" s="13">
        <f>I73/J73</f>
        <v>22.325581395348838</v>
      </c>
      <c r="L73" s="16"/>
      <c r="M73" s="17"/>
    </row>
    <row r="74" spans="1:13" s="9" customFormat="1" x14ac:dyDescent="0.25">
      <c r="A74" s="82" t="s">
        <v>37</v>
      </c>
      <c r="B74" s="83"/>
      <c r="C74" s="83"/>
      <c r="D74" s="83"/>
      <c r="E74" s="83"/>
      <c r="F74" s="83"/>
      <c r="G74" s="83"/>
      <c r="H74" s="84"/>
      <c r="I74" s="49">
        <f t="shared" ref="I74" si="9">SUM(I72:I73)</f>
        <v>3000</v>
      </c>
      <c r="J74" s="48"/>
      <c r="K74" s="48">
        <f>SUM(K72:K73)</f>
        <v>69.767441860465112</v>
      </c>
      <c r="L74" s="37"/>
      <c r="M74" s="17"/>
    </row>
    <row r="75" spans="1:13" s="9" customFormat="1" x14ac:dyDescent="0.25">
      <c r="A75" s="35"/>
      <c r="B75" s="35"/>
      <c r="C75" s="35"/>
      <c r="D75" s="35"/>
      <c r="E75" s="35"/>
      <c r="F75" s="35"/>
      <c r="G75" s="35"/>
      <c r="H75" s="35"/>
      <c r="I75" s="54"/>
      <c r="J75" s="55"/>
      <c r="K75" s="55"/>
      <c r="L75" s="37"/>
      <c r="M75" s="17"/>
    </row>
    <row r="76" spans="1:13" s="9" customFormat="1" x14ac:dyDescent="0.25">
      <c r="A76" s="74" t="s">
        <v>57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</row>
    <row r="77" spans="1:13" s="9" customFormat="1" hidden="1" x14ac:dyDescent="0.25"/>
    <row r="78" spans="1:13" s="9" customFormat="1" ht="75" x14ac:dyDescent="0.25">
      <c r="A78" s="75" t="s">
        <v>15</v>
      </c>
      <c r="B78" s="75"/>
      <c r="C78" s="75"/>
      <c r="D78" s="75"/>
      <c r="E78" s="75"/>
      <c r="F78" s="28" t="s">
        <v>16</v>
      </c>
      <c r="G78" s="28" t="s">
        <v>1</v>
      </c>
      <c r="H78" s="28" t="s">
        <v>74</v>
      </c>
      <c r="I78" s="28" t="s">
        <v>75</v>
      </c>
      <c r="J78" s="28" t="s">
        <v>76</v>
      </c>
      <c r="K78" s="34" t="s">
        <v>77</v>
      </c>
    </row>
    <row r="79" spans="1:13" s="9" customFormat="1" x14ac:dyDescent="0.25">
      <c r="A79" s="65" t="s">
        <v>5</v>
      </c>
      <c r="B79" s="66"/>
      <c r="C79" s="66"/>
      <c r="D79" s="66"/>
      <c r="E79" s="67"/>
      <c r="F79" s="14">
        <f>'Услуга №1 '!F82</f>
        <v>27867.62</v>
      </c>
      <c r="G79" s="1">
        <v>0.1</v>
      </c>
      <c r="H79" s="13">
        <f>F79*G79*12</f>
        <v>33441.144</v>
      </c>
      <c r="I79" s="13">
        <f>H79*1.302-0.42-0.81</f>
        <v>43539.139488000008</v>
      </c>
      <c r="J79" s="24">
        <f>J73</f>
        <v>43</v>
      </c>
      <c r="K79" s="13">
        <f>I79/J79</f>
        <v>1012.5381276279072</v>
      </c>
    </row>
    <row r="80" spans="1:13" s="9" customFormat="1" ht="30.75" customHeight="1" x14ac:dyDescent="0.25">
      <c r="A80" s="69" t="s">
        <v>8</v>
      </c>
      <c r="B80" s="70"/>
      <c r="C80" s="70"/>
      <c r="D80" s="70"/>
      <c r="E80" s="71"/>
      <c r="F80" s="14">
        <f>'Услуга №1 '!F45</f>
        <v>19301.599999999999</v>
      </c>
      <c r="G80" s="1">
        <v>0.1</v>
      </c>
      <c r="H80" s="13">
        <f>F80*G80*12</f>
        <v>23161.919999999998</v>
      </c>
      <c r="I80" s="13">
        <f t="shared" ref="I80:I81" si="10">H80*1.302-0.42-0.81</f>
        <v>30155.589840000001</v>
      </c>
      <c r="J80" s="24">
        <f>J79</f>
        <v>43</v>
      </c>
      <c r="K80" s="13">
        <f t="shared" ref="K80:K81" si="11">I80/J80</f>
        <v>701.2927869767442</v>
      </c>
    </row>
    <row r="81" spans="1:12" s="9" customFormat="1" x14ac:dyDescent="0.25">
      <c r="A81" s="68" t="s">
        <v>9</v>
      </c>
      <c r="B81" s="68"/>
      <c r="C81" s="68"/>
      <c r="D81" s="68"/>
      <c r="E81" s="68"/>
      <c r="F81" s="14">
        <f>'Услуга №1 '!F43</f>
        <v>18089.04</v>
      </c>
      <c r="G81" s="1">
        <v>0.05</v>
      </c>
      <c r="H81" s="13">
        <f>F81*G81*12</f>
        <v>10853.424000000001</v>
      </c>
      <c r="I81" s="13">
        <f t="shared" si="10"/>
        <v>14129.928048000002</v>
      </c>
      <c r="J81" s="24">
        <f>J80</f>
        <v>43</v>
      </c>
      <c r="K81" s="13">
        <f t="shared" si="11"/>
        <v>328.60297786046516</v>
      </c>
    </row>
    <row r="82" spans="1:12" s="9" customFormat="1" ht="15.75" customHeight="1" x14ac:dyDescent="0.25">
      <c r="A82" s="76" t="s">
        <v>38</v>
      </c>
      <c r="B82" s="77"/>
      <c r="C82" s="77"/>
      <c r="D82" s="77"/>
      <c r="E82" s="78"/>
      <c r="F82" s="23"/>
      <c r="G82" s="23"/>
      <c r="H82" s="22"/>
      <c r="I82" s="49">
        <f>SUM(I79:I81)</f>
        <v>87824.657376000017</v>
      </c>
      <c r="J82" s="49"/>
      <c r="K82" s="49">
        <f>SUM(K79:K81)</f>
        <v>2042.4338924651165</v>
      </c>
    </row>
    <row r="83" spans="1:12" s="9" customFormat="1" ht="15.75" customHeight="1" x14ac:dyDescent="0.25">
      <c r="A83" s="45"/>
      <c r="B83" s="45"/>
      <c r="C83" s="45"/>
      <c r="D83" s="45"/>
      <c r="E83" s="45"/>
      <c r="F83" s="36"/>
      <c r="G83" s="36"/>
      <c r="H83" s="37"/>
      <c r="I83" s="54"/>
      <c r="J83" s="54"/>
      <c r="K83" s="54"/>
      <c r="L83" s="17"/>
    </row>
    <row r="84" spans="1:12" s="9" customFormat="1" x14ac:dyDescent="0.25">
      <c r="A84" s="74" t="s">
        <v>39</v>
      </c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</row>
    <row r="85" spans="1:12" s="9" customFormat="1" ht="60" customHeight="1" x14ac:dyDescent="0.25">
      <c r="A85" s="75" t="s">
        <v>89</v>
      </c>
      <c r="B85" s="75"/>
      <c r="C85" s="75"/>
      <c r="D85" s="75"/>
      <c r="E85" s="75"/>
      <c r="F85" s="32" t="s">
        <v>17</v>
      </c>
      <c r="G85" s="32" t="s">
        <v>69</v>
      </c>
      <c r="H85" s="32" t="s">
        <v>68</v>
      </c>
      <c r="I85" s="32" t="s">
        <v>81</v>
      </c>
      <c r="J85" s="32" t="s">
        <v>76</v>
      </c>
      <c r="K85" s="34" t="s">
        <v>77</v>
      </c>
      <c r="L85" s="46"/>
    </row>
    <row r="86" spans="1:12" s="9" customFormat="1" x14ac:dyDescent="0.25">
      <c r="A86" s="68" t="s">
        <v>100</v>
      </c>
      <c r="B86" s="68"/>
      <c r="C86" s="68"/>
      <c r="D86" s="68"/>
      <c r="E86" s="68"/>
      <c r="F86" s="1" t="s">
        <v>40</v>
      </c>
      <c r="G86" s="13">
        <v>0.1</v>
      </c>
      <c r="H86" s="13">
        <f>'Услуга №1 '!H88</f>
        <v>558.34</v>
      </c>
      <c r="I86" s="13">
        <f>G86*H86*12-0.01</f>
        <v>669.99800000000005</v>
      </c>
      <c r="J86" s="24">
        <f>J79</f>
        <v>43</v>
      </c>
      <c r="K86" s="13">
        <f>I86/J86</f>
        <v>15.581348837209303</v>
      </c>
      <c r="L86" s="17"/>
    </row>
    <row r="87" spans="1:12" s="9" customFormat="1" x14ac:dyDescent="0.25">
      <c r="A87" s="82" t="s">
        <v>41</v>
      </c>
      <c r="B87" s="83"/>
      <c r="C87" s="83"/>
      <c r="D87" s="83"/>
      <c r="E87" s="83"/>
      <c r="F87" s="83"/>
      <c r="G87" s="83"/>
      <c r="H87" s="83"/>
      <c r="I87" s="49">
        <f>I86</f>
        <v>669.99800000000005</v>
      </c>
      <c r="J87" s="49"/>
      <c r="K87" s="49">
        <f t="shared" ref="K87" si="12">K86</f>
        <v>15.581348837209303</v>
      </c>
      <c r="L87" s="17"/>
    </row>
    <row r="88" spans="1:12" s="9" customFormat="1" ht="12" customHeight="1" x14ac:dyDescent="0.25"/>
    <row r="89" spans="1:12" s="9" customFormat="1" x14ac:dyDescent="0.25">
      <c r="A89" s="25" t="s">
        <v>42</v>
      </c>
      <c r="B89" s="25"/>
      <c r="C89" s="25"/>
      <c r="D89" s="25"/>
      <c r="E89" s="25"/>
      <c r="F89" s="25"/>
      <c r="G89" s="25"/>
      <c r="H89" s="25"/>
      <c r="I89" s="25"/>
      <c r="J89" s="25"/>
      <c r="K89" s="25"/>
      <c r="L89" s="25"/>
    </row>
    <row r="90" spans="1:12" s="9" customFormat="1" x14ac:dyDescent="0.25"/>
    <row r="91" spans="1:12" s="9" customFormat="1" x14ac:dyDescent="0.25">
      <c r="A91" s="73" t="s">
        <v>43</v>
      </c>
      <c r="B91" s="73"/>
      <c r="C91" s="73"/>
      <c r="D91" s="29" t="s">
        <v>44</v>
      </c>
      <c r="E91" s="30"/>
      <c r="F91" s="30"/>
      <c r="G91" s="30"/>
      <c r="H91" s="30"/>
      <c r="I91" s="30"/>
      <c r="J91" s="31"/>
      <c r="K91" s="73" t="s">
        <v>55</v>
      </c>
      <c r="L91" s="73"/>
    </row>
    <row r="92" spans="1:12" s="9" customFormat="1" x14ac:dyDescent="0.25">
      <c r="A92" s="1" t="s">
        <v>45</v>
      </c>
      <c r="B92" s="12" t="s">
        <v>46</v>
      </c>
      <c r="C92" s="1" t="s">
        <v>47</v>
      </c>
      <c r="D92" s="1" t="s">
        <v>48</v>
      </c>
      <c r="E92" s="1" t="s">
        <v>49</v>
      </c>
      <c r="F92" s="1" t="s">
        <v>50</v>
      </c>
      <c r="G92" s="1" t="s">
        <v>51</v>
      </c>
      <c r="H92" s="1" t="s">
        <v>52</v>
      </c>
      <c r="I92" s="1" t="s">
        <v>53</v>
      </c>
      <c r="J92" s="1" t="s">
        <v>54</v>
      </c>
      <c r="K92" s="73"/>
      <c r="L92" s="73"/>
    </row>
    <row r="93" spans="1:12" s="9" customFormat="1" x14ac:dyDescent="0.25">
      <c r="A93" s="13">
        <f>K43</f>
        <v>6497.3959040930249</v>
      </c>
      <c r="B93" s="24">
        <v>0</v>
      </c>
      <c r="C93" s="1">
        <v>0</v>
      </c>
      <c r="D93" s="13">
        <f>K53</f>
        <v>863.87099069767442</v>
      </c>
      <c r="E93" s="13">
        <f>K62</f>
        <v>860.38493116279074</v>
      </c>
      <c r="F93" s="1"/>
      <c r="G93" s="13">
        <f>K74</f>
        <v>69.767441860465112</v>
      </c>
      <c r="H93" s="1">
        <v>0</v>
      </c>
      <c r="I93" s="13">
        <f>K82</f>
        <v>2042.4338924651165</v>
      </c>
      <c r="J93" s="13">
        <f>K68+K87</f>
        <v>159.41646511627908</v>
      </c>
      <c r="K93" s="80">
        <f>SUM(A93:J93)</f>
        <v>10493.269625395351</v>
      </c>
      <c r="L93" s="93"/>
    </row>
    <row r="94" spans="1:12" s="9" customFormat="1" ht="9" customHeight="1" x14ac:dyDescent="0.25"/>
    <row r="95" spans="1:12" s="9" customFormat="1" x14ac:dyDescent="0.25">
      <c r="A95" s="21" t="s">
        <v>63</v>
      </c>
      <c r="B95" s="21"/>
      <c r="C95" s="21"/>
      <c r="D95" s="21"/>
      <c r="E95" s="21"/>
      <c r="F95" s="21" t="s">
        <v>64</v>
      </c>
      <c r="G95" s="21"/>
    </row>
    <row r="96" spans="1:12" s="9" customFormat="1" x14ac:dyDescent="0.25">
      <c r="A96" s="21"/>
      <c r="B96" s="21"/>
      <c r="C96" s="3"/>
      <c r="D96" s="4"/>
      <c r="E96" s="4"/>
      <c r="F96" s="4"/>
      <c r="G96" s="4"/>
      <c r="I96" s="57">
        <f>I43+I82+I87+I74+I68+I62+I53</f>
        <v>451210.59389200003</v>
      </c>
      <c r="L96" s="57">
        <f>K93*J81</f>
        <v>451210.59389200009</v>
      </c>
    </row>
    <row r="97" spans="1:12" s="9" customFormat="1" ht="4.5" customHeight="1" x14ac:dyDescent="0.25"/>
    <row r="98" spans="1:12" s="9" customFormat="1" x14ac:dyDescent="0.25">
      <c r="A98" s="21" t="str">
        <f>'Услуга №1 '!A100</f>
        <v>Курлович Анастасия Вячеславовна</v>
      </c>
      <c r="B98" s="7"/>
      <c r="I98" s="41"/>
      <c r="L98" s="41"/>
    </row>
    <row r="99" spans="1:12" s="9" customFormat="1" x14ac:dyDescent="0.25">
      <c r="A99" s="21" t="s">
        <v>65</v>
      </c>
      <c r="B99" s="7"/>
      <c r="L99" s="41"/>
    </row>
    <row r="100" spans="1:12" x14ac:dyDescent="0.25">
      <c r="L100" s="56"/>
    </row>
    <row r="101" spans="1:12" x14ac:dyDescent="0.25">
      <c r="H101" s="53"/>
    </row>
    <row r="105" spans="1:12" hidden="1" x14ac:dyDescent="0.25">
      <c r="I105" s="41">
        <f>(K82+K43)*J42</f>
        <v>367212.68125200004</v>
      </c>
      <c r="J105" s="9" t="s">
        <v>99</v>
      </c>
    </row>
    <row r="106" spans="1:12" hidden="1" x14ac:dyDescent="0.25">
      <c r="I106" s="42">
        <f>K53*42</f>
        <v>36282.581609302324</v>
      </c>
      <c r="J106">
        <v>223</v>
      </c>
    </row>
    <row r="107" spans="1:12" hidden="1" x14ac:dyDescent="0.25">
      <c r="I107" s="42">
        <f>K74*J73</f>
        <v>3000</v>
      </c>
      <c r="J107">
        <v>221</v>
      </c>
    </row>
    <row r="108" spans="1:12" hidden="1" x14ac:dyDescent="0.25">
      <c r="I108">
        <f>K62*J61</f>
        <v>36996.552040000002</v>
      </c>
      <c r="J108">
        <v>225</v>
      </c>
    </row>
    <row r="109" spans="1:12" hidden="1" x14ac:dyDescent="0.25">
      <c r="I109">
        <f>K68*J67</f>
        <v>6184.9100000000008</v>
      </c>
      <c r="J109">
        <v>226</v>
      </c>
    </row>
    <row r="110" spans="1:12" hidden="1" x14ac:dyDescent="0.25">
      <c r="I110" s="56">
        <f>K87*42</f>
        <v>654.41665116279069</v>
      </c>
      <c r="J110" t="s">
        <v>101</v>
      </c>
    </row>
  </sheetData>
  <mergeCells count="81">
    <mergeCell ref="A61:E61"/>
    <mergeCell ref="A57:E57"/>
    <mergeCell ref="A71:E71"/>
    <mergeCell ref="A72:E72"/>
    <mergeCell ref="A59:E59"/>
    <mergeCell ref="A60:E60"/>
    <mergeCell ref="A70:L70"/>
    <mergeCell ref="A65:E65"/>
    <mergeCell ref="A66:E66"/>
    <mergeCell ref="A67:E67"/>
    <mergeCell ref="A68:H68"/>
    <mergeCell ref="A18:E18"/>
    <mergeCell ref="A28:E28"/>
    <mergeCell ref="G28:K28"/>
    <mergeCell ref="A45:L45"/>
    <mergeCell ref="A43:E43"/>
    <mergeCell ref="A39:E39"/>
    <mergeCell ref="A40:E40"/>
    <mergeCell ref="A41:E41"/>
    <mergeCell ref="A42:E42"/>
    <mergeCell ref="A33:E33"/>
    <mergeCell ref="A34:E34"/>
    <mergeCell ref="A35:E35"/>
    <mergeCell ref="A36:E36"/>
    <mergeCell ref="G30:K30"/>
    <mergeCell ref="A27:E27"/>
    <mergeCell ref="A29:E29"/>
    <mergeCell ref="K93:L93"/>
    <mergeCell ref="A91:C91"/>
    <mergeCell ref="K91:L92"/>
    <mergeCell ref="A81:E81"/>
    <mergeCell ref="A86:E86"/>
    <mergeCell ref="A84:L84"/>
    <mergeCell ref="A85:E85"/>
    <mergeCell ref="A87:H87"/>
    <mergeCell ref="A82:E82"/>
    <mergeCell ref="A48:E48"/>
    <mergeCell ref="A37:E37"/>
    <mergeCell ref="A38:E38"/>
    <mergeCell ref="A79:E79"/>
    <mergeCell ref="A78:E78"/>
    <mergeCell ref="A49:E49"/>
    <mergeCell ref="A50:E50"/>
    <mergeCell ref="A51:E51"/>
    <mergeCell ref="A52:E52"/>
    <mergeCell ref="A53:H53"/>
    <mergeCell ref="A62:H62"/>
    <mergeCell ref="A58:E58"/>
    <mergeCell ref="A55:L55"/>
    <mergeCell ref="A64:L64"/>
    <mergeCell ref="A74:H74"/>
    <mergeCell ref="A73:E73"/>
    <mergeCell ref="G27:K27"/>
    <mergeCell ref="G29:K29"/>
    <mergeCell ref="A30:E30"/>
    <mergeCell ref="A25:E25"/>
    <mergeCell ref="G24:K24"/>
    <mergeCell ref="A26:E26"/>
    <mergeCell ref="G25:K25"/>
    <mergeCell ref="G26:K26"/>
    <mergeCell ref="G21:K21"/>
    <mergeCell ref="A23:E23"/>
    <mergeCell ref="G22:K22"/>
    <mergeCell ref="A24:E24"/>
    <mergeCell ref="G23:K23"/>
    <mergeCell ref="A17:E17"/>
    <mergeCell ref="G17:K17"/>
    <mergeCell ref="A76:L76"/>
    <mergeCell ref="A80:E80"/>
    <mergeCell ref="A5:F5"/>
    <mergeCell ref="A6:D6"/>
    <mergeCell ref="A8:M8"/>
    <mergeCell ref="A9:M9"/>
    <mergeCell ref="A10:M10"/>
    <mergeCell ref="A19:E19"/>
    <mergeCell ref="G18:K18"/>
    <mergeCell ref="A20:E20"/>
    <mergeCell ref="G19:K19"/>
    <mergeCell ref="A21:E21"/>
    <mergeCell ref="G20:K20"/>
    <mergeCell ref="A22:E22"/>
  </mergeCells>
  <printOptions horizontalCentered="1"/>
  <pageMargins left="0" right="0" top="0" bottom="0" header="0" footer="0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08"/>
  <sheetViews>
    <sheetView view="pageBreakPreview" zoomScale="60" zoomScaleNormal="90" workbookViewId="0">
      <selection activeCell="O33" sqref="O33"/>
    </sheetView>
  </sheetViews>
  <sheetFormatPr defaultRowHeight="15" x14ac:dyDescent="0.25"/>
  <cols>
    <col min="5" max="5" width="13.7109375" customWidth="1"/>
    <col min="6" max="6" width="12" customWidth="1"/>
    <col min="7" max="7" width="11.140625" customWidth="1"/>
    <col min="8" max="8" width="14.140625" customWidth="1"/>
    <col min="9" max="9" width="13.7109375" customWidth="1"/>
    <col min="10" max="10" width="13.5703125" customWidth="1"/>
    <col min="11" max="11" width="14.42578125" customWidth="1"/>
    <col min="12" max="12" width="15.140625" customWidth="1"/>
    <col min="13" max="13" width="13.85546875" customWidth="1"/>
  </cols>
  <sheetData>
    <row r="2" spans="1:13" ht="15.75" x14ac:dyDescent="0.25">
      <c r="A2" s="2" t="s">
        <v>60</v>
      </c>
      <c r="B2" s="2"/>
      <c r="C2" s="3"/>
      <c r="D2" s="4"/>
    </row>
    <row r="3" spans="1:13" ht="15.75" x14ac:dyDescent="0.25">
      <c r="A3" s="26" t="s">
        <v>61</v>
      </c>
      <c r="B3" s="26"/>
      <c r="C3" s="3"/>
      <c r="D3" s="4"/>
    </row>
    <row r="4" spans="1:13" x14ac:dyDescent="0.25">
      <c r="A4" s="6"/>
      <c r="B4" s="7"/>
      <c r="C4" s="3"/>
      <c r="D4" s="4"/>
    </row>
    <row r="5" spans="1:13" ht="15.75" x14ac:dyDescent="0.25">
      <c r="A5" s="62" t="s">
        <v>62</v>
      </c>
      <c r="B5" s="62"/>
      <c r="C5" s="62"/>
      <c r="D5" s="62"/>
      <c r="E5" s="62"/>
      <c r="F5" s="62"/>
    </row>
    <row r="6" spans="1:13" ht="15.75" x14ac:dyDescent="0.25">
      <c r="A6" s="64" t="s">
        <v>104</v>
      </c>
      <c r="B6" s="64"/>
      <c r="C6" s="64"/>
      <c r="D6" s="64"/>
    </row>
    <row r="7" spans="1:13" ht="15.75" x14ac:dyDescent="0.25">
      <c r="A7" s="27"/>
      <c r="B7" s="27"/>
      <c r="C7" s="27"/>
      <c r="D7" s="2"/>
    </row>
    <row r="9" spans="1:13" ht="15.75" x14ac:dyDescent="0.25">
      <c r="A9" s="72" t="s">
        <v>59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1:13" ht="15.75" x14ac:dyDescent="0.25">
      <c r="A10" s="72" t="s">
        <v>93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  <row r="11" spans="1:13" ht="15.75" x14ac:dyDescent="0.25">
      <c r="A11" s="72" t="s">
        <v>103</v>
      </c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  <c r="M11" s="72"/>
    </row>
    <row r="13" spans="1:13" s="9" customFormat="1" x14ac:dyDescent="0.25">
      <c r="A13" s="10" t="s">
        <v>66</v>
      </c>
    </row>
    <row r="14" spans="1:13" s="9" customFormat="1" x14ac:dyDescent="0.25">
      <c r="A14" s="10" t="s">
        <v>95</v>
      </c>
    </row>
    <row r="15" spans="1:13" s="9" customFormat="1" x14ac:dyDescent="0.25">
      <c r="A15" s="10" t="s">
        <v>97</v>
      </c>
    </row>
    <row r="16" spans="1:13" s="9" customFormat="1" x14ac:dyDescent="0.25">
      <c r="A16" s="10" t="s">
        <v>91</v>
      </c>
    </row>
    <row r="17" spans="1:12" x14ac:dyDescent="0.25">
      <c r="A17" s="10" t="s">
        <v>73</v>
      </c>
      <c r="B17" s="9"/>
      <c r="C17" s="9"/>
      <c r="D17" s="9"/>
      <c r="E17" s="9"/>
    </row>
    <row r="18" spans="1:12" s="9" customFormat="1" ht="30" customHeight="1" x14ac:dyDescent="0.25">
      <c r="A18" s="94" t="s">
        <v>0</v>
      </c>
      <c r="B18" s="95"/>
      <c r="C18" s="95"/>
      <c r="D18" s="95"/>
      <c r="E18" s="96"/>
      <c r="F18" s="39" t="s">
        <v>1</v>
      </c>
      <c r="G18" s="94" t="s">
        <v>2</v>
      </c>
      <c r="H18" s="95"/>
      <c r="I18" s="95"/>
      <c r="J18" s="95"/>
      <c r="K18" s="96"/>
      <c r="L18" s="1" t="s">
        <v>1</v>
      </c>
    </row>
    <row r="19" spans="1:12" s="9" customFormat="1" x14ac:dyDescent="0.25">
      <c r="A19" s="65" t="s">
        <v>6</v>
      </c>
      <c r="B19" s="66"/>
      <c r="C19" s="66"/>
      <c r="D19" s="66"/>
      <c r="E19" s="67"/>
      <c r="F19" s="1">
        <v>0.2</v>
      </c>
      <c r="G19" s="65" t="s">
        <v>5</v>
      </c>
      <c r="H19" s="66"/>
      <c r="I19" s="66"/>
      <c r="J19" s="66"/>
      <c r="K19" s="67"/>
      <c r="L19" s="1">
        <v>0.2</v>
      </c>
    </row>
    <row r="20" spans="1:12" s="9" customFormat="1" x14ac:dyDescent="0.25">
      <c r="A20" s="65" t="s">
        <v>3</v>
      </c>
      <c r="B20" s="66"/>
      <c r="C20" s="66"/>
      <c r="D20" s="66"/>
      <c r="E20" s="67"/>
      <c r="F20" s="1">
        <v>0.2</v>
      </c>
      <c r="G20" s="65" t="s">
        <v>9</v>
      </c>
      <c r="H20" s="66"/>
      <c r="I20" s="66"/>
      <c r="J20" s="66"/>
      <c r="K20" s="67"/>
      <c r="L20" s="1">
        <v>0.13</v>
      </c>
    </row>
    <row r="21" spans="1:12" s="9" customFormat="1" x14ac:dyDescent="0.25">
      <c r="A21" s="65" t="s">
        <v>4</v>
      </c>
      <c r="B21" s="66"/>
      <c r="C21" s="66"/>
      <c r="D21" s="66"/>
      <c r="E21" s="67"/>
      <c r="F21" s="1">
        <v>0.2</v>
      </c>
      <c r="G21" s="65" t="s">
        <v>8</v>
      </c>
      <c r="H21" s="66"/>
      <c r="I21" s="66"/>
      <c r="J21" s="66"/>
      <c r="K21" s="67"/>
      <c r="L21" s="1">
        <v>0.2</v>
      </c>
    </row>
    <row r="22" spans="1:12" s="9" customFormat="1" x14ac:dyDescent="0.25">
      <c r="A22" s="65" t="s">
        <v>11</v>
      </c>
      <c r="B22" s="66"/>
      <c r="C22" s="66"/>
      <c r="D22" s="66"/>
      <c r="E22" s="67"/>
      <c r="F22" s="1">
        <v>0.2</v>
      </c>
      <c r="G22" s="65"/>
      <c r="H22" s="66"/>
      <c r="I22" s="66"/>
      <c r="J22" s="66"/>
      <c r="K22" s="67"/>
      <c r="L22" s="1"/>
    </row>
    <row r="23" spans="1:12" s="9" customFormat="1" x14ac:dyDescent="0.25">
      <c r="A23" s="65" t="s">
        <v>7</v>
      </c>
      <c r="B23" s="66"/>
      <c r="C23" s="66"/>
      <c r="D23" s="66"/>
      <c r="E23" s="67"/>
      <c r="F23" s="1">
        <v>0.2</v>
      </c>
      <c r="G23" s="65"/>
      <c r="H23" s="66"/>
      <c r="I23" s="66"/>
      <c r="J23" s="66"/>
      <c r="K23" s="67"/>
      <c r="L23" s="1"/>
    </row>
    <row r="24" spans="1:12" s="9" customFormat="1" x14ac:dyDescent="0.25">
      <c r="A24" s="65" t="s">
        <v>10</v>
      </c>
      <c r="B24" s="66"/>
      <c r="C24" s="66"/>
      <c r="D24" s="66"/>
      <c r="E24" s="67"/>
      <c r="F24" s="1">
        <v>0.2</v>
      </c>
      <c r="G24" s="65"/>
      <c r="H24" s="66"/>
      <c r="I24" s="66"/>
      <c r="J24" s="66"/>
      <c r="K24" s="67"/>
      <c r="L24" s="1"/>
    </row>
    <row r="25" spans="1:12" s="9" customFormat="1" x14ac:dyDescent="0.25">
      <c r="A25" s="65" t="s">
        <v>12</v>
      </c>
      <c r="B25" s="66"/>
      <c r="C25" s="66"/>
      <c r="D25" s="66"/>
      <c r="E25" s="67"/>
      <c r="F25" s="1">
        <v>0.2</v>
      </c>
      <c r="G25" s="65"/>
      <c r="H25" s="66"/>
      <c r="I25" s="66"/>
      <c r="J25" s="66"/>
      <c r="K25" s="67"/>
      <c r="L25" s="1"/>
    </row>
    <row r="26" spans="1:12" s="9" customFormat="1" x14ac:dyDescent="0.25">
      <c r="A26" s="65" t="s">
        <v>13</v>
      </c>
      <c r="B26" s="66"/>
      <c r="C26" s="66"/>
      <c r="D26" s="66"/>
      <c r="E26" s="67"/>
      <c r="F26" s="1">
        <v>0.2</v>
      </c>
      <c r="G26" s="65"/>
      <c r="H26" s="66"/>
      <c r="I26" s="66"/>
      <c r="J26" s="66"/>
      <c r="K26" s="67"/>
      <c r="L26" s="1"/>
    </row>
    <row r="27" spans="1:12" s="9" customFormat="1" x14ac:dyDescent="0.25">
      <c r="A27" s="65" t="s">
        <v>56</v>
      </c>
      <c r="B27" s="66"/>
      <c r="C27" s="66"/>
      <c r="D27" s="66"/>
      <c r="E27" s="67"/>
      <c r="F27" s="1">
        <v>0.2</v>
      </c>
      <c r="G27" s="65"/>
      <c r="H27" s="66"/>
      <c r="I27" s="66"/>
      <c r="J27" s="66"/>
      <c r="K27" s="67"/>
      <c r="L27" s="1"/>
    </row>
    <row r="28" spans="1:12" s="9" customFormat="1" ht="11.25" customHeight="1" x14ac:dyDescent="0.25">
      <c r="A28" s="85"/>
      <c r="B28" s="86"/>
      <c r="C28" s="86"/>
      <c r="D28" s="86"/>
      <c r="E28" s="87"/>
      <c r="F28" s="1"/>
      <c r="G28" s="69"/>
      <c r="H28" s="70"/>
      <c r="I28" s="70"/>
      <c r="J28" s="70"/>
      <c r="K28" s="71"/>
      <c r="L28" s="11"/>
    </row>
    <row r="29" spans="1:12" s="9" customFormat="1" ht="11.25" customHeight="1" x14ac:dyDescent="0.25">
      <c r="A29" s="85"/>
      <c r="B29" s="86"/>
      <c r="C29" s="86"/>
      <c r="D29" s="86"/>
      <c r="E29" s="87"/>
      <c r="F29" s="1"/>
      <c r="G29" s="69"/>
      <c r="H29" s="70"/>
      <c r="I29" s="70"/>
      <c r="J29" s="70"/>
      <c r="K29" s="71"/>
      <c r="L29" s="11"/>
    </row>
    <row r="30" spans="1:12" s="9" customFormat="1" ht="11.25" customHeight="1" x14ac:dyDescent="0.25">
      <c r="A30" s="85"/>
      <c r="B30" s="86"/>
      <c r="C30" s="86"/>
      <c r="D30" s="86"/>
      <c r="E30" s="87"/>
      <c r="F30" s="1"/>
      <c r="G30" s="69"/>
      <c r="H30" s="70"/>
      <c r="I30" s="70"/>
      <c r="J30" s="70"/>
      <c r="K30" s="71"/>
      <c r="L30" s="11"/>
    </row>
    <row r="31" spans="1:12" s="9" customFormat="1" x14ac:dyDescent="0.25">
      <c r="A31" s="85" t="s">
        <v>14</v>
      </c>
      <c r="B31" s="86"/>
      <c r="C31" s="86"/>
      <c r="D31" s="86"/>
      <c r="E31" s="87"/>
      <c r="F31" s="1">
        <f>SUM(F19:F30)</f>
        <v>1.7999999999999998</v>
      </c>
      <c r="G31" s="85" t="s">
        <v>14</v>
      </c>
      <c r="H31" s="86"/>
      <c r="I31" s="86"/>
      <c r="J31" s="86"/>
      <c r="K31" s="87"/>
      <c r="L31" s="1">
        <f>SUM(L19:L30)</f>
        <v>0.53</v>
      </c>
    </row>
    <row r="32" spans="1:12" s="9" customFormat="1" x14ac:dyDescent="0.25"/>
    <row r="33" spans="1:15" s="9" customFormat="1" x14ac:dyDescent="0.25">
      <c r="A33" s="10" t="s">
        <v>58</v>
      </c>
      <c r="F33" s="9">
        <v>22000</v>
      </c>
      <c r="O33" s="97"/>
    </row>
    <row r="34" spans="1:15" s="9" customFormat="1" ht="75" x14ac:dyDescent="0.25">
      <c r="A34" s="85" t="s">
        <v>15</v>
      </c>
      <c r="B34" s="86"/>
      <c r="C34" s="86"/>
      <c r="D34" s="86"/>
      <c r="E34" s="87"/>
      <c r="F34" s="32" t="s">
        <v>16</v>
      </c>
      <c r="G34" s="32" t="s">
        <v>1</v>
      </c>
      <c r="H34" s="32" t="s">
        <v>74</v>
      </c>
      <c r="I34" s="32" t="s">
        <v>75</v>
      </c>
      <c r="J34" s="32" t="s">
        <v>76</v>
      </c>
      <c r="K34" s="34" t="s">
        <v>77</v>
      </c>
      <c r="L34" s="12"/>
    </row>
    <row r="35" spans="1:15" s="9" customFormat="1" x14ac:dyDescent="0.25">
      <c r="A35" s="65" t="s">
        <v>6</v>
      </c>
      <c r="B35" s="66"/>
      <c r="C35" s="66"/>
      <c r="D35" s="66"/>
      <c r="E35" s="67"/>
      <c r="F35" s="1">
        <f>'Услуга №1 '!F37</f>
        <v>23663</v>
      </c>
      <c r="G35" s="1">
        <v>0.2</v>
      </c>
      <c r="H35" s="1">
        <f t="shared" ref="H35:H43" si="0">F35*G35*12</f>
        <v>56791.200000000004</v>
      </c>
      <c r="I35" s="13">
        <f>H35*1.302-145.22-439.75</f>
        <v>73357.17240000001</v>
      </c>
      <c r="J35" s="13">
        <f>F33</f>
        <v>22000</v>
      </c>
      <c r="K35" s="13">
        <f>I35/J35</f>
        <v>3.3344169272727275</v>
      </c>
      <c r="L35" s="13"/>
    </row>
    <row r="36" spans="1:15" s="9" customFormat="1" x14ac:dyDescent="0.25">
      <c r="A36" s="65" t="s">
        <v>3</v>
      </c>
      <c r="B36" s="66"/>
      <c r="C36" s="66"/>
      <c r="D36" s="66"/>
      <c r="E36" s="67"/>
      <c r="F36" s="1">
        <f>'Услуга №1 '!F38</f>
        <v>20665.599999999999</v>
      </c>
      <c r="G36" s="1">
        <v>0.2</v>
      </c>
      <c r="H36" s="1">
        <f t="shared" si="0"/>
        <v>49597.440000000002</v>
      </c>
      <c r="I36" s="13">
        <f t="shared" ref="I36:I43" si="1">H36*1.302-145.22-439.75</f>
        <v>63990.896880000008</v>
      </c>
      <c r="J36" s="13">
        <f>J35</f>
        <v>22000</v>
      </c>
      <c r="K36" s="13">
        <f t="shared" ref="K36:K43" si="2">I36/J36</f>
        <v>2.9086771309090911</v>
      </c>
      <c r="L36" s="13"/>
    </row>
    <row r="37" spans="1:15" s="9" customFormat="1" x14ac:dyDescent="0.25">
      <c r="A37" s="65" t="s">
        <v>4</v>
      </c>
      <c r="B37" s="66"/>
      <c r="C37" s="66"/>
      <c r="D37" s="66"/>
      <c r="E37" s="67"/>
      <c r="F37" s="1">
        <f>'Услуга №1 '!F39</f>
        <v>19677.599999999999</v>
      </c>
      <c r="G37" s="1">
        <v>0.2</v>
      </c>
      <c r="H37" s="1">
        <f t="shared" si="0"/>
        <v>47226.239999999998</v>
      </c>
      <c r="I37" s="13">
        <f t="shared" si="1"/>
        <v>60903.59448</v>
      </c>
      <c r="J37" s="13">
        <f>J36</f>
        <v>22000</v>
      </c>
      <c r="K37" s="13">
        <f t="shared" si="2"/>
        <v>2.7683452036363638</v>
      </c>
      <c r="L37" s="13"/>
    </row>
    <row r="38" spans="1:15" s="9" customFormat="1" x14ac:dyDescent="0.25">
      <c r="A38" s="65" t="s">
        <v>11</v>
      </c>
      <c r="B38" s="66"/>
      <c r="C38" s="66"/>
      <c r="D38" s="66"/>
      <c r="E38" s="67"/>
      <c r="F38" s="1">
        <f>'Услуга №1 '!F40</f>
        <v>18738.61</v>
      </c>
      <c r="G38" s="1">
        <v>0.2</v>
      </c>
      <c r="H38" s="1">
        <f t="shared" si="0"/>
        <v>44972.664000000004</v>
      </c>
      <c r="I38" s="13">
        <f t="shared" si="1"/>
        <v>57969.438528000006</v>
      </c>
      <c r="J38" s="13">
        <f>J36</f>
        <v>22000</v>
      </c>
      <c r="K38" s="13">
        <f t="shared" si="2"/>
        <v>2.634974478545455</v>
      </c>
      <c r="L38" s="13"/>
    </row>
    <row r="39" spans="1:15" s="9" customFormat="1" x14ac:dyDescent="0.25">
      <c r="A39" s="65" t="s">
        <v>7</v>
      </c>
      <c r="B39" s="66"/>
      <c r="C39" s="66"/>
      <c r="D39" s="66"/>
      <c r="E39" s="67"/>
      <c r="F39" s="1">
        <f>'Услуга №1 '!F41</f>
        <v>19007.055</v>
      </c>
      <c r="G39" s="1">
        <v>0.2</v>
      </c>
      <c r="H39" s="1">
        <f t="shared" si="0"/>
        <v>45616.932000000001</v>
      </c>
      <c r="I39" s="13">
        <f t="shared" si="1"/>
        <v>58808.275463999998</v>
      </c>
      <c r="J39" s="13">
        <f>J37</f>
        <v>22000</v>
      </c>
      <c r="K39" s="13">
        <f t="shared" si="2"/>
        <v>2.673103430181818</v>
      </c>
      <c r="L39" s="13"/>
    </row>
    <row r="40" spans="1:15" s="9" customFormat="1" x14ac:dyDescent="0.25">
      <c r="A40" s="65" t="s">
        <v>10</v>
      </c>
      <c r="B40" s="66"/>
      <c r="C40" s="66"/>
      <c r="D40" s="66"/>
      <c r="E40" s="67"/>
      <c r="F40" s="1">
        <f>'Услуга №1 '!F42</f>
        <v>18102.400000000001</v>
      </c>
      <c r="G40" s="1">
        <v>0.2</v>
      </c>
      <c r="H40" s="1">
        <f t="shared" si="0"/>
        <v>43445.760000000009</v>
      </c>
      <c r="I40" s="13">
        <f t="shared" si="1"/>
        <v>55981.409520000016</v>
      </c>
      <c r="J40" s="13">
        <f>J39</f>
        <v>22000</v>
      </c>
      <c r="K40" s="13">
        <f t="shared" si="2"/>
        <v>2.5446095236363644</v>
      </c>
      <c r="L40" s="13"/>
    </row>
    <row r="41" spans="1:15" s="9" customFormat="1" ht="15" customHeight="1" x14ac:dyDescent="0.25">
      <c r="A41" s="69" t="s">
        <v>12</v>
      </c>
      <c r="B41" s="70"/>
      <c r="C41" s="70"/>
      <c r="D41" s="70"/>
      <c r="E41" s="71"/>
      <c r="F41" s="14">
        <f>'Услуга №1 '!F44</f>
        <v>20250.8</v>
      </c>
      <c r="G41" s="1">
        <v>0.2</v>
      </c>
      <c r="H41" s="1">
        <f t="shared" si="0"/>
        <v>48601.919999999998</v>
      </c>
      <c r="I41" s="13">
        <f t="shared" si="1"/>
        <v>62694.72984</v>
      </c>
      <c r="J41" s="13">
        <f>J39</f>
        <v>22000</v>
      </c>
      <c r="K41" s="13">
        <f t="shared" si="2"/>
        <v>2.8497604472727271</v>
      </c>
      <c r="L41" s="13"/>
    </row>
    <row r="42" spans="1:15" s="9" customFormat="1" x14ac:dyDescent="0.25">
      <c r="A42" s="69" t="s">
        <v>13</v>
      </c>
      <c r="B42" s="70"/>
      <c r="C42" s="70"/>
      <c r="D42" s="70"/>
      <c r="E42" s="71"/>
      <c r="F42" s="14">
        <f>'Услуга №1 '!F83</f>
        <v>19451.2</v>
      </c>
      <c r="G42" s="1">
        <v>0.2</v>
      </c>
      <c r="H42" s="1">
        <f t="shared" si="0"/>
        <v>46682.880000000005</v>
      </c>
      <c r="I42" s="13">
        <f t="shared" si="1"/>
        <v>60196.139760000005</v>
      </c>
      <c r="J42" s="13">
        <f>J40</f>
        <v>22000</v>
      </c>
      <c r="K42" s="13">
        <f t="shared" si="2"/>
        <v>2.7361881709090912</v>
      </c>
      <c r="L42" s="13"/>
    </row>
    <row r="43" spans="1:15" s="9" customFormat="1" x14ac:dyDescent="0.25">
      <c r="A43" s="65" t="s">
        <v>56</v>
      </c>
      <c r="B43" s="66"/>
      <c r="C43" s="66"/>
      <c r="D43" s="66"/>
      <c r="E43" s="67"/>
      <c r="F43" s="14">
        <f>'Услуга №1 '!F46</f>
        <v>19270.599999999999</v>
      </c>
      <c r="G43" s="1">
        <v>0.2</v>
      </c>
      <c r="H43" s="1">
        <f t="shared" si="0"/>
        <v>46249.440000000002</v>
      </c>
      <c r="I43" s="13">
        <f t="shared" si="1"/>
        <v>59631.800880000003</v>
      </c>
      <c r="J43" s="13">
        <f>J42</f>
        <v>22000</v>
      </c>
      <c r="K43" s="13">
        <f t="shared" si="2"/>
        <v>2.7105364036363637</v>
      </c>
      <c r="L43" s="13"/>
    </row>
    <row r="44" spans="1:15" s="9" customFormat="1" ht="27" customHeight="1" x14ac:dyDescent="0.25">
      <c r="A44" s="76" t="s">
        <v>70</v>
      </c>
      <c r="B44" s="77"/>
      <c r="C44" s="77"/>
      <c r="D44" s="77"/>
      <c r="E44" s="78"/>
      <c r="F44" s="1"/>
      <c r="G44" s="1"/>
      <c r="H44" s="1"/>
      <c r="I44" s="52">
        <f>SUM(I35:I43)</f>
        <v>553533.45775199996</v>
      </c>
      <c r="J44" s="52"/>
      <c r="K44" s="52">
        <f>SUM(K35:K43)</f>
        <v>25.160611716000005</v>
      </c>
      <c r="L44" s="13"/>
    </row>
    <row r="45" spans="1:15" s="9" customFormat="1" x14ac:dyDescent="0.25">
      <c r="A45" s="15"/>
      <c r="B45" s="15"/>
      <c r="C45" s="15"/>
      <c r="D45" s="15"/>
      <c r="E45" s="15"/>
      <c r="F45" s="16"/>
      <c r="G45" s="16"/>
      <c r="H45" s="16"/>
      <c r="I45" s="16"/>
      <c r="J45" s="17"/>
      <c r="K45" s="16"/>
      <c r="L45" s="17"/>
    </row>
    <row r="46" spans="1:15" s="9" customFormat="1" x14ac:dyDescent="0.25">
      <c r="A46" s="74" t="s">
        <v>18</v>
      </c>
      <c r="B46" s="74"/>
      <c r="C46" s="74"/>
      <c r="D46" s="74"/>
      <c r="E46" s="74"/>
      <c r="F46" s="74"/>
      <c r="G46" s="74"/>
      <c r="H46" s="74"/>
      <c r="I46" s="74"/>
      <c r="J46" s="74"/>
      <c r="K46" s="74"/>
      <c r="L46" s="74"/>
    </row>
    <row r="47" spans="1:15" s="9" customFormat="1" hidden="1" x14ac:dyDescent="0.25"/>
    <row r="48" spans="1:15" s="9" customFormat="1" ht="60" customHeight="1" x14ac:dyDescent="0.25">
      <c r="A48" s="75" t="s">
        <v>19</v>
      </c>
      <c r="B48" s="75"/>
      <c r="C48" s="75"/>
      <c r="D48" s="75"/>
      <c r="E48" s="75"/>
      <c r="F48" s="32" t="s">
        <v>17</v>
      </c>
      <c r="G48" s="32" t="s">
        <v>69</v>
      </c>
      <c r="H48" s="32" t="s">
        <v>68</v>
      </c>
      <c r="I48" s="32" t="s">
        <v>81</v>
      </c>
      <c r="J48" s="32" t="s">
        <v>76</v>
      </c>
      <c r="K48" s="34" t="s">
        <v>77</v>
      </c>
      <c r="L48" s="46"/>
    </row>
    <row r="49" spans="1:14" s="9" customFormat="1" x14ac:dyDescent="0.25">
      <c r="A49" s="68" t="s">
        <v>20</v>
      </c>
      <c r="B49" s="68"/>
      <c r="C49" s="68"/>
      <c r="D49" s="68"/>
      <c r="E49" s="68"/>
      <c r="F49" s="1" t="s">
        <v>24</v>
      </c>
      <c r="G49" s="1">
        <v>1620.8</v>
      </c>
      <c r="H49" s="13">
        <f>'Услуга №1 '!H53</f>
        <v>7.8081149999999999</v>
      </c>
      <c r="I49" s="13">
        <f>G49*H49</f>
        <v>12655.392791999999</v>
      </c>
      <c r="J49" s="24">
        <f>F33</f>
        <v>22000</v>
      </c>
      <c r="K49" s="13">
        <f>I49/J49</f>
        <v>0.5752451269090908</v>
      </c>
      <c r="L49" s="17"/>
      <c r="N49" s="17"/>
    </row>
    <row r="50" spans="1:14" s="9" customFormat="1" x14ac:dyDescent="0.25">
      <c r="A50" s="68" t="s">
        <v>21</v>
      </c>
      <c r="B50" s="68"/>
      <c r="C50" s="68"/>
      <c r="D50" s="68"/>
      <c r="E50" s="68"/>
      <c r="F50" s="1" t="s">
        <v>25</v>
      </c>
      <c r="G50" s="1">
        <v>34.42</v>
      </c>
      <c r="H50" s="13">
        <f>'Услуга №1 '!H54</f>
        <v>1764.7059999999999</v>
      </c>
      <c r="I50" s="13">
        <f>G50*H50+15657.25</f>
        <v>76398.430519999994</v>
      </c>
      <c r="J50" s="24">
        <f>J49</f>
        <v>22000</v>
      </c>
      <c r="K50" s="13">
        <f t="shared" ref="K50:K52" si="3">I50/J50</f>
        <v>3.4726559327272724</v>
      </c>
      <c r="L50" s="17"/>
      <c r="N50" s="17"/>
    </row>
    <row r="51" spans="1:14" s="9" customFormat="1" x14ac:dyDescent="0.25">
      <c r="A51" s="68" t="s">
        <v>22</v>
      </c>
      <c r="B51" s="68"/>
      <c r="C51" s="68"/>
      <c r="D51" s="68"/>
      <c r="E51" s="68"/>
      <c r="F51" s="1" t="s">
        <v>26</v>
      </c>
      <c r="G51" s="1">
        <v>26.34</v>
      </c>
      <c r="H51" s="13">
        <f>'Услуга №1 '!H55</f>
        <v>28.405799999999999</v>
      </c>
      <c r="I51" s="13">
        <f t="shared" ref="I51" si="4">G51*H51</f>
        <v>748.20877199999995</v>
      </c>
      <c r="J51" s="24">
        <f>J50</f>
        <v>22000</v>
      </c>
      <c r="K51" s="13">
        <f t="shared" si="3"/>
        <v>3.4009489636363632E-2</v>
      </c>
      <c r="L51" s="17"/>
      <c r="M51" s="19"/>
      <c r="N51" s="17"/>
    </row>
    <row r="52" spans="1:14" s="9" customFormat="1" x14ac:dyDescent="0.25">
      <c r="A52" s="68" t="s">
        <v>23</v>
      </c>
      <c r="B52" s="68"/>
      <c r="C52" s="68"/>
      <c r="D52" s="68"/>
      <c r="E52" s="68"/>
      <c r="F52" s="1" t="s">
        <v>26</v>
      </c>
      <c r="G52" s="1">
        <v>26.34</v>
      </c>
      <c r="H52" s="13">
        <f>'Услуга №1 '!H56</f>
        <v>38.636400000000002</v>
      </c>
      <c r="I52" s="13">
        <f>G52*H52</f>
        <v>1017.682776</v>
      </c>
      <c r="J52" s="24">
        <f>J51</f>
        <v>22000</v>
      </c>
      <c r="K52" s="13">
        <f t="shared" si="3"/>
        <v>4.6258307999999998E-2</v>
      </c>
      <c r="L52" s="17"/>
      <c r="N52" s="17"/>
    </row>
    <row r="53" spans="1:14" s="9" customFormat="1" x14ac:dyDescent="0.25">
      <c r="A53" s="82" t="s">
        <v>71</v>
      </c>
      <c r="B53" s="83"/>
      <c r="C53" s="83"/>
      <c r="D53" s="83"/>
      <c r="E53" s="83"/>
      <c r="F53" s="83"/>
      <c r="G53" s="83"/>
      <c r="H53" s="83"/>
      <c r="I53" s="49">
        <f t="shared" ref="I53" si="5">SUM(I49:I52)</f>
        <v>90819.714859999993</v>
      </c>
      <c r="J53" s="48"/>
      <c r="K53" s="48">
        <f>SUM(K49:K52)</f>
        <v>4.1281688572727262</v>
      </c>
      <c r="L53" s="17"/>
    </row>
    <row r="54" spans="1:14" s="9" customFormat="1" x14ac:dyDescent="0.25"/>
    <row r="55" spans="1:14" s="9" customFormat="1" x14ac:dyDescent="0.25">
      <c r="A55" s="74" t="s">
        <v>27</v>
      </c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</row>
    <row r="56" spans="1:14" s="9" customFormat="1" ht="15" hidden="1" customHeight="1" x14ac:dyDescent="0.25"/>
    <row r="57" spans="1:14" s="9" customFormat="1" ht="60" customHeight="1" x14ac:dyDescent="0.25">
      <c r="A57" s="75" t="s">
        <v>33</v>
      </c>
      <c r="B57" s="75"/>
      <c r="C57" s="75"/>
      <c r="D57" s="75"/>
      <c r="E57" s="75"/>
      <c r="F57" s="32" t="s">
        <v>17</v>
      </c>
      <c r="G57" s="32" t="s">
        <v>69</v>
      </c>
      <c r="H57" s="32" t="s">
        <v>68</v>
      </c>
      <c r="I57" s="32" t="s">
        <v>81</v>
      </c>
      <c r="J57" s="32" t="s">
        <v>76</v>
      </c>
      <c r="K57" s="34" t="s">
        <v>77</v>
      </c>
      <c r="L57" s="46"/>
    </row>
    <row r="58" spans="1:14" s="9" customFormat="1" x14ac:dyDescent="0.25">
      <c r="A58" s="68" t="s">
        <v>28</v>
      </c>
      <c r="B58" s="68"/>
      <c r="C58" s="68"/>
      <c r="D58" s="68"/>
      <c r="E58" s="68"/>
      <c r="F58" s="1" t="s">
        <v>31</v>
      </c>
      <c r="G58" s="47">
        <v>0.2</v>
      </c>
      <c r="H58" s="13">
        <v>724.31</v>
      </c>
      <c r="I58" s="13">
        <f t="shared" ref="I58:I60" si="6">G58*H58*12</f>
        <v>1738.3440000000001</v>
      </c>
      <c r="J58" s="24">
        <f>J52</f>
        <v>22000</v>
      </c>
      <c r="K58" s="13">
        <f t="shared" ref="K58:K61" si="7">I58/J58</f>
        <v>7.9015636363636371E-2</v>
      </c>
      <c r="L58" s="17"/>
    </row>
    <row r="59" spans="1:14" s="9" customFormat="1" x14ac:dyDescent="0.25">
      <c r="A59" s="68" t="s">
        <v>29</v>
      </c>
      <c r="B59" s="68"/>
      <c r="C59" s="68"/>
      <c r="D59" s="68"/>
      <c r="E59" s="68"/>
      <c r="F59" s="1" t="s">
        <v>31</v>
      </c>
      <c r="G59" s="47">
        <v>0.2</v>
      </c>
      <c r="H59" s="13">
        <f>'Услуга №1 '!H62</f>
        <v>529.16669999999999</v>
      </c>
      <c r="I59" s="13">
        <f>G59*H59*12</f>
        <v>1270.00008</v>
      </c>
      <c r="J59" s="24">
        <f>J58</f>
        <v>22000</v>
      </c>
      <c r="K59" s="13">
        <f t="shared" si="7"/>
        <v>5.7727276363636365E-2</v>
      </c>
      <c r="L59" s="17"/>
    </row>
    <row r="60" spans="1:14" s="9" customFormat="1" x14ac:dyDescent="0.25">
      <c r="A60" s="68" t="s">
        <v>30</v>
      </c>
      <c r="B60" s="68"/>
      <c r="C60" s="68"/>
      <c r="D60" s="68"/>
      <c r="E60" s="68"/>
      <c r="F60" s="1" t="s">
        <v>31</v>
      </c>
      <c r="G60" s="47">
        <v>0.2</v>
      </c>
      <c r="H60" s="13">
        <f>'Услуга №1 '!H63</f>
        <v>2400</v>
      </c>
      <c r="I60" s="13">
        <f t="shared" si="6"/>
        <v>5760</v>
      </c>
      <c r="J60" s="24">
        <f>J59</f>
        <v>22000</v>
      </c>
      <c r="K60" s="13">
        <f t="shared" si="7"/>
        <v>0.26181818181818184</v>
      </c>
      <c r="L60" s="17"/>
    </row>
    <row r="61" spans="1:14" s="9" customFormat="1" ht="28.5" customHeight="1" x14ac:dyDescent="0.25">
      <c r="A61" s="69" t="s">
        <v>82</v>
      </c>
      <c r="B61" s="70"/>
      <c r="C61" s="70"/>
      <c r="D61" s="70"/>
      <c r="E61" s="71"/>
      <c r="F61" s="1" t="s">
        <v>31</v>
      </c>
      <c r="G61" s="47">
        <v>0.2</v>
      </c>
      <c r="H61" s="13">
        <v>26980.5</v>
      </c>
      <c r="I61" s="13">
        <f>G61*H61*12+129959.59</f>
        <v>194712.79</v>
      </c>
      <c r="J61" s="24">
        <f>J60</f>
        <v>22000</v>
      </c>
      <c r="K61" s="13">
        <f t="shared" si="7"/>
        <v>8.8505813636363637</v>
      </c>
      <c r="L61" s="17"/>
    </row>
    <row r="62" spans="1:14" s="9" customFormat="1" x14ac:dyDescent="0.25">
      <c r="A62" s="82" t="s">
        <v>32</v>
      </c>
      <c r="B62" s="83"/>
      <c r="C62" s="83"/>
      <c r="D62" s="83"/>
      <c r="E62" s="83"/>
      <c r="F62" s="83"/>
      <c r="G62" s="83"/>
      <c r="H62" s="83"/>
      <c r="I62" s="49">
        <f>SUM(I58:I61)</f>
        <v>203481.13408000002</v>
      </c>
      <c r="J62" s="49"/>
      <c r="K62" s="49">
        <f>SUM(K58:K61)</f>
        <v>9.2491424581818187</v>
      </c>
      <c r="L62" s="17"/>
    </row>
    <row r="63" spans="1:14" s="9" customFormat="1" x14ac:dyDescent="0.25"/>
    <row r="64" spans="1:14" s="9" customFormat="1" x14ac:dyDescent="0.25">
      <c r="A64" s="74" t="s">
        <v>83</v>
      </c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</row>
    <row r="65" spans="1:13" s="9" customFormat="1" ht="60" customHeight="1" x14ac:dyDescent="0.25">
      <c r="A65" s="75" t="s">
        <v>33</v>
      </c>
      <c r="B65" s="75"/>
      <c r="C65" s="75"/>
      <c r="D65" s="75"/>
      <c r="E65" s="75"/>
      <c r="F65" s="32" t="s">
        <v>17</v>
      </c>
      <c r="G65" s="32" t="s">
        <v>69</v>
      </c>
      <c r="H65" s="32" t="s">
        <v>68</v>
      </c>
      <c r="I65" s="32" t="s">
        <v>81</v>
      </c>
      <c r="J65" s="32" t="s">
        <v>76</v>
      </c>
      <c r="K65" s="34" t="s">
        <v>77</v>
      </c>
      <c r="L65" s="46"/>
    </row>
    <row r="66" spans="1:13" s="9" customFormat="1" ht="30.75" customHeight="1" x14ac:dyDescent="0.25">
      <c r="A66" s="69" t="s">
        <v>84</v>
      </c>
      <c r="B66" s="70"/>
      <c r="C66" s="70"/>
      <c r="D66" s="70"/>
      <c r="E66" s="71"/>
      <c r="F66" s="1" t="s">
        <v>31</v>
      </c>
      <c r="G66" s="47">
        <v>0.2</v>
      </c>
      <c r="H66" s="13">
        <f>'Услуга №1 '!H69</f>
        <v>4737.7</v>
      </c>
      <c r="I66" s="13">
        <f>G66*H66*12</f>
        <v>11370.48</v>
      </c>
      <c r="J66" s="24">
        <f>J61</f>
        <v>22000</v>
      </c>
      <c r="K66" s="13">
        <f>I66/J66</f>
        <v>0.51683999999999997</v>
      </c>
      <c r="L66" s="17"/>
    </row>
    <row r="67" spans="1:13" s="9" customFormat="1" x14ac:dyDescent="0.25">
      <c r="A67" s="68" t="s">
        <v>85</v>
      </c>
      <c r="B67" s="68"/>
      <c r="C67" s="68"/>
      <c r="D67" s="68"/>
      <c r="E67" s="68"/>
      <c r="F67" s="1" t="s">
        <v>31</v>
      </c>
      <c r="G67" s="47">
        <v>0.2</v>
      </c>
      <c r="H67" s="13">
        <f>'Услуга №1 '!H70</f>
        <v>416.4</v>
      </c>
      <c r="I67" s="13">
        <f>G67*H67*12-0.01</f>
        <v>999.35</v>
      </c>
      <c r="J67" s="24">
        <f>J66</f>
        <v>22000</v>
      </c>
      <c r="K67" s="13">
        <f t="shared" ref="K67" si="8">I67/J67</f>
        <v>4.5425E-2</v>
      </c>
      <c r="L67" s="17"/>
    </row>
    <row r="68" spans="1:13" s="9" customFormat="1" x14ac:dyDescent="0.25">
      <c r="A68" s="82" t="s">
        <v>86</v>
      </c>
      <c r="B68" s="83"/>
      <c r="C68" s="83"/>
      <c r="D68" s="83"/>
      <c r="E68" s="83"/>
      <c r="F68" s="83"/>
      <c r="G68" s="83"/>
      <c r="H68" s="83"/>
      <c r="I68" s="49">
        <f>SUM(I66:I67)</f>
        <v>12369.83</v>
      </c>
      <c r="J68" s="48"/>
      <c r="K68" s="48">
        <f>SUM(K66:K67)</f>
        <v>0.56226500000000001</v>
      </c>
      <c r="L68" s="17"/>
    </row>
    <row r="69" spans="1:13" s="9" customFormat="1" x14ac:dyDescent="0.25">
      <c r="A69" s="35"/>
      <c r="B69" s="35"/>
      <c r="C69" s="35"/>
      <c r="D69" s="35"/>
      <c r="E69" s="35"/>
      <c r="F69" s="35"/>
      <c r="G69" s="35"/>
      <c r="H69" s="35"/>
      <c r="I69" s="54"/>
      <c r="J69" s="55"/>
      <c r="K69" s="55"/>
      <c r="L69" s="17"/>
    </row>
    <row r="70" spans="1:13" s="9" customFormat="1" x14ac:dyDescent="0.25">
      <c r="A70" s="74" t="s">
        <v>87</v>
      </c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</row>
    <row r="71" spans="1:13" s="9" customFormat="1" ht="45" customHeight="1" x14ac:dyDescent="0.25">
      <c r="A71" s="85" t="s">
        <v>34</v>
      </c>
      <c r="B71" s="86"/>
      <c r="C71" s="86"/>
      <c r="D71" s="86"/>
      <c r="E71" s="87"/>
      <c r="F71" s="32" t="s">
        <v>17</v>
      </c>
      <c r="G71" s="32" t="s">
        <v>69</v>
      </c>
      <c r="H71" s="32" t="s">
        <v>68</v>
      </c>
      <c r="I71" s="32" t="s">
        <v>81</v>
      </c>
      <c r="J71" s="33" t="s">
        <v>76</v>
      </c>
      <c r="K71" s="34" t="s">
        <v>77</v>
      </c>
      <c r="L71" s="46"/>
      <c r="M71" s="46"/>
    </row>
    <row r="72" spans="1:13" s="9" customFormat="1" ht="30.75" customHeight="1" x14ac:dyDescent="0.25">
      <c r="A72" s="85" t="s">
        <v>35</v>
      </c>
      <c r="B72" s="86"/>
      <c r="C72" s="86"/>
      <c r="D72" s="86"/>
      <c r="E72" s="87"/>
      <c r="F72" s="20" t="s">
        <v>36</v>
      </c>
      <c r="G72" s="13">
        <v>0.41</v>
      </c>
      <c r="H72" s="13">
        <f>'Услуга №1 '!H75</f>
        <v>850</v>
      </c>
      <c r="I72" s="13">
        <f>G72*H72*12</f>
        <v>4182</v>
      </c>
      <c r="J72" s="50">
        <f>J67</f>
        <v>22000</v>
      </c>
      <c r="K72" s="13">
        <f>I72/J72</f>
        <v>0.19009090909090909</v>
      </c>
      <c r="L72" s="16"/>
      <c r="M72" s="17"/>
    </row>
    <row r="73" spans="1:13" s="9" customFormat="1" x14ac:dyDescent="0.25">
      <c r="A73" s="85" t="s">
        <v>88</v>
      </c>
      <c r="B73" s="86"/>
      <c r="C73" s="86"/>
      <c r="D73" s="86"/>
      <c r="E73" s="87"/>
      <c r="F73" s="20" t="s">
        <v>31</v>
      </c>
      <c r="G73" s="13">
        <v>0.2</v>
      </c>
      <c r="H73" s="13">
        <f>'Услуга №1 '!H76</f>
        <v>800</v>
      </c>
      <c r="I73" s="13">
        <f>G73*H73*12</f>
        <v>1920</v>
      </c>
      <c r="J73" s="50">
        <f>J72</f>
        <v>22000</v>
      </c>
      <c r="K73" s="13">
        <f>I73/J73</f>
        <v>8.727272727272728E-2</v>
      </c>
      <c r="L73" s="16"/>
      <c r="M73" s="17"/>
    </row>
    <row r="74" spans="1:13" s="9" customFormat="1" x14ac:dyDescent="0.25">
      <c r="A74" s="82" t="s">
        <v>37</v>
      </c>
      <c r="B74" s="83"/>
      <c r="C74" s="83"/>
      <c r="D74" s="83"/>
      <c r="E74" s="83"/>
      <c r="F74" s="83"/>
      <c r="G74" s="83"/>
      <c r="H74" s="84"/>
      <c r="I74" s="49">
        <f t="shared" ref="I74" si="9">SUM(I72:I73)</f>
        <v>6102</v>
      </c>
      <c r="J74" s="48"/>
      <c r="K74" s="48">
        <f>SUM(K72:K73)</f>
        <v>0.27736363636363637</v>
      </c>
      <c r="L74" s="37"/>
      <c r="M74" s="17"/>
    </row>
    <row r="75" spans="1:13" s="9" customFormat="1" x14ac:dyDescent="0.25">
      <c r="A75" s="35"/>
      <c r="B75" s="35"/>
      <c r="C75" s="35"/>
      <c r="D75" s="35"/>
      <c r="E75" s="35"/>
      <c r="F75" s="35"/>
      <c r="G75" s="35"/>
      <c r="H75" s="35"/>
      <c r="I75" s="54"/>
      <c r="J75" s="55"/>
      <c r="K75" s="55"/>
      <c r="L75" s="37"/>
      <c r="M75" s="17"/>
    </row>
    <row r="76" spans="1:13" s="9" customFormat="1" x14ac:dyDescent="0.25">
      <c r="A76" s="74" t="s">
        <v>57</v>
      </c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</row>
    <row r="77" spans="1:13" s="9" customFormat="1" hidden="1" x14ac:dyDescent="0.25"/>
    <row r="78" spans="1:13" s="9" customFormat="1" ht="75" x14ac:dyDescent="0.25">
      <c r="A78" s="75" t="s">
        <v>15</v>
      </c>
      <c r="B78" s="75"/>
      <c r="C78" s="75"/>
      <c r="D78" s="75"/>
      <c r="E78" s="75"/>
      <c r="F78" s="12" t="s">
        <v>16</v>
      </c>
      <c r="G78" s="28" t="s">
        <v>1</v>
      </c>
      <c r="H78" s="12" t="s">
        <v>74</v>
      </c>
      <c r="I78" s="12" t="s">
        <v>75</v>
      </c>
      <c r="J78" s="28" t="s">
        <v>76</v>
      </c>
      <c r="K78" s="20" t="s">
        <v>77</v>
      </c>
    </row>
    <row r="79" spans="1:13" s="9" customFormat="1" x14ac:dyDescent="0.25">
      <c r="A79" s="68" t="s">
        <v>5</v>
      </c>
      <c r="B79" s="68"/>
      <c r="C79" s="68"/>
      <c r="D79" s="68"/>
      <c r="E79" s="68"/>
      <c r="F79" s="14">
        <f>'Услуга №1 '!F82</f>
        <v>27867.62</v>
      </c>
      <c r="G79" s="1">
        <v>0.2</v>
      </c>
      <c r="H79" s="13">
        <f>F79*G79*12</f>
        <v>66882.288</v>
      </c>
      <c r="I79" s="13">
        <f>H79*1.302-145.22-439.75</f>
        <v>86495.768976000007</v>
      </c>
      <c r="J79" s="24">
        <f>F33</f>
        <v>22000</v>
      </c>
      <c r="K79" s="13">
        <f>I79/J79</f>
        <v>3.931625862545455</v>
      </c>
    </row>
    <row r="80" spans="1:13" s="9" customFormat="1" x14ac:dyDescent="0.25">
      <c r="A80" s="65" t="s">
        <v>9</v>
      </c>
      <c r="B80" s="66"/>
      <c r="C80" s="66"/>
      <c r="D80" s="66"/>
      <c r="E80" s="67"/>
      <c r="F80" s="14">
        <f>'Услуга №1 '!F43</f>
        <v>18089.04</v>
      </c>
      <c r="G80" s="1">
        <v>0.13</v>
      </c>
      <c r="H80" s="1">
        <f>F80*G80*12</f>
        <v>28218.902400000003</v>
      </c>
      <c r="I80" s="13">
        <f t="shared" ref="I80:I81" si="10">H80*1.302-145.22-439.75</f>
        <v>36156.040924800007</v>
      </c>
      <c r="J80" s="24">
        <f>J79</f>
        <v>22000</v>
      </c>
      <c r="K80" s="13">
        <f>I80/J80</f>
        <v>1.6434564056727277</v>
      </c>
    </row>
    <row r="81" spans="1:12" s="9" customFormat="1" ht="29.25" customHeight="1" x14ac:dyDescent="0.25">
      <c r="A81" s="69" t="s">
        <v>8</v>
      </c>
      <c r="B81" s="70"/>
      <c r="C81" s="70"/>
      <c r="D81" s="70"/>
      <c r="E81" s="71"/>
      <c r="F81" s="14">
        <f>'Услуга №1 '!F45</f>
        <v>19301.599999999999</v>
      </c>
      <c r="G81" s="1">
        <v>0.2</v>
      </c>
      <c r="H81" s="1">
        <f>F81*G81*12</f>
        <v>46323.839999999997</v>
      </c>
      <c r="I81" s="13">
        <f t="shared" si="10"/>
        <v>59728.669679999999</v>
      </c>
      <c r="J81" s="24">
        <f>J80</f>
        <v>22000</v>
      </c>
      <c r="K81" s="13">
        <f>I81/J81</f>
        <v>2.7149395309090907</v>
      </c>
    </row>
    <row r="82" spans="1:12" s="9" customFormat="1" x14ac:dyDescent="0.25">
      <c r="A82" s="82" t="s">
        <v>38</v>
      </c>
      <c r="B82" s="83"/>
      <c r="C82" s="83"/>
      <c r="D82" s="83"/>
      <c r="E82" s="84"/>
      <c r="F82" s="23"/>
      <c r="G82" s="23"/>
      <c r="H82" s="22"/>
      <c r="I82" s="49">
        <f>SUM(I79:I81)</f>
        <v>182380.47958080002</v>
      </c>
      <c r="J82" s="49"/>
      <c r="K82" s="49">
        <f>SUM(K79:K81)</f>
        <v>8.290021799127274</v>
      </c>
    </row>
    <row r="83" spans="1:12" s="9" customFormat="1" x14ac:dyDescent="0.25">
      <c r="A83" s="35"/>
      <c r="B83" s="35"/>
      <c r="C83" s="35"/>
      <c r="D83" s="35"/>
      <c r="E83" s="35"/>
      <c r="F83" s="36"/>
      <c r="G83" s="36"/>
      <c r="H83" s="37"/>
      <c r="I83" s="54"/>
      <c r="J83" s="54"/>
      <c r="K83" s="54"/>
      <c r="L83" s="17"/>
    </row>
    <row r="84" spans="1:12" s="9" customFormat="1" x14ac:dyDescent="0.25">
      <c r="A84" s="74" t="s">
        <v>39</v>
      </c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</row>
    <row r="85" spans="1:12" s="9" customFormat="1" ht="60" customHeight="1" x14ac:dyDescent="0.25">
      <c r="A85" s="75" t="s">
        <v>89</v>
      </c>
      <c r="B85" s="75"/>
      <c r="C85" s="75"/>
      <c r="D85" s="75"/>
      <c r="E85" s="75"/>
      <c r="F85" s="32" t="s">
        <v>17</v>
      </c>
      <c r="G85" s="32" t="s">
        <v>69</v>
      </c>
      <c r="H85" s="32" t="s">
        <v>68</v>
      </c>
      <c r="I85" s="32" t="s">
        <v>81</v>
      </c>
      <c r="J85" s="32" t="s">
        <v>76</v>
      </c>
      <c r="K85" s="34" t="s">
        <v>77</v>
      </c>
      <c r="L85" s="46"/>
    </row>
    <row r="86" spans="1:12" s="9" customFormat="1" x14ac:dyDescent="0.25">
      <c r="A86" s="68" t="s">
        <v>100</v>
      </c>
      <c r="B86" s="68"/>
      <c r="C86" s="68"/>
      <c r="D86" s="68"/>
      <c r="E86" s="68"/>
      <c r="F86" s="1" t="s">
        <v>40</v>
      </c>
      <c r="G86" s="13">
        <v>0.2</v>
      </c>
      <c r="H86" s="13">
        <f>'Услуга №1 '!H88</f>
        <v>558.34</v>
      </c>
      <c r="I86" s="13">
        <f>G86*H86*12-0.02</f>
        <v>1339.9960000000001</v>
      </c>
      <c r="J86" s="24">
        <f>J79</f>
        <v>22000</v>
      </c>
      <c r="K86" s="13">
        <f>I86/J86</f>
        <v>6.0908909090909097E-2</v>
      </c>
      <c r="L86" s="17"/>
    </row>
    <row r="87" spans="1:12" s="9" customFormat="1" x14ac:dyDescent="0.25">
      <c r="A87" s="82" t="s">
        <v>41</v>
      </c>
      <c r="B87" s="83"/>
      <c r="C87" s="83"/>
      <c r="D87" s="83"/>
      <c r="E87" s="83"/>
      <c r="F87" s="83"/>
      <c r="G87" s="83"/>
      <c r="H87" s="83"/>
      <c r="I87" s="49">
        <f>I86</f>
        <v>1339.9960000000001</v>
      </c>
      <c r="J87" s="49"/>
      <c r="K87" s="49">
        <f t="shared" ref="K87" si="11">K86</f>
        <v>6.0908909090909097E-2</v>
      </c>
      <c r="L87" s="17"/>
    </row>
    <row r="88" spans="1:12" s="9" customFormat="1" x14ac:dyDescent="0.25"/>
    <row r="89" spans="1:12" s="9" customFormat="1" x14ac:dyDescent="0.25">
      <c r="A89" s="74" t="s">
        <v>42</v>
      </c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</row>
    <row r="90" spans="1:12" s="9" customFormat="1" hidden="1" x14ac:dyDescent="0.25"/>
    <row r="91" spans="1:12" s="9" customFormat="1" ht="15" customHeight="1" x14ac:dyDescent="0.25">
      <c r="A91" s="94" t="s">
        <v>43</v>
      </c>
      <c r="B91" s="95"/>
      <c r="C91" s="96"/>
      <c r="D91" s="85" t="s">
        <v>44</v>
      </c>
      <c r="E91" s="86"/>
      <c r="F91" s="86"/>
      <c r="G91" s="86"/>
      <c r="H91" s="86"/>
      <c r="I91" s="86"/>
      <c r="J91" s="87"/>
      <c r="K91" s="88" t="s">
        <v>55</v>
      </c>
      <c r="L91" s="89"/>
    </row>
    <row r="92" spans="1:12" s="9" customFormat="1" ht="30" x14ac:dyDescent="0.25">
      <c r="A92" s="1" t="s">
        <v>45</v>
      </c>
      <c r="B92" s="12" t="s">
        <v>46</v>
      </c>
      <c r="C92" s="1" t="s">
        <v>47</v>
      </c>
      <c r="D92" s="1" t="s">
        <v>48</v>
      </c>
      <c r="E92" s="1" t="s">
        <v>49</v>
      </c>
      <c r="F92" s="1" t="s">
        <v>50</v>
      </c>
      <c r="G92" s="1" t="s">
        <v>51</v>
      </c>
      <c r="H92" s="1" t="s">
        <v>52</v>
      </c>
      <c r="I92" s="1" t="s">
        <v>53</v>
      </c>
      <c r="J92" s="1" t="s">
        <v>54</v>
      </c>
      <c r="K92" s="90"/>
      <c r="L92" s="91"/>
    </row>
    <row r="93" spans="1:12" s="9" customFormat="1" x14ac:dyDescent="0.25">
      <c r="A93" s="13">
        <f>K44</f>
        <v>25.160611716000005</v>
      </c>
      <c r="B93" s="13"/>
      <c r="C93" s="1"/>
      <c r="D93" s="13">
        <f>K53</f>
        <v>4.1281688572727262</v>
      </c>
      <c r="E93" s="13">
        <f>K62</f>
        <v>9.2491424581818187</v>
      </c>
      <c r="F93" s="1"/>
      <c r="G93" s="13">
        <f>K74</f>
        <v>0.27736363636363637</v>
      </c>
      <c r="H93" s="1"/>
      <c r="I93" s="13">
        <f>K82</f>
        <v>8.290021799127274</v>
      </c>
      <c r="J93" s="13">
        <f>K68+K87</f>
        <v>0.62317390909090908</v>
      </c>
      <c r="K93" s="80">
        <f>SUM(A93:J93)</f>
        <v>47.728482376036375</v>
      </c>
      <c r="L93" s="81"/>
    </row>
    <row r="94" spans="1:12" s="9" customFormat="1" x14ac:dyDescent="0.25"/>
    <row r="95" spans="1:12" s="9" customFormat="1" x14ac:dyDescent="0.25">
      <c r="A95" s="21" t="s">
        <v>63</v>
      </c>
      <c r="B95" s="21"/>
      <c r="C95" s="21"/>
      <c r="D95" s="21"/>
      <c r="E95" s="21"/>
      <c r="F95" s="21" t="s">
        <v>64</v>
      </c>
      <c r="G95" s="21"/>
      <c r="I95" s="57">
        <f>I87+I82+I74+I68+I62+I53+I44</f>
        <v>1050026.6122727999</v>
      </c>
      <c r="L95" s="57">
        <f>K93*J86</f>
        <v>1050026.6122728002</v>
      </c>
    </row>
    <row r="96" spans="1:12" s="9" customFormat="1" x14ac:dyDescent="0.25">
      <c r="A96" s="21"/>
      <c r="B96" s="21"/>
      <c r="C96" s="3"/>
      <c r="D96" s="4"/>
      <c r="E96" s="4"/>
      <c r="F96" s="4"/>
      <c r="G96" s="4"/>
    </row>
    <row r="97" spans="1:12" s="9" customFormat="1" x14ac:dyDescent="0.25">
      <c r="L97" s="41"/>
    </row>
    <row r="98" spans="1:12" s="9" customFormat="1" x14ac:dyDescent="0.25">
      <c r="A98" s="21" t="str">
        <f>'Работа №1'!A98</f>
        <v>Курлович Анастасия Вячеславовна</v>
      </c>
      <c r="B98" s="7"/>
      <c r="L98" s="41"/>
    </row>
    <row r="99" spans="1:12" x14ac:dyDescent="0.25">
      <c r="A99" s="21" t="s">
        <v>65</v>
      </c>
      <c r="B99" s="7"/>
      <c r="C99" s="9"/>
      <c r="D99" s="9"/>
      <c r="E99" s="9"/>
      <c r="F99" s="9"/>
      <c r="G99" s="9"/>
      <c r="K99" s="9"/>
      <c r="L99" s="40"/>
    </row>
    <row r="100" spans="1:12" x14ac:dyDescent="0.25">
      <c r="H100" s="53"/>
    </row>
    <row r="103" spans="1:12" hidden="1" x14ac:dyDescent="0.25">
      <c r="I103" s="41">
        <f>(K82+K44)*J43</f>
        <v>735913.93733280012</v>
      </c>
      <c r="J103" s="9" t="s">
        <v>99</v>
      </c>
    </row>
    <row r="104" spans="1:12" hidden="1" x14ac:dyDescent="0.25">
      <c r="I104" s="41">
        <f>K53*J52</f>
        <v>90819.714859999978</v>
      </c>
      <c r="J104" s="9">
        <v>223</v>
      </c>
    </row>
    <row r="105" spans="1:12" hidden="1" x14ac:dyDescent="0.25">
      <c r="I105" s="41">
        <f>K74*J73</f>
        <v>6102</v>
      </c>
      <c r="J105" s="9">
        <v>221</v>
      </c>
    </row>
    <row r="106" spans="1:12" hidden="1" x14ac:dyDescent="0.25">
      <c r="I106" s="42">
        <f>K62*J61</f>
        <v>203481.13408000002</v>
      </c>
      <c r="J106">
        <v>225</v>
      </c>
    </row>
    <row r="107" spans="1:12" hidden="1" x14ac:dyDescent="0.25">
      <c r="I107">
        <f>K68*J67</f>
        <v>12369.83</v>
      </c>
      <c r="J107" s="9">
        <v>226</v>
      </c>
    </row>
    <row r="108" spans="1:12" hidden="1" x14ac:dyDescent="0.25">
      <c r="I108" s="56">
        <f>K87*J86</f>
        <v>1339.9960000000001</v>
      </c>
      <c r="J108" t="s">
        <v>101</v>
      </c>
    </row>
  </sheetData>
  <mergeCells count="83">
    <mergeCell ref="A85:E85"/>
    <mergeCell ref="A87:H87"/>
    <mergeCell ref="K93:L93"/>
    <mergeCell ref="A19:E19"/>
    <mergeCell ref="G19:K19"/>
    <mergeCell ref="A46:L46"/>
    <mergeCell ref="A89:L89"/>
    <mergeCell ref="A91:C91"/>
    <mergeCell ref="D91:J91"/>
    <mergeCell ref="K91:L92"/>
    <mergeCell ref="A84:L84"/>
    <mergeCell ref="A86:E86"/>
    <mergeCell ref="A79:E79"/>
    <mergeCell ref="A82:E82"/>
    <mergeCell ref="A53:H53"/>
    <mergeCell ref="A62:H62"/>
    <mergeCell ref="A81:E81"/>
    <mergeCell ref="A43:E43"/>
    <mergeCell ref="A60:E60"/>
    <mergeCell ref="A48:E48"/>
    <mergeCell ref="A49:E49"/>
    <mergeCell ref="A50:E50"/>
    <mergeCell ref="A51:E51"/>
    <mergeCell ref="A52:E52"/>
    <mergeCell ref="A55:L55"/>
    <mergeCell ref="A57:E57"/>
    <mergeCell ref="A58:E58"/>
    <mergeCell ref="A59:E59"/>
    <mergeCell ref="A61:E61"/>
    <mergeCell ref="A70:L70"/>
    <mergeCell ref="A72:E72"/>
    <mergeCell ref="A44:E44"/>
    <mergeCell ref="A40:E40"/>
    <mergeCell ref="A80:E80"/>
    <mergeCell ref="A41:E41"/>
    <mergeCell ref="A42:E42"/>
    <mergeCell ref="A73:E73"/>
    <mergeCell ref="A67:E67"/>
    <mergeCell ref="A68:H68"/>
    <mergeCell ref="A71:E71"/>
    <mergeCell ref="A64:L64"/>
    <mergeCell ref="A65:E65"/>
    <mergeCell ref="A66:E66"/>
    <mergeCell ref="A76:L76"/>
    <mergeCell ref="A78:E78"/>
    <mergeCell ref="A74:H74"/>
    <mergeCell ref="A35:E35"/>
    <mergeCell ref="A36:E36"/>
    <mergeCell ref="A37:E37"/>
    <mergeCell ref="A38:E38"/>
    <mergeCell ref="A39:E39"/>
    <mergeCell ref="A29:E29"/>
    <mergeCell ref="G29:K29"/>
    <mergeCell ref="A30:E30"/>
    <mergeCell ref="G30:K30"/>
    <mergeCell ref="A31:E31"/>
    <mergeCell ref="G31:K31"/>
    <mergeCell ref="A34:E34"/>
    <mergeCell ref="A5:F5"/>
    <mergeCell ref="A6:D6"/>
    <mergeCell ref="A9:M9"/>
    <mergeCell ref="A10:M10"/>
    <mergeCell ref="A11:M11"/>
    <mergeCell ref="A18:E18"/>
    <mergeCell ref="G18:K18"/>
    <mergeCell ref="A23:E23"/>
    <mergeCell ref="G23:K23"/>
    <mergeCell ref="A24:E24"/>
    <mergeCell ref="G24:K24"/>
    <mergeCell ref="A20:E20"/>
    <mergeCell ref="G20:K20"/>
    <mergeCell ref="A28:E28"/>
    <mergeCell ref="G28:K28"/>
    <mergeCell ref="A21:E21"/>
    <mergeCell ref="G21:K21"/>
    <mergeCell ref="A22:E22"/>
    <mergeCell ref="G22:K22"/>
    <mergeCell ref="A27:E27"/>
    <mergeCell ref="G27:K27"/>
    <mergeCell ref="A25:E25"/>
    <mergeCell ref="G25:K25"/>
    <mergeCell ref="A26:E26"/>
    <mergeCell ref="G26:K26"/>
  </mergeCells>
  <printOptions horizontalCentered="1"/>
  <pageMargins left="0" right="0" top="0" bottom="0" header="0" footer="0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"/>
  <sheetViews>
    <sheetView tabSelected="1" view="pageBreakPreview" zoomScale="60" zoomScaleNormal="90" workbookViewId="0">
      <selection activeCell="O28" sqref="O28"/>
    </sheetView>
  </sheetViews>
  <sheetFormatPr defaultRowHeight="15" x14ac:dyDescent="0.25"/>
  <cols>
    <col min="5" max="5" width="13.42578125" customWidth="1"/>
    <col min="6" max="6" width="11.42578125" customWidth="1"/>
    <col min="7" max="7" width="9" customWidth="1"/>
    <col min="8" max="8" width="12.7109375" customWidth="1"/>
    <col min="9" max="9" width="13.7109375" customWidth="1"/>
    <col min="10" max="10" width="13.28515625" customWidth="1"/>
    <col min="11" max="11" width="13.7109375" customWidth="1"/>
    <col min="12" max="12" width="14.7109375" customWidth="1"/>
    <col min="13" max="13" width="13.85546875" customWidth="1"/>
  </cols>
  <sheetData>
    <row r="1" spans="1:13" ht="15.75" x14ac:dyDescent="0.25">
      <c r="A1" s="2" t="s">
        <v>60</v>
      </c>
      <c r="B1" s="2"/>
      <c r="C1" s="3"/>
      <c r="D1" s="4"/>
    </row>
    <row r="2" spans="1:13" ht="15.75" x14ac:dyDescent="0.25">
      <c r="A2" s="26" t="s">
        <v>61</v>
      </c>
      <c r="B2" s="26"/>
      <c r="C2" s="3"/>
      <c r="D2" s="4"/>
    </row>
    <row r="3" spans="1:13" x14ac:dyDescent="0.25">
      <c r="A3" s="6"/>
      <c r="B3" s="7"/>
      <c r="C3" s="3"/>
      <c r="D3" s="4"/>
    </row>
    <row r="4" spans="1:13" ht="15.75" x14ac:dyDescent="0.25">
      <c r="A4" s="62" t="s">
        <v>62</v>
      </c>
      <c r="B4" s="62"/>
      <c r="C4" s="62"/>
      <c r="D4" s="62"/>
      <c r="E4" s="62"/>
      <c r="F4" s="62"/>
    </row>
    <row r="5" spans="1:13" ht="15.75" x14ac:dyDescent="0.25">
      <c r="A5" s="64" t="s">
        <v>104</v>
      </c>
      <c r="B5" s="64"/>
      <c r="C5" s="64"/>
      <c r="D5" s="64"/>
    </row>
    <row r="6" spans="1:13" ht="15.75" x14ac:dyDescent="0.25">
      <c r="A6" s="27"/>
      <c r="B6" s="27"/>
      <c r="C6" s="27"/>
      <c r="D6" s="2"/>
    </row>
    <row r="8" spans="1:13" ht="15.75" x14ac:dyDescent="0.25">
      <c r="A8" s="72" t="s">
        <v>59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</row>
    <row r="9" spans="1:13" ht="15.75" x14ac:dyDescent="0.25">
      <c r="A9" s="72" t="s">
        <v>93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1:13" ht="15.75" x14ac:dyDescent="0.25">
      <c r="A10" s="72" t="s">
        <v>103</v>
      </c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2"/>
      <c r="M10" s="72"/>
    </row>
    <row r="12" spans="1:13" s="9" customFormat="1" x14ac:dyDescent="0.25">
      <c r="A12" s="10" t="s">
        <v>66</v>
      </c>
    </row>
    <row r="13" spans="1:13" s="9" customFormat="1" x14ac:dyDescent="0.25">
      <c r="A13" s="10" t="s">
        <v>94</v>
      </c>
    </row>
    <row r="14" spans="1:13" s="9" customFormat="1" x14ac:dyDescent="0.25">
      <c r="A14" s="10" t="s">
        <v>97</v>
      </c>
    </row>
    <row r="15" spans="1:13" s="9" customFormat="1" x14ac:dyDescent="0.25">
      <c r="A15" s="10" t="s">
        <v>107</v>
      </c>
    </row>
    <row r="16" spans="1:13" x14ac:dyDescent="0.25">
      <c r="A16" s="10" t="s">
        <v>73</v>
      </c>
      <c r="B16" s="9"/>
      <c r="C16" s="9"/>
      <c r="D16" s="9"/>
      <c r="E16" s="9"/>
    </row>
    <row r="17" spans="1:15" s="9" customFormat="1" ht="31.5" customHeight="1" x14ac:dyDescent="0.25">
      <c r="A17" s="94" t="s">
        <v>0</v>
      </c>
      <c r="B17" s="95"/>
      <c r="C17" s="95"/>
      <c r="D17" s="95"/>
      <c r="E17" s="96"/>
      <c r="F17" s="12" t="s">
        <v>1</v>
      </c>
      <c r="G17" s="94" t="s">
        <v>2</v>
      </c>
      <c r="H17" s="95"/>
      <c r="I17" s="95"/>
      <c r="J17" s="95"/>
      <c r="K17" s="96"/>
      <c r="L17" s="1" t="s">
        <v>1</v>
      </c>
    </row>
    <row r="18" spans="1:15" s="9" customFormat="1" x14ac:dyDescent="0.25">
      <c r="A18" s="65" t="s">
        <v>6</v>
      </c>
      <c r="B18" s="66"/>
      <c r="C18" s="66"/>
      <c r="D18" s="66"/>
      <c r="E18" s="67"/>
      <c r="F18" s="1">
        <v>0.38</v>
      </c>
      <c r="G18" s="65" t="s">
        <v>5</v>
      </c>
      <c r="H18" s="66"/>
      <c r="I18" s="66"/>
      <c r="J18" s="66"/>
      <c r="K18" s="67"/>
      <c r="L18" s="1">
        <v>0.25</v>
      </c>
    </row>
    <row r="19" spans="1:15" s="9" customFormat="1" x14ac:dyDescent="0.25">
      <c r="A19" s="65" t="s">
        <v>3</v>
      </c>
      <c r="B19" s="66"/>
      <c r="C19" s="66"/>
      <c r="D19" s="66"/>
      <c r="E19" s="67"/>
      <c r="F19" s="1">
        <v>0.38</v>
      </c>
      <c r="G19" s="65" t="s">
        <v>4</v>
      </c>
      <c r="H19" s="66"/>
      <c r="I19" s="66"/>
      <c r="J19" s="66"/>
      <c r="K19" s="67"/>
      <c r="L19" s="1">
        <v>0.38</v>
      </c>
    </row>
    <row r="20" spans="1:15" s="9" customFormat="1" ht="15.75" customHeight="1" x14ac:dyDescent="0.25">
      <c r="A20" s="69" t="s">
        <v>12</v>
      </c>
      <c r="B20" s="70"/>
      <c r="C20" s="70"/>
      <c r="D20" s="70"/>
      <c r="E20" s="71"/>
      <c r="F20" s="1">
        <v>0.38</v>
      </c>
      <c r="G20" s="69" t="s">
        <v>7</v>
      </c>
      <c r="H20" s="70"/>
      <c r="I20" s="70"/>
      <c r="J20" s="70"/>
      <c r="K20" s="71"/>
      <c r="L20" s="1">
        <v>0.38</v>
      </c>
    </row>
    <row r="21" spans="1:15" s="9" customFormat="1" ht="30" customHeight="1" x14ac:dyDescent="0.25">
      <c r="A21" s="69" t="s">
        <v>8</v>
      </c>
      <c r="B21" s="70"/>
      <c r="C21" s="70"/>
      <c r="D21" s="70"/>
      <c r="E21" s="71"/>
      <c r="F21" s="1">
        <v>0.38</v>
      </c>
      <c r="G21" s="69" t="s">
        <v>9</v>
      </c>
      <c r="H21" s="70"/>
      <c r="I21" s="70"/>
      <c r="J21" s="70"/>
      <c r="K21" s="71"/>
      <c r="L21" s="1">
        <v>0.09</v>
      </c>
    </row>
    <row r="22" spans="1:15" s="9" customFormat="1" ht="15.75" customHeight="1" x14ac:dyDescent="0.25">
      <c r="A22" s="69"/>
      <c r="B22" s="70"/>
      <c r="C22" s="70"/>
      <c r="D22" s="70"/>
      <c r="E22" s="71"/>
      <c r="F22" s="1"/>
      <c r="G22" s="69" t="s">
        <v>10</v>
      </c>
      <c r="H22" s="70"/>
      <c r="I22" s="70"/>
      <c r="J22" s="70"/>
      <c r="K22" s="71"/>
      <c r="L22" s="1">
        <v>0.38</v>
      </c>
    </row>
    <row r="23" spans="1:15" s="9" customFormat="1" ht="15.75" customHeight="1" x14ac:dyDescent="0.25">
      <c r="A23" s="69"/>
      <c r="B23" s="70"/>
      <c r="C23" s="70"/>
      <c r="D23" s="70"/>
      <c r="E23" s="71"/>
      <c r="F23" s="1"/>
      <c r="G23" s="69" t="s">
        <v>11</v>
      </c>
      <c r="H23" s="70"/>
      <c r="I23" s="70"/>
      <c r="J23" s="70"/>
      <c r="K23" s="71"/>
      <c r="L23" s="1">
        <v>0.38</v>
      </c>
    </row>
    <row r="24" spans="1:15" s="9" customFormat="1" ht="15.75" customHeight="1" x14ac:dyDescent="0.25">
      <c r="A24" s="69"/>
      <c r="B24" s="70"/>
      <c r="C24" s="70"/>
      <c r="D24" s="70"/>
      <c r="E24" s="71"/>
      <c r="F24" s="1"/>
      <c r="G24" s="69" t="s">
        <v>78</v>
      </c>
      <c r="H24" s="70"/>
      <c r="I24" s="70"/>
      <c r="J24" s="70"/>
      <c r="K24" s="71"/>
      <c r="L24" s="1">
        <v>0.38</v>
      </c>
    </row>
    <row r="25" spans="1:15" s="9" customFormat="1" ht="15.75" customHeight="1" x14ac:dyDescent="0.25">
      <c r="A25" s="69"/>
      <c r="B25" s="70"/>
      <c r="C25" s="70"/>
      <c r="D25" s="70"/>
      <c r="E25" s="71"/>
      <c r="F25" s="1"/>
      <c r="G25" s="65" t="s">
        <v>13</v>
      </c>
      <c r="H25" s="66"/>
      <c r="I25" s="66"/>
      <c r="J25" s="66"/>
      <c r="K25" s="67"/>
      <c r="L25" s="1">
        <v>0.38</v>
      </c>
    </row>
    <row r="26" spans="1:15" s="9" customFormat="1" x14ac:dyDescent="0.25">
      <c r="A26" s="85" t="s">
        <v>14</v>
      </c>
      <c r="B26" s="86"/>
      <c r="C26" s="86"/>
      <c r="D26" s="86"/>
      <c r="E26" s="87"/>
      <c r="F26" s="1">
        <f>SUM(F18:F24)</f>
        <v>1.52</v>
      </c>
      <c r="G26" s="85" t="s">
        <v>14</v>
      </c>
      <c r="H26" s="86"/>
      <c r="I26" s="86"/>
      <c r="J26" s="86"/>
      <c r="K26" s="87"/>
      <c r="L26" s="1">
        <f>SUM(L18:L25)</f>
        <v>2.6199999999999997</v>
      </c>
    </row>
    <row r="27" spans="1:15" s="9" customFormat="1" ht="12" customHeight="1" x14ac:dyDescent="0.25"/>
    <row r="28" spans="1:15" s="9" customFormat="1" x14ac:dyDescent="0.25">
      <c r="A28" s="10" t="s">
        <v>92</v>
      </c>
      <c r="F28" s="9">
        <v>13800</v>
      </c>
      <c r="O28" s="97"/>
    </row>
    <row r="29" spans="1:15" s="9" customFormat="1" ht="61.5" customHeight="1" x14ac:dyDescent="0.25">
      <c r="A29" s="85" t="s">
        <v>15</v>
      </c>
      <c r="B29" s="86"/>
      <c r="C29" s="86"/>
      <c r="D29" s="86"/>
      <c r="E29" s="87"/>
      <c r="F29" s="32" t="s">
        <v>16</v>
      </c>
      <c r="G29" s="32" t="s">
        <v>1</v>
      </c>
      <c r="H29" s="32" t="s">
        <v>74</v>
      </c>
      <c r="I29" s="32" t="s">
        <v>75</v>
      </c>
      <c r="J29" s="32" t="s">
        <v>76</v>
      </c>
      <c r="K29" s="34" t="s">
        <v>77</v>
      </c>
      <c r="L29" s="12"/>
    </row>
    <row r="30" spans="1:15" s="9" customFormat="1" x14ac:dyDescent="0.25">
      <c r="A30" s="65" t="s">
        <v>6</v>
      </c>
      <c r="B30" s="66"/>
      <c r="C30" s="66"/>
      <c r="D30" s="66"/>
      <c r="E30" s="67"/>
      <c r="F30" s="1">
        <f>'Услуга №1 '!F37</f>
        <v>23663</v>
      </c>
      <c r="G30" s="1">
        <v>0.38</v>
      </c>
      <c r="H30" s="13">
        <f>F30*G30*12</f>
        <v>107903.28</v>
      </c>
      <c r="I30" s="13">
        <f>H30*1.302-91.03-275.72</f>
        <v>140123.32055999999</v>
      </c>
      <c r="J30" s="13">
        <f>F28</f>
        <v>13800</v>
      </c>
      <c r="K30" s="13">
        <f>I30/J30</f>
        <v>10.153863808695652</v>
      </c>
      <c r="L30" s="13"/>
    </row>
    <row r="31" spans="1:15" s="9" customFormat="1" x14ac:dyDescent="0.25">
      <c r="A31" s="65" t="s">
        <v>3</v>
      </c>
      <c r="B31" s="66"/>
      <c r="C31" s="66"/>
      <c r="D31" s="66"/>
      <c r="E31" s="67"/>
      <c r="F31" s="1">
        <f>'Услуга №1 '!F38</f>
        <v>20665.599999999999</v>
      </c>
      <c r="G31" s="1">
        <v>0.38</v>
      </c>
      <c r="H31" s="13">
        <f t="shared" ref="H31:H33" si="0">F31*G31*12</f>
        <v>94235.135999999999</v>
      </c>
      <c r="I31" s="13">
        <f t="shared" ref="I31:I33" si="1">H31*1.302-91.03-275.72</f>
        <v>122327.39707200001</v>
      </c>
      <c r="J31" s="13">
        <f>J30</f>
        <v>13800</v>
      </c>
      <c r="K31" s="13">
        <f t="shared" ref="K31:K33" si="2">I31/J31</f>
        <v>8.8643041356521746</v>
      </c>
      <c r="L31" s="13"/>
    </row>
    <row r="32" spans="1:15" s="9" customFormat="1" ht="15" customHeight="1" x14ac:dyDescent="0.25">
      <c r="A32" s="69" t="s">
        <v>12</v>
      </c>
      <c r="B32" s="70"/>
      <c r="C32" s="70"/>
      <c r="D32" s="70"/>
      <c r="E32" s="71"/>
      <c r="F32" s="14">
        <f>'Услуга №1 '!F44</f>
        <v>20250.8</v>
      </c>
      <c r="G32" s="1">
        <v>0.38</v>
      </c>
      <c r="H32" s="13">
        <f t="shared" si="0"/>
        <v>92343.648000000001</v>
      </c>
      <c r="I32" s="13">
        <f t="shared" si="1"/>
        <v>119864.67969600001</v>
      </c>
      <c r="J32" s="13">
        <f>J31</f>
        <v>13800</v>
      </c>
      <c r="K32" s="13">
        <f t="shared" si="2"/>
        <v>8.6858463547826084</v>
      </c>
      <c r="L32" s="13"/>
    </row>
    <row r="33" spans="1:14" s="9" customFormat="1" ht="28.5" customHeight="1" x14ac:dyDescent="0.25">
      <c r="A33" s="69" t="s">
        <v>8</v>
      </c>
      <c r="B33" s="70"/>
      <c r="C33" s="70"/>
      <c r="D33" s="70"/>
      <c r="E33" s="71"/>
      <c r="F33" s="14">
        <f>'Услуга №1 '!F45</f>
        <v>19301.599999999999</v>
      </c>
      <c r="G33" s="1">
        <v>0.38</v>
      </c>
      <c r="H33" s="13">
        <f t="shared" si="0"/>
        <v>88015.295999999988</v>
      </c>
      <c r="I33" s="13">
        <f t="shared" si="1"/>
        <v>114229.16539199998</v>
      </c>
      <c r="J33" s="13">
        <f>J32</f>
        <v>13800</v>
      </c>
      <c r="K33" s="13">
        <f t="shared" si="2"/>
        <v>8.2774757530434773</v>
      </c>
      <c r="L33" s="13"/>
    </row>
    <row r="34" spans="1:14" s="9" customFormat="1" ht="30.75" customHeight="1" x14ac:dyDescent="0.25">
      <c r="A34" s="76" t="s">
        <v>70</v>
      </c>
      <c r="B34" s="77"/>
      <c r="C34" s="77"/>
      <c r="D34" s="77"/>
      <c r="E34" s="78"/>
      <c r="F34" s="1"/>
      <c r="G34" s="1"/>
      <c r="H34" s="1"/>
      <c r="I34" s="52">
        <f>SUM(I30:I33)</f>
        <v>496544.56271999999</v>
      </c>
      <c r="J34" s="52"/>
      <c r="K34" s="52">
        <f>SUM(K30:K33)</f>
        <v>35.98149005217391</v>
      </c>
      <c r="L34" s="13"/>
    </row>
    <row r="35" spans="1:14" s="9" customFormat="1" x14ac:dyDescent="0.25">
      <c r="A35" s="15"/>
      <c r="B35" s="15"/>
      <c r="C35" s="15"/>
      <c r="D35" s="15"/>
      <c r="E35" s="15"/>
      <c r="F35" s="16"/>
      <c r="G35" s="16"/>
      <c r="H35" s="16"/>
      <c r="I35" s="16"/>
      <c r="J35" s="17"/>
      <c r="K35" s="16"/>
      <c r="L35" s="17"/>
    </row>
    <row r="36" spans="1:14" s="9" customFormat="1" ht="15" customHeight="1" x14ac:dyDescent="0.25">
      <c r="A36" s="74" t="s">
        <v>18</v>
      </c>
      <c r="B36" s="74"/>
      <c r="C36" s="74"/>
      <c r="D36" s="74"/>
      <c r="E36" s="74"/>
      <c r="F36" s="74"/>
      <c r="G36" s="74"/>
      <c r="H36" s="74"/>
      <c r="I36" s="74"/>
      <c r="J36" s="74"/>
      <c r="K36" s="74"/>
      <c r="L36" s="74"/>
    </row>
    <row r="37" spans="1:14" s="9" customFormat="1" ht="13.5" hidden="1" customHeight="1" x14ac:dyDescent="0.25"/>
    <row r="38" spans="1:14" s="9" customFormat="1" ht="60" customHeight="1" x14ac:dyDescent="0.25">
      <c r="A38" s="75" t="s">
        <v>19</v>
      </c>
      <c r="B38" s="75"/>
      <c r="C38" s="75"/>
      <c r="D38" s="75"/>
      <c r="E38" s="75"/>
      <c r="F38" s="32" t="s">
        <v>17</v>
      </c>
      <c r="G38" s="32" t="s">
        <v>69</v>
      </c>
      <c r="H38" s="32" t="s">
        <v>68</v>
      </c>
      <c r="I38" s="32" t="s">
        <v>81</v>
      </c>
      <c r="J38" s="32" t="s">
        <v>76</v>
      </c>
      <c r="K38" s="34" t="s">
        <v>77</v>
      </c>
      <c r="L38" s="46"/>
    </row>
    <row r="39" spans="1:14" s="9" customFormat="1" x14ac:dyDescent="0.25">
      <c r="A39" s="68" t="s">
        <v>20</v>
      </c>
      <c r="B39" s="68"/>
      <c r="C39" s="68"/>
      <c r="D39" s="68"/>
      <c r="E39" s="68"/>
      <c r="F39" s="1" t="s">
        <v>24</v>
      </c>
      <c r="G39" s="1">
        <v>2880</v>
      </c>
      <c r="H39" s="13">
        <f>'Услуга №1 '!H53</f>
        <v>7.8081149999999999</v>
      </c>
      <c r="I39" s="13">
        <f>G39*H39</f>
        <v>22487.371200000001</v>
      </c>
      <c r="J39" s="24">
        <f>F28</f>
        <v>13800</v>
      </c>
      <c r="K39" s="13">
        <f>I39/J39</f>
        <v>1.629519652173913</v>
      </c>
      <c r="L39" s="17"/>
      <c r="N39" s="17"/>
    </row>
    <row r="40" spans="1:14" s="9" customFormat="1" x14ac:dyDescent="0.25">
      <c r="A40" s="68" t="s">
        <v>21</v>
      </c>
      <c r="B40" s="68"/>
      <c r="C40" s="68"/>
      <c r="D40" s="68"/>
      <c r="E40" s="68"/>
      <c r="F40" s="1" t="s">
        <v>25</v>
      </c>
      <c r="G40" s="1">
        <v>61.2</v>
      </c>
      <c r="H40" s="13">
        <f>'Услуга №1 '!H54</f>
        <v>1764.7059999999999</v>
      </c>
      <c r="I40" s="13">
        <f>G40*H40+9811.35</f>
        <v>117811.3572</v>
      </c>
      <c r="J40" s="24">
        <f>J39</f>
        <v>13800</v>
      </c>
      <c r="K40" s="13">
        <f t="shared" ref="K40:K42" si="3">I40/J40</f>
        <v>8.5370548695652175</v>
      </c>
      <c r="L40" s="17"/>
      <c r="N40" s="17"/>
    </row>
    <row r="41" spans="1:14" s="9" customFormat="1" x14ac:dyDescent="0.25">
      <c r="A41" s="68" t="s">
        <v>22</v>
      </c>
      <c r="B41" s="68"/>
      <c r="C41" s="68"/>
      <c r="D41" s="68"/>
      <c r="E41" s="68"/>
      <c r="F41" s="1" t="s">
        <v>26</v>
      </c>
      <c r="G41" s="1">
        <v>46.8</v>
      </c>
      <c r="H41" s="13">
        <f>'Услуга №1 '!H55</f>
        <v>28.405799999999999</v>
      </c>
      <c r="I41" s="13">
        <f t="shared" ref="I41:I42" si="4">G41*H41</f>
        <v>1329.3914399999999</v>
      </c>
      <c r="J41" s="24">
        <f>J40</f>
        <v>13800</v>
      </c>
      <c r="K41" s="13">
        <f t="shared" si="3"/>
        <v>9.6332713043478249E-2</v>
      </c>
      <c r="L41" s="17"/>
      <c r="M41" s="19"/>
      <c r="N41" s="17"/>
    </row>
    <row r="42" spans="1:14" s="9" customFormat="1" x14ac:dyDescent="0.25">
      <c r="A42" s="68" t="s">
        <v>23</v>
      </c>
      <c r="B42" s="68"/>
      <c r="C42" s="68"/>
      <c r="D42" s="68"/>
      <c r="E42" s="68"/>
      <c r="F42" s="1" t="s">
        <v>26</v>
      </c>
      <c r="G42" s="1">
        <v>46.8</v>
      </c>
      <c r="H42" s="13">
        <f>'Услуга №1 '!H56</f>
        <v>38.636400000000002</v>
      </c>
      <c r="I42" s="13">
        <f t="shared" si="4"/>
        <v>1808.18352</v>
      </c>
      <c r="J42" s="24">
        <f>J41</f>
        <v>13800</v>
      </c>
      <c r="K42" s="13">
        <f t="shared" si="3"/>
        <v>0.13102779130434783</v>
      </c>
      <c r="L42" s="17"/>
      <c r="N42" s="17"/>
    </row>
    <row r="43" spans="1:14" s="9" customFormat="1" x14ac:dyDescent="0.25">
      <c r="A43" s="82" t="s">
        <v>71</v>
      </c>
      <c r="B43" s="83"/>
      <c r="C43" s="83"/>
      <c r="D43" s="83"/>
      <c r="E43" s="83"/>
      <c r="F43" s="83"/>
      <c r="G43" s="83"/>
      <c r="H43" s="83"/>
      <c r="I43" s="52">
        <f t="shared" ref="I43" si="5">SUM(I39:I42)</f>
        <v>143436.30335999999</v>
      </c>
      <c r="J43" s="48"/>
      <c r="K43" s="48">
        <f>SUM(K39:K42)</f>
        <v>10.393935026086957</v>
      </c>
      <c r="L43" s="17">
        <f>56811.5*O28</f>
        <v>0</v>
      </c>
    </row>
    <row r="44" spans="1:14" s="9" customFormat="1" x14ac:dyDescent="0.25"/>
    <row r="45" spans="1:14" s="9" customFormat="1" x14ac:dyDescent="0.25">
      <c r="A45" s="74" t="s">
        <v>27</v>
      </c>
      <c r="B45" s="74"/>
      <c r="C45" s="74"/>
      <c r="D45" s="74"/>
      <c r="E45" s="74"/>
      <c r="F45" s="74"/>
      <c r="G45" s="74"/>
      <c r="H45" s="74"/>
      <c r="I45" s="74"/>
      <c r="J45" s="74"/>
      <c r="K45" s="74"/>
      <c r="L45" s="74"/>
    </row>
    <row r="46" spans="1:14" s="9" customFormat="1" hidden="1" x14ac:dyDescent="0.25"/>
    <row r="47" spans="1:14" s="9" customFormat="1" ht="47.25" customHeight="1" x14ac:dyDescent="0.25">
      <c r="A47" s="75" t="s">
        <v>19</v>
      </c>
      <c r="B47" s="75"/>
      <c r="C47" s="75"/>
      <c r="D47" s="75"/>
      <c r="E47" s="75"/>
      <c r="F47" s="32" t="s">
        <v>17</v>
      </c>
      <c r="G47" s="32" t="s">
        <v>69</v>
      </c>
      <c r="H47" s="32" t="s">
        <v>68</v>
      </c>
      <c r="I47" s="32" t="s">
        <v>81</v>
      </c>
      <c r="J47" s="32" t="s">
        <v>76</v>
      </c>
      <c r="K47" s="34" t="s">
        <v>77</v>
      </c>
      <c r="L47" s="46"/>
    </row>
    <row r="48" spans="1:14" s="9" customFormat="1" x14ac:dyDescent="0.25">
      <c r="A48" s="68" t="s">
        <v>28</v>
      </c>
      <c r="B48" s="68"/>
      <c r="C48" s="68"/>
      <c r="D48" s="68"/>
      <c r="E48" s="68"/>
      <c r="F48" s="1" t="s">
        <v>31</v>
      </c>
      <c r="G48" s="13">
        <v>0.36</v>
      </c>
      <c r="H48" s="13">
        <v>724.31</v>
      </c>
      <c r="I48" s="13">
        <f t="shared" ref="I48:I50" si="6">G48*H48*12</f>
        <v>3129.0191999999997</v>
      </c>
      <c r="J48" s="24">
        <f>J42</f>
        <v>13800</v>
      </c>
      <c r="K48" s="13">
        <f t="shared" ref="K48:K51" si="7">I48/J48</f>
        <v>0.22674052173913042</v>
      </c>
      <c r="L48" s="17"/>
    </row>
    <row r="49" spans="1:13" s="9" customFormat="1" x14ac:dyDescent="0.25">
      <c r="A49" s="68" t="s">
        <v>29</v>
      </c>
      <c r="B49" s="68"/>
      <c r="C49" s="68"/>
      <c r="D49" s="68"/>
      <c r="E49" s="68"/>
      <c r="F49" s="1" t="s">
        <v>31</v>
      </c>
      <c r="G49" s="13">
        <v>0.36</v>
      </c>
      <c r="H49" s="13">
        <f>'Услуга №1 '!H62</f>
        <v>529.16669999999999</v>
      </c>
      <c r="I49" s="13">
        <f>G49*H49*12</f>
        <v>2286.0001440000001</v>
      </c>
      <c r="J49" s="24">
        <f>J48</f>
        <v>13800</v>
      </c>
      <c r="K49" s="13">
        <f t="shared" si="7"/>
        <v>0.16565218434782608</v>
      </c>
      <c r="L49" s="17"/>
    </row>
    <row r="50" spans="1:13" s="9" customFormat="1" x14ac:dyDescent="0.25">
      <c r="A50" s="68" t="s">
        <v>30</v>
      </c>
      <c r="B50" s="68"/>
      <c r="C50" s="68"/>
      <c r="D50" s="68"/>
      <c r="E50" s="68"/>
      <c r="F50" s="1" t="s">
        <v>31</v>
      </c>
      <c r="G50" s="13">
        <v>0.36</v>
      </c>
      <c r="H50" s="13">
        <f>'Услуга №1 '!H63</f>
        <v>2400</v>
      </c>
      <c r="I50" s="13">
        <f t="shared" si="6"/>
        <v>10368</v>
      </c>
      <c r="J50" s="24">
        <f>J49</f>
        <v>13800</v>
      </c>
      <c r="K50" s="13">
        <f t="shared" si="7"/>
        <v>0.7513043478260869</v>
      </c>
      <c r="L50" s="17"/>
    </row>
    <row r="51" spans="1:13" s="9" customFormat="1" ht="28.5" customHeight="1" x14ac:dyDescent="0.25">
      <c r="A51" s="69" t="s">
        <v>82</v>
      </c>
      <c r="B51" s="70"/>
      <c r="C51" s="70"/>
      <c r="D51" s="70"/>
      <c r="E51" s="71"/>
      <c r="F51" s="1" t="s">
        <v>31</v>
      </c>
      <c r="G51" s="13">
        <v>0.36</v>
      </c>
      <c r="H51" s="13">
        <v>26980.5</v>
      </c>
      <c r="I51" s="13">
        <f>G51*H51*12-0.02+81436.94</f>
        <v>197992.68</v>
      </c>
      <c r="J51" s="24">
        <f>J50</f>
        <v>13800</v>
      </c>
      <c r="K51" s="13">
        <f t="shared" si="7"/>
        <v>14.347295652173912</v>
      </c>
      <c r="L51" s="17"/>
    </row>
    <row r="52" spans="1:13" s="9" customFormat="1" x14ac:dyDescent="0.25">
      <c r="A52" s="82" t="s">
        <v>32</v>
      </c>
      <c r="B52" s="83"/>
      <c r="C52" s="83"/>
      <c r="D52" s="83"/>
      <c r="E52" s="83"/>
      <c r="F52" s="83"/>
      <c r="G52" s="83"/>
      <c r="H52" s="83"/>
      <c r="I52" s="49">
        <f>SUM(I48:I51)</f>
        <v>213775.69934399999</v>
      </c>
      <c r="J52" s="49"/>
      <c r="K52" s="49">
        <f>SUM(K48:K51)</f>
        <v>15.490992706086956</v>
      </c>
      <c r="L52" s="17">
        <f>471551.5*O28</f>
        <v>0</v>
      </c>
    </row>
    <row r="53" spans="1:13" s="9" customFormat="1" x14ac:dyDescent="0.25"/>
    <row r="54" spans="1:13" s="9" customFormat="1" x14ac:dyDescent="0.25">
      <c r="A54" s="74" t="s">
        <v>83</v>
      </c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</row>
    <row r="55" spans="1:13" s="9" customFormat="1" ht="51.75" customHeight="1" x14ac:dyDescent="0.25">
      <c r="A55" s="75" t="s">
        <v>19</v>
      </c>
      <c r="B55" s="75"/>
      <c r="C55" s="75"/>
      <c r="D55" s="75"/>
      <c r="E55" s="75"/>
      <c r="F55" s="32" t="s">
        <v>17</v>
      </c>
      <c r="G55" s="32" t="s">
        <v>69</v>
      </c>
      <c r="H55" s="32" t="s">
        <v>68</v>
      </c>
      <c r="I55" s="32" t="s">
        <v>81</v>
      </c>
      <c r="J55" s="32" t="s">
        <v>76</v>
      </c>
      <c r="K55" s="34" t="s">
        <v>77</v>
      </c>
      <c r="L55" s="46"/>
    </row>
    <row r="56" spans="1:13" s="9" customFormat="1" ht="30.75" customHeight="1" x14ac:dyDescent="0.25">
      <c r="A56" s="69" t="s">
        <v>84</v>
      </c>
      <c r="B56" s="70"/>
      <c r="C56" s="70"/>
      <c r="D56" s="70"/>
      <c r="E56" s="71"/>
      <c r="F56" s="1" t="s">
        <v>31</v>
      </c>
      <c r="G56" s="13">
        <v>0.36</v>
      </c>
      <c r="H56" s="13">
        <f>'Услуга №1 '!H69</f>
        <v>4737.7</v>
      </c>
      <c r="I56" s="13">
        <f>G56*H56*12</f>
        <v>20466.863999999998</v>
      </c>
      <c r="J56" s="24">
        <f>J51</f>
        <v>13800</v>
      </c>
      <c r="K56" s="13">
        <f>I56/J56</f>
        <v>1.4831060869565216</v>
      </c>
      <c r="L56" s="17"/>
    </row>
    <row r="57" spans="1:13" s="9" customFormat="1" x14ac:dyDescent="0.25">
      <c r="A57" s="68" t="s">
        <v>85</v>
      </c>
      <c r="B57" s="68"/>
      <c r="C57" s="68"/>
      <c r="D57" s="68"/>
      <c r="E57" s="68"/>
      <c r="F57" s="1" t="s">
        <v>31</v>
      </c>
      <c r="G57" s="13">
        <v>0.36</v>
      </c>
      <c r="H57" s="13">
        <f>'Услуга №1 '!H70</f>
        <v>416.4</v>
      </c>
      <c r="I57" s="13">
        <f>G57*H57*12-0.01</f>
        <v>1798.838</v>
      </c>
      <c r="J57" s="24">
        <f>J56</f>
        <v>13800</v>
      </c>
      <c r="K57" s="13">
        <f t="shared" ref="K57" si="8">I57/J57</f>
        <v>0.13035057971014494</v>
      </c>
      <c r="L57" s="17"/>
    </row>
    <row r="58" spans="1:13" s="9" customFormat="1" x14ac:dyDescent="0.25">
      <c r="A58" s="82" t="s">
        <v>86</v>
      </c>
      <c r="B58" s="83"/>
      <c r="C58" s="83"/>
      <c r="D58" s="83"/>
      <c r="E58" s="83"/>
      <c r="F58" s="83"/>
      <c r="G58" s="83"/>
      <c r="H58" s="83"/>
      <c r="I58" s="49">
        <f>SUM(I56:I57)</f>
        <v>22265.701999999997</v>
      </c>
      <c r="J58" s="48"/>
      <c r="K58" s="48">
        <f>SUM(K56:K57)</f>
        <v>1.6134566666666665</v>
      </c>
      <c r="L58" s="17"/>
    </row>
    <row r="59" spans="1:13" s="9" customFormat="1" x14ac:dyDescent="0.25">
      <c r="A59" s="35"/>
      <c r="B59" s="35"/>
      <c r="C59" s="35"/>
      <c r="D59" s="35"/>
      <c r="E59" s="35"/>
      <c r="F59" s="35"/>
      <c r="G59" s="35"/>
      <c r="H59" s="35"/>
      <c r="I59" s="54"/>
      <c r="J59" s="55"/>
      <c r="K59" s="55"/>
      <c r="L59" s="17"/>
    </row>
    <row r="60" spans="1:13" s="9" customFormat="1" x14ac:dyDescent="0.25">
      <c r="A60" s="74" t="s">
        <v>87</v>
      </c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</row>
    <row r="61" spans="1:13" s="9" customFormat="1" ht="46.5" customHeight="1" x14ac:dyDescent="0.25">
      <c r="A61" s="85" t="s">
        <v>19</v>
      </c>
      <c r="B61" s="86"/>
      <c r="C61" s="86"/>
      <c r="D61" s="86"/>
      <c r="E61" s="87"/>
      <c r="F61" s="32" t="s">
        <v>17</v>
      </c>
      <c r="G61" s="32" t="s">
        <v>69</v>
      </c>
      <c r="H61" s="32" t="s">
        <v>68</v>
      </c>
      <c r="I61" s="32" t="s">
        <v>81</v>
      </c>
      <c r="J61" s="33" t="s">
        <v>76</v>
      </c>
      <c r="K61" s="34" t="s">
        <v>77</v>
      </c>
      <c r="L61" s="46"/>
      <c r="M61" s="46"/>
    </row>
    <row r="62" spans="1:13" s="9" customFormat="1" ht="45" x14ac:dyDescent="0.25">
      <c r="A62" s="85" t="s">
        <v>35</v>
      </c>
      <c r="B62" s="86"/>
      <c r="C62" s="86"/>
      <c r="D62" s="86"/>
      <c r="E62" s="87"/>
      <c r="F62" s="20" t="s">
        <v>36</v>
      </c>
      <c r="G62" s="13">
        <v>0.72</v>
      </c>
      <c r="H62" s="13">
        <f>'Услуга №1 '!H75</f>
        <v>850</v>
      </c>
      <c r="I62" s="13">
        <f>G62*H62*12</f>
        <v>7344</v>
      </c>
      <c r="J62" s="50">
        <f>J57</f>
        <v>13800</v>
      </c>
      <c r="K62" s="13">
        <f>I62/J62</f>
        <v>0.53217391304347827</v>
      </c>
      <c r="L62" s="16"/>
      <c r="M62" s="17"/>
    </row>
    <row r="63" spans="1:13" s="9" customFormat="1" x14ac:dyDescent="0.25">
      <c r="A63" s="85" t="s">
        <v>88</v>
      </c>
      <c r="B63" s="86"/>
      <c r="C63" s="86"/>
      <c r="D63" s="86"/>
      <c r="E63" s="87"/>
      <c r="F63" s="20" t="s">
        <v>31</v>
      </c>
      <c r="G63" s="13">
        <v>0.36</v>
      </c>
      <c r="H63" s="13">
        <f>'Услуга №1 '!H76</f>
        <v>800</v>
      </c>
      <c r="I63" s="13">
        <f>G63*H63*12</f>
        <v>3456</v>
      </c>
      <c r="J63" s="50">
        <f>J62</f>
        <v>13800</v>
      </c>
      <c r="K63" s="13">
        <f>I63/J63</f>
        <v>0.25043478260869567</v>
      </c>
      <c r="L63" s="16"/>
      <c r="M63" s="17"/>
    </row>
    <row r="64" spans="1:13" s="9" customFormat="1" x14ac:dyDescent="0.25">
      <c r="A64" s="82" t="s">
        <v>37</v>
      </c>
      <c r="B64" s="83"/>
      <c r="C64" s="83"/>
      <c r="D64" s="83"/>
      <c r="E64" s="83"/>
      <c r="F64" s="83"/>
      <c r="G64" s="83"/>
      <c r="H64" s="84"/>
      <c r="I64" s="49">
        <f t="shared" ref="I64" si="9">SUM(I62:I63)</f>
        <v>10800</v>
      </c>
      <c r="J64" s="48"/>
      <c r="K64" s="48">
        <f>SUM(K62:K63)</f>
        <v>0.78260869565217395</v>
      </c>
      <c r="L64" s="37"/>
      <c r="M64" s="17"/>
    </row>
    <row r="65" spans="1:12" s="9" customFormat="1" x14ac:dyDescent="0.25"/>
    <row r="66" spans="1:12" s="9" customFormat="1" x14ac:dyDescent="0.25">
      <c r="A66" s="74" t="s">
        <v>57</v>
      </c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</row>
    <row r="67" spans="1:12" s="9" customFormat="1" hidden="1" x14ac:dyDescent="0.25"/>
    <row r="68" spans="1:12" s="9" customFormat="1" ht="75" x14ac:dyDescent="0.25">
      <c r="A68" s="75" t="s">
        <v>15</v>
      </c>
      <c r="B68" s="75"/>
      <c r="C68" s="75"/>
      <c r="D68" s="75"/>
      <c r="E68" s="75"/>
      <c r="F68" s="32" t="s">
        <v>16</v>
      </c>
      <c r="G68" s="32" t="s">
        <v>1</v>
      </c>
      <c r="H68" s="32" t="s">
        <v>74</v>
      </c>
      <c r="I68" s="32" t="s">
        <v>75</v>
      </c>
      <c r="J68" s="32" t="s">
        <v>76</v>
      </c>
      <c r="K68" s="34" t="s">
        <v>77</v>
      </c>
      <c r="L68" s="12"/>
    </row>
    <row r="69" spans="1:12" s="9" customFormat="1" x14ac:dyDescent="0.25">
      <c r="A69" s="68" t="s">
        <v>5</v>
      </c>
      <c r="B69" s="68"/>
      <c r="C69" s="68"/>
      <c r="D69" s="68"/>
      <c r="E69" s="68"/>
      <c r="F69" s="14">
        <f>'Услуга №1 '!F82</f>
        <v>27867.62</v>
      </c>
      <c r="G69" s="1">
        <v>0.25</v>
      </c>
      <c r="H69" s="13">
        <f>F69*G69*12</f>
        <v>83602.86</v>
      </c>
      <c r="I69" s="13">
        <f>H69*1.302-91.03-275.72</f>
        <v>108484.17372000001</v>
      </c>
      <c r="J69" s="24">
        <f>F28</f>
        <v>13800</v>
      </c>
      <c r="K69" s="13">
        <f>I69/J69</f>
        <v>7.8611720086956529</v>
      </c>
      <c r="L69" s="13"/>
    </row>
    <row r="70" spans="1:12" s="9" customFormat="1" x14ac:dyDescent="0.25">
      <c r="A70" s="68" t="s">
        <v>4</v>
      </c>
      <c r="B70" s="68"/>
      <c r="C70" s="68"/>
      <c r="D70" s="68"/>
      <c r="E70" s="68"/>
      <c r="F70" s="1">
        <f>'Услуга №1 '!F39</f>
        <v>19677.599999999999</v>
      </c>
      <c r="G70" s="1">
        <v>0.38</v>
      </c>
      <c r="H70" s="13">
        <f t="shared" ref="H70:H76" si="10">F70*G70*12</f>
        <v>89729.856</v>
      </c>
      <c r="I70" s="13">
        <f t="shared" ref="I70:I76" si="11">H70*1.302-91.03-275.72</f>
        <v>116461.52251200001</v>
      </c>
      <c r="J70" s="24">
        <f t="shared" ref="J70:J76" si="12">J69</f>
        <v>13800</v>
      </c>
      <c r="K70" s="13">
        <f t="shared" ref="K70:K76" si="13">I70/J70</f>
        <v>8.4392407617391321</v>
      </c>
      <c r="L70" s="13"/>
    </row>
    <row r="71" spans="1:12" s="9" customFormat="1" x14ac:dyDescent="0.25">
      <c r="A71" s="68" t="s">
        <v>7</v>
      </c>
      <c r="B71" s="68"/>
      <c r="C71" s="68"/>
      <c r="D71" s="68"/>
      <c r="E71" s="68"/>
      <c r="F71" s="1">
        <f>'Услуга №1 '!F41</f>
        <v>19007.055</v>
      </c>
      <c r="G71" s="1">
        <v>0.38</v>
      </c>
      <c r="H71" s="13">
        <f t="shared" si="10"/>
        <v>86672.170800000007</v>
      </c>
      <c r="I71" s="13">
        <f t="shared" si="11"/>
        <v>112480.41638160001</v>
      </c>
      <c r="J71" s="24">
        <f t="shared" si="12"/>
        <v>13800</v>
      </c>
      <c r="K71" s="13">
        <f t="shared" si="13"/>
        <v>8.1507548102608709</v>
      </c>
      <c r="L71" s="13"/>
    </row>
    <row r="72" spans="1:12" s="9" customFormat="1" x14ac:dyDescent="0.25">
      <c r="A72" s="68" t="s">
        <v>9</v>
      </c>
      <c r="B72" s="68"/>
      <c r="C72" s="68"/>
      <c r="D72" s="68"/>
      <c r="E72" s="68"/>
      <c r="F72" s="14">
        <f>'Услуга №1 '!F43</f>
        <v>18089.04</v>
      </c>
      <c r="G72" s="1">
        <v>0.09</v>
      </c>
      <c r="H72" s="13">
        <f t="shared" si="10"/>
        <v>19536.163199999999</v>
      </c>
      <c r="I72" s="13">
        <f t="shared" si="11"/>
        <v>25069.334486399999</v>
      </c>
      <c r="J72" s="24">
        <f t="shared" si="12"/>
        <v>13800</v>
      </c>
      <c r="K72" s="13">
        <f t="shared" si="13"/>
        <v>1.8166184410434782</v>
      </c>
      <c r="L72" s="13"/>
    </row>
    <row r="73" spans="1:12" s="9" customFormat="1" x14ac:dyDescent="0.25">
      <c r="A73" s="68" t="s">
        <v>10</v>
      </c>
      <c r="B73" s="68"/>
      <c r="C73" s="68"/>
      <c r="D73" s="68"/>
      <c r="E73" s="68"/>
      <c r="F73" s="1">
        <f>'Услуга №1 '!F42</f>
        <v>18102.400000000001</v>
      </c>
      <c r="G73" s="1">
        <v>0.38</v>
      </c>
      <c r="H73" s="13">
        <f t="shared" si="10"/>
        <v>82546.944000000003</v>
      </c>
      <c r="I73" s="13">
        <f t="shared" si="11"/>
        <v>107109.37108800001</v>
      </c>
      <c r="J73" s="24">
        <f t="shared" si="12"/>
        <v>13800</v>
      </c>
      <c r="K73" s="13">
        <f t="shared" si="13"/>
        <v>7.7615486295652181</v>
      </c>
      <c r="L73" s="13"/>
    </row>
    <row r="74" spans="1:12" s="9" customFormat="1" x14ac:dyDescent="0.25">
      <c r="A74" s="68" t="s">
        <v>11</v>
      </c>
      <c r="B74" s="68"/>
      <c r="C74" s="68"/>
      <c r="D74" s="68"/>
      <c r="E74" s="68"/>
      <c r="F74" s="1">
        <f>'Услуга №1 '!F40</f>
        <v>18738.61</v>
      </c>
      <c r="G74" s="1">
        <v>0.38</v>
      </c>
      <c r="H74" s="13">
        <f t="shared" si="10"/>
        <v>85448.061600000001</v>
      </c>
      <c r="I74" s="13">
        <f t="shared" si="11"/>
        <v>110886.62620320001</v>
      </c>
      <c r="J74" s="24">
        <f t="shared" si="12"/>
        <v>13800</v>
      </c>
      <c r="K74" s="13">
        <f t="shared" si="13"/>
        <v>8.0352627683478275</v>
      </c>
      <c r="L74" s="13"/>
    </row>
    <row r="75" spans="1:12" s="9" customFormat="1" x14ac:dyDescent="0.25">
      <c r="A75" s="68" t="s">
        <v>78</v>
      </c>
      <c r="B75" s="68"/>
      <c r="C75" s="68"/>
      <c r="D75" s="68"/>
      <c r="E75" s="68"/>
      <c r="F75" s="14">
        <f>'Услуга №1 '!F46</f>
        <v>19270.599999999999</v>
      </c>
      <c r="G75" s="1">
        <v>0.38</v>
      </c>
      <c r="H75" s="13">
        <f t="shared" si="10"/>
        <v>87873.935999999987</v>
      </c>
      <c r="I75" s="13">
        <f t="shared" si="11"/>
        <v>114045.11467199998</v>
      </c>
      <c r="J75" s="24">
        <f t="shared" si="12"/>
        <v>13800</v>
      </c>
      <c r="K75" s="13">
        <f t="shared" si="13"/>
        <v>8.2641387443478251</v>
      </c>
      <c r="L75" s="13"/>
    </row>
    <row r="76" spans="1:12" s="9" customFormat="1" x14ac:dyDescent="0.25">
      <c r="A76" s="68" t="s">
        <v>13</v>
      </c>
      <c r="B76" s="68"/>
      <c r="C76" s="68"/>
      <c r="D76" s="68"/>
      <c r="E76" s="68"/>
      <c r="F76" s="14">
        <f>'Услуга №1 '!F83</f>
        <v>19451.2</v>
      </c>
      <c r="G76" s="1">
        <v>0.38</v>
      </c>
      <c r="H76" s="13">
        <f t="shared" si="10"/>
        <v>88697.472000000009</v>
      </c>
      <c r="I76" s="13">
        <f t="shared" si="11"/>
        <v>115117.35854400002</v>
      </c>
      <c r="J76" s="24">
        <f t="shared" si="12"/>
        <v>13800</v>
      </c>
      <c r="K76" s="13">
        <f t="shared" si="13"/>
        <v>8.3418375756521748</v>
      </c>
      <c r="L76" s="13"/>
    </row>
    <row r="77" spans="1:12" s="9" customFormat="1" x14ac:dyDescent="0.25">
      <c r="A77" s="82" t="s">
        <v>38</v>
      </c>
      <c r="B77" s="83"/>
      <c r="C77" s="83"/>
      <c r="D77" s="83"/>
      <c r="E77" s="84"/>
      <c r="F77" s="23"/>
      <c r="G77" s="23">
        <f>SUM(G69:G76)</f>
        <v>2.6199999999999997</v>
      </c>
      <c r="H77" s="22"/>
      <c r="I77" s="49">
        <f>SUM(I69:I76)</f>
        <v>809653.9176072001</v>
      </c>
      <c r="J77" s="49"/>
      <c r="K77" s="49">
        <f>SUM(K69:K76)</f>
        <v>58.670573739652184</v>
      </c>
      <c r="L77" s="13"/>
    </row>
    <row r="78" spans="1:12" s="9" customFormat="1" x14ac:dyDescent="0.25">
      <c r="A78" s="35"/>
      <c r="B78" s="35"/>
      <c r="C78" s="35"/>
      <c r="D78" s="35"/>
      <c r="E78" s="35"/>
      <c r="F78" s="36"/>
      <c r="G78" s="36"/>
      <c r="H78" s="37"/>
      <c r="I78" s="37"/>
      <c r="J78" s="37"/>
      <c r="K78" s="38"/>
      <c r="L78" s="17"/>
    </row>
    <row r="79" spans="1:12" s="9" customFormat="1" x14ac:dyDescent="0.25">
      <c r="A79" s="74" t="s">
        <v>39</v>
      </c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</row>
    <row r="80" spans="1:12" s="9" customFormat="1" ht="45.75" customHeight="1" x14ac:dyDescent="0.25">
      <c r="A80" s="75" t="s">
        <v>89</v>
      </c>
      <c r="B80" s="75"/>
      <c r="C80" s="75"/>
      <c r="D80" s="75"/>
      <c r="E80" s="75"/>
      <c r="F80" s="32" t="s">
        <v>17</v>
      </c>
      <c r="G80" s="32" t="s">
        <v>69</v>
      </c>
      <c r="H80" s="32" t="s">
        <v>68</v>
      </c>
      <c r="I80" s="32" t="s">
        <v>81</v>
      </c>
      <c r="J80" s="32" t="s">
        <v>76</v>
      </c>
      <c r="K80" s="34" t="s">
        <v>77</v>
      </c>
      <c r="L80" s="46"/>
    </row>
    <row r="81" spans="1:12" s="9" customFormat="1" x14ac:dyDescent="0.25">
      <c r="A81" s="68" t="s">
        <v>100</v>
      </c>
      <c r="B81" s="68"/>
      <c r="C81" s="68"/>
      <c r="D81" s="68"/>
      <c r="E81" s="68"/>
      <c r="F81" s="1" t="s">
        <v>40</v>
      </c>
      <c r="G81" s="13">
        <v>0.36</v>
      </c>
      <c r="H81" s="13">
        <f>'Услуга №1 '!H88</f>
        <v>558.34</v>
      </c>
      <c r="I81" s="13">
        <f>G81*H81*12-0.03</f>
        <v>2411.9987999999998</v>
      </c>
      <c r="J81" s="24">
        <f>J76</f>
        <v>13800</v>
      </c>
      <c r="K81" s="13">
        <f>I81/J81</f>
        <v>0.17478252173913042</v>
      </c>
      <c r="L81" s="17"/>
    </row>
    <row r="82" spans="1:12" s="9" customFormat="1" x14ac:dyDescent="0.25">
      <c r="A82" s="82" t="s">
        <v>41</v>
      </c>
      <c r="B82" s="83"/>
      <c r="C82" s="83"/>
      <c r="D82" s="83"/>
      <c r="E82" s="83"/>
      <c r="F82" s="83"/>
      <c r="G82" s="83"/>
      <c r="H82" s="83"/>
      <c r="I82" s="49">
        <f>I81</f>
        <v>2411.9987999999998</v>
      </c>
      <c r="J82" s="49"/>
      <c r="K82" s="49">
        <f t="shared" ref="K82" si="14">K81</f>
        <v>0.17478252173913042</v>
      </c>
      <c r="L82" s="17"/>
    </row>
    <row r="83" spans="1:12" s="9" customFormat="1" x14ac:dyDescent="0.25"/>
    <row r="84" spans="1:12" s="9" customFormat="1" x14ac:dyDescent="0.25">
      <c r="A84" s="74" t="s">
        <v>42</v>
      </c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</row>
    <row r="85" spans="1:12" s="9" customFormat="1" hidden="1" x14ac:dyDescent="0.25"/>
    <row r="86" spans="1:12" s="9" customFormat="1" ht="15" customHeight="1" x14ac:dyDescent="0.25">
      <c r="A86" s="94" t="s">
        <v>43</v>
      </c>
      <c r="B86" s="95"/>
      <c r="C86" s="96"/>
      <c r="D86" s="85" t="s">
        <v>44</v>
      </c>
      <c r="E86" s="86"/>
      <c r="F86" s="86"/>
      <c r="G86" s="86"/>
      <c r="H86" s="86"/>
      <c r="I86" s="86"/>
      <c r="J86" s="87"/>
      <c r="K86" s="88" t="s">
        <v>55</v>
      </c>
      <c r="L86" s="89"/>
    </row>
    <row r="87" spans="1:12" s="9" customFormat="1" ht="30" x14ac:dyDescent="0.25">
      <c r="A87" s="1" t="s">
        <v>45</v>
      </c>
      <c r="B87" s="12" t="s">
        <v>46</v>
      </c>
      <c r="C87" s="1" t="s">
        <v>47</v>
      </c>
      <c r="D87" s="1" t="s">
        <v>48</v>
      </c>
      <c r="E87" s="1" t="s">
        <v>49</v>
      </c>
      <c r="F87" s="1" t="s">
        <v>50</v>
      </c>
      <c r="G87" s="1" t="s">
        <v>51</v>
      </c>
      <c r="H87" s="1" t="s">
        <v>52</v>
      </c>
      <c r="I87" s="1" t="s">
        <v>53</v>
      </c>
      <c r="J87" s="1" t="s">
        <v>54</v>
      </c>
      <c r="K87" s="90"/>
      <c r="L87" s="91"/>
    </row>
    <row r="88" spans="1:12" s="9" customFormat="1" x14ac:dyDescent="0.25">
      <c r="A88" s="13">
        <f>K34</f>
        <v>35.98149005217391</v>
      </c>
      <c r="B88" s="13"/>
      <c r="C88" s="1"/>
      <c r="D88" s="13">
        <f>K43</f>
        <v>10.393935026086957</v>
      </c>
      <c r="E88" s="13">
        <f>K52</f>
        <v>15.490992706086956</v>
      </c>
      <c r="F88" s="1">
        <f>L64</f>
        <v>0</v>
      </c>
      <c r="G88" s="13">
        <f>K64</f>
        <v>0.78260869565217395</v>
      </c>
      <c r="H88" s="1"/>
      <c r="I88" s="13">
        <f>K77</f>
        <v>58.670573739652184</v>
      </c>
      <c r="J88" s="13">
        <f>K58+K82</f>
        <v>1.7882391884057969</v>
      </c>
      <c r="K88" s="80">
        <f>SUM(A88:J88)</f>
        <v>123.10783940805798</v>
      </c>
      <c r="L88" s="81"/>
    </row>
    <row r="89" spans="1:12" s="9" customFormat="1" x14ac:dyDescent="0.25"/>
    <row r="90" spans="1:12" s="9" customFormat="1" x14ac:dyDescent="0.25">
      <c r="A90" s="21" t="s">
        <v>63</v>
      </c>
      <c r="B90" s="21"/>
      <c r="C90" s="21"/>
      <c r="D90" s="21"/>
      <c r="E90" s="21"/>
      <c r="F90" s="21" t="s">
        <v>64</v>
      </c>
      <c r="G90" s="21"/>
      <c r="I90" s="57">
        <f>I82+I77+I64+I58+I52+I43+I34</f>
        <v>1698888.1838312002</v>
      </c>
      <c r="L90" s="57">
        <f>K88*J81</f>
        <v>1698888.1838312002</v>
      </c>
    </row>
    <row r="91" spans="1:12" s="9" customFormat="1" x14ac:dyDescent="0.25">
      <c r="A91" s="21"/>
      <c r="B91" s="21"/>
      <c r="C91" s="3"/>
      <c r="D91" s="4"/>
      <c r="E91" s="4"/>
      <c r="F91" s="4"/>
      <c r="G91" s="4"/>
    </row>
    <row r="92" spans="1:12" s="9" customFormat="1" x14ac:dyDescent="0.25">
      <c r="A92" s="21" t="str">
        <f>'Работа №2'!A98</f>
        <v>Курлович Анастасия Вячеславовна</v>
      </c>
      <c r="B92" s="7"/>
      <c r="L92" s="41"/>
    </row>
    <row r="93" spans="1:12" x14ac:dyDescent="0.25">
      <c r="A93" s="21" t="s">
        <v>65</v>
      </c>
      <c r="B93" s="7"/>
      <c r="C93" s="9"/>
      <c r="D93" s="9"/>
      <c r="E93" s="9"/>
      <c r="F93" s="9"/>
      <c r="G93" s="9"/>
      <c r="K93" s="9"/>
      <c r="L93" s="40"/>
    </row>
    <row r="94" spans="1:12" x14ac:dyDescent="0.25">
      <c r="H94" s="53"/>
    </row>
    <row r="98" spans="9:10" hidden="1" x14ac:dyDescent="0.25">
      <c r="I98" s="41">
        <f>(K34+K77)*J76</f>
        <v>1306198.4803272001</v>
      </c>
      <c r="J98" s="9" t="s">
        <v>99</v>
      </c>
    </row>
    <row r="99" spans="9:10" hidden="1" x14ac:dyDescent="0.25">
      <c r="I99" s="41">
        <f>K43*J42</f>
        <v>143436.30336000002</v>
      </c>
      <c r="J99" s="9">
        <v>223</v>
      </c>
    </row>
    <row r="100" spans="9:10" hidden="1" x14ac:dyDescent="0.25">
      <c r="I100" s="42">
        <f>K64*J76</f>
        <v>10800</v>
      </c>
      <c r="J100">
        <v>221</v>
      </c>
    </row>
    <row r="101" spans="9:10" hidden="1" x14ac:dyDescent="0.25">
      <c r="I101" s="56">
        <f>K52*J51</f>
        <v>213775.69934399999</v>
      </c>
      <c r="J101">
        <v>225</v>
      </c>
    </row>
    <row r="102" spans="9:10" hidden="1" x14ac:dyDescent="0.25">
      <c r="I102" s="56">
        <f>K58*J56</f>
        <v>22265.701999999997</v>
      </c>
      <c r="J102" s="9">
        <v>226</v>
      </c>
    </row>
    <row r="103" spans="9:10" hidden="1" x14ac:dyDescent="0.25">
      <c r="I103" s="56">
        <f>K82*J81</f>
        <v>2411.9987999999998</v>
      </c>
      <c r="J103" t="s">
        <v>101</v>
      </c>
    </row>
  </sheetData>
  <mergeCells count="75">
    <mergeCell ref="A80:E80"/>
    <mergeCell ref="A82:H82"/>
    <mergeCell ref="A56:E56"/>
    <mergeCell ref="A57:E57"/>
    <mergeCell ref="A58:H58"/>
    <mergeCell ref="A61:E61"/>
    <mergeCell ref="A64:H64"/>
    <mergeCell ref="A76:E76"/>
    <mergeCell ref="A77:E77"/>
    <mergeCell ref="A63:E63"/>
    <mergeCell ref="A66:L66"/>
    <mergeCell ref="A73:E73"/>
    <mergeCell ref="A70:E70"/>
    <mergeCell ref="A71:E71"/>
    <mergeCell ref="A72:E72"/>
    <mergeCell ref="K88:L88"/>
    <mergeCell ref="A18:E18"/>
    <mergeCell ref="G18:K18"/>
    <mergeCell ref="A84:L84"/>
    <mergeCell ref="A86:C86"/>
    <mergeCell ref="D86:J86"/>
    <mergeCell ref="K86:L87"/>
    <mergeCell ref="A75:E75"/>
    <mergeCell ref="A69:E69"/>
    <mergeCell ref="A79:L79"/>
    <mergeCell ref="A81:E81"/>
    <mergeCell ref="A74:E74"/>
    <mergeCell ref="A68:E68"/>
    <mergeCell ref="A51:E51"/>
    <mergeCell ref="A60:L60"/>
    <mergeCell ref="A62:E62"/>
    <mergeCell ref="A52:H52"/>
    <mergeCell ref="A54:L54"/>
    <mergeCell ref="A55:E55"/>
    <mergeCell ref="A50:E50"/>
    <mergeCell ref="A38:E38"/>
    <mergeCell ref="A39:E39"/>
    <mergeCell ref="A40:E40"/>
    <mergeCell ref="A41:E41"/>
    <mergeCell ref="A42:E42"/>
    <mergeCell ref="A45:L45"/>
    <mergeCell ref="A47:E47"/>
    <mergeCell ref="A48:E48"/>
    <mergeCell ref="A49:E49"/>
    <mergeCell ref="A43:H43"/>
    <mergeCell ref="A36:L36"/>
    <mergeCell ref="G23:K23"/>
    <mergeCell ref="A24:E24"/>
    <mergeCell ref="G24:K24"/>
    <mergeCell ref="A26:E26"/>
    <mergeCell ref="G26:K26"/>
    <mergeCell ref="A25:E25"/>
    <mergeCell ref="G25:K25"/>
    <mergeCell ref="A23:E23"/>
    <mergeCell ref="A32:E32"/>
    <mergeCell ref="A33:E33"/>
    <mergeCell ref="A29:E29"/>
    <mergeCell ref="A30:E30"/>
    <mergeCell ref="A31:E31"/>
    <mergeCell ref="A34:E34"/>
    <mergeCell ref="G21:K21"/>
    <mergeCell ref="A22:E22"/>
    <mergeCell ref="G22:K22"/>
    <mergeCell ref="A20:E20"/>
    <mergeCell ref="G20:K20"/>
    <mergeCell ref="A21:E21"/>
    <mergeCell ref="G19:K19"/>
    <mergeCell ref="A4:F4"/>
    <mergeCell ref="A5:D5"/>
    <mergeCell ref="A8:M8"/>
    <mergeCell ref="A9:M9"/>
    <mergeCell ref="A10:M10"/>
    <mergeCell ref="A17:E17"/>
    <mergeCell ref="G17:K17"/>
    <mergeCell ref="A19:E19"/>
  </mergeCells>
  <printOptions horizontalCentered="1"/>
  <pageMargins left="0" right="0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СВОД</vt:lpstr>
      <vt:lpstr>Услуга №1 </vt:lpstr>
      <vt:lpstr>Работа №1</vt:lpstr>
      <vt:lpstr>Работа №2</vt:lpstr>
      <vt:lpstr>Работа №3</vt:lpstr>
      <vt:lpstr>'Работа №1'!Область_печати</vt:lpstr>
      <vt:lpstr>'Работа №2'!Область_печати</vt:lpstr>
      <vt:lpstr>'Работа №3'!Область_печати</vt:lpstr>
      <vt:lpstr>'Услуга №1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2019-01-21T05:54:45Z</dcterms:modified>
</cp:coreProperties>
</file>