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0752"/>
  </bookViews>
  <sheets>
    <sheet name="Услуга №1" sheetId="13" r:id="rId1"/>
    <sheet name="Услуга №2" sheetId="14" r:id="rId2"/>
    <sheet name="Работа №1" sheetId="19" r:id="rId3"/>
    <sheet name="Работа №2" sheetId="20" r:id="rId4"/>
    <sheet name="Работа №3" sheetId="21" r:id="rId5"/>
    <sheet name="Работа №4" sheetId="22" state="hidden" r:id="rId6"/>
    <sheet name="Всего" sheetId="27" r:id="rId7"/>
    <sheet name="Натуральные нормы" sheetId="26" r:id="rId8"/>
  </sheets>
  <calcPr calcId="124519"/>
</workbook>
</file>

<file path=xl/calcChain.xml><?xml version="1.0" encoding="utf-8"?>
<calcChain xmlns="http://schemas.openxmlformats.org/spreadsheetml/2006/main">
  <c r="H200" i="27"/>
  <c r="H199"/>
  <c r="H198"/>
  <c r="H194"/>
  <c r="H193"/>
  <c r="H195" s="1"/>
  <c r="G163"/>
  <c r="F163"/>
  <c r="G132"/>
  <c r="F132"/>
  <c r="F126"/>
  <c r="F125"/>
  <c r="H125" s="1"/>
  <c r="F124"/>
  <c r="F123"/>
  <c r="F122"/>
  <c r="F121"/>
  <c r="F120"/>
  <c r="F119"/>
  <c r="G114"/>
  <c r="G113"/>
  <c r="I113" s="1"/>
  <c r="G112"/>
  <c r="I112" s="1"/>
  <c r="G111"/>
  <c r="G110"/>
  <c r="G109"/>
  <c r="G108"/>
  <c r="G107"/>
  <c r="G106"/>
  <c r="I106" s="1"/>
  <c r="G105"/>
  <c r="I105" s="1"/>
  <c r="G104"/>
  <c r="I104" s="1"/>
  <c r="G103"/>
  <c r="G102"/>
  <c r="G101"/>
  <c r="G100"/>
  <c r="G95"/>
  <c r="G94"/>
  <c r="G93"/>
  <c r="I93" s="1"/>
  <c r="G92"/>
  <c r="I92" s="1"/>
  <c r="G91"/>
  <c r="G90"/>
  <c r="G89"/>
  <c r="G88"/>
  <c r="G87"/>
  <c r="G86"/>
  <c r="I86" s="1"/>
  <c r="G85"/>
  <c r="I85" s="1"/>
  <c r="H80"/>
  <c r="J80" s="1"/>
  <c r="H79"/>
  <c r="H78"/>
  <c r="H77"/>
  <c r="H71"/>
  <c r="H72" s="1"/>
  <c r="H70"/>
  <c r="M39"/>
  <c r="M38"/>
  <c r="M37"/>
  <c r="M36"/>
  <c r="M35"/>
  <c r="M34"/>
  <c r="M33"/>
  <c r="M32"/>
  <c r="M31"/>
  <c r="M30"/>
  <c r="M29"/>
  <c r="M28"/>
  <c r="M27"/>
  <c r="M25"/>
  <c r="M23"/>
  <c r="M22"/>
  <c r="M21"/>
  <c r="M20"/>
  <c r="M19"/>
  <c r="M18"/>
  <c r="M17"/>
  <c r="F18"/>
  <c r="F17"/>
  <c r="F40" s="1"/>
  <c r="J200"/>
  <c r="H201"/>
  <c r="J198"/>
  <c r="J194"/>
  <c r="M188"/>
  <c r="J188"/>
  <c r="M187"/>
  <c r="M186"/>
  <c r="J185"/>
  <c r="H185"/>
  <c r="I185" s="1"/>
  <c r="M185" s="1"/>
  <c r="J184"/>
  <c r="H184"/>
  <c r="I184" s="1"/>
  <c r="M184" s="1"/>
  <c r="J183"/>
  <c r="H183"/>
  <c r="I183" s="1"/>
  <c r="M183" s="1"/>
  <c r="J182"/>
  <c r="H182"/>
  <c r="I182" s="1"/>
  <c r="M182" s="1"/>
  <c r="J181"/>
  <c r="H181"/>
  <c r="I181" s="1"/>
  <c r="M181" s="1"/>
  <c r="J180"/>
  <c r="H180"/>
  <c r="I180" s="1"/>
  <c r="M180" s="1"/>
  <c r="J179"/>
  <c r="H179"/>
  <c r="I179" s="1"/>
  <c r="M179" s="1"/>
  <c r="J178"/>
  <c r="H178"/>
  <c r="I178" s="1"/>
  <c r="M178" s="1"/>
  <c r="J177"/>
  <c r="H177"/>
  <c r="I177" s="1"/>
  <c r="M177" s="1"/>
  <c r="J176"/>
  <c r="H176"/>
  <c r="I176" s="1"/>
  <c r="M176" s="1"/>
  <c r="J175"/>
  <c r="H175"/>
  <c r="I175" s="1"/>
  <c r="M175" s="1"/>
  <c r="J174"/>
  <c r="H174"/>
  <c r="I174" s="1"/>
  <c r="M174" s="1"/>
  <c r="J173"/>
  <c r="H173"/>
  <c r="I173" s="1"/>
  <c r="M173" s="1"/>
  <c r="J172"/>
  <c r="H172"/>
  <c r="I172" s="1"/>
  <c r="M172" s="1"/>
  <c r="J171"/>
  <c r="H171"/>
  <c r="I171" s="1"/>
  <c r="M171" s="1"/>
  <c r="J170"/>
  <c r="H170"/>
  <c r="I170" s="1"/>
  <c r="M170" s="1"/>
  <c r="J169"/>
  <c r="H169"/>
  <c r="I169" s="1"/>
  <c r="M169" s="1"/>
  <c r="J168"/>
  <c r="H168"/>
  <c r="I168" s="1"/>
  <c r="M168" s="1"/>
  <c r="J167"/>
  <c r="H167"/>
  <c r="I167" s="1"/>
  <c r="M167" s="1"/>
  <c r="J166"/>
  <c r="H166"/>
  <c r="I166" s="1"/>
  <c r="M166" s="1"/>
  <c r="J165"/>
  <c r="H165"/>
  <c r="I165" s="1"/>
  <c r="M165" s="1"/>
  <c r="J164"/>
  <c r="H164"/>
  <c r="I164" s="1"/>
  <c r="M164" s="1"/>
  <c r="H163"/>
  <c r="H189" s="1"/>
  <c r="E163"/>
  <c r="J157"/>
  <c r="J154"/>
  <c r="I154"/>
  <c r="H154"/>
  <c r="J153"/>
  <c r="I153"/>
  <c r="H153"/>
  <c r="J152"/>
  <c r="I152"/>
  <c r="H152"/>
  <c r="J151"/>
  <c r="I151"/>
  <c r="H151"/>
  <c r="J150"/>
  <c r="I150"/>
  <c r="H150"/>
  <c r="J149"/>
  <c r="I149"/>
  <c r="H149"/>
  <c r="J148"/>
  <c r="I148"/>
  <c r="H148"/>
  <c r="J147"/>
  <c r="I147"/>
  <c r="H147"/>
  <c r="J146"/>
  <c r="I146"/>
  <c r="H146"/>
  <c r="J145"/>
  <c r="I145"/>
  <c r="H145"/>
  <c r="J144"/>
  <c r="I144"/>
  <c r="H144"/>
  <c r="J143"/>
  <c r="I143"/>
  <c r="H143"/>
  <c r="J142"/>
  <c r="I142"/>
  <c r="H142"/>
  <c r="J141"/>
  <c r="I141"/>
  <c r="H141"/>
  <c r="J140"/>
  <c r="I140"/>
  <c r="H140"/>
  <c r="J139"/>
  <c r="I139"/>
  <c r="H139"/>
  <c r="J138"/>
  <c r="I138"/>
  <c r="H138"/>
  <c r="J137"/>
  <c r="I137"/>
  <c r="H137"/>
  <c r="J136"/>
  <c r="I136"/>
  <c r="H136"/>
  <c r="J135"/>
  <c r="I135"/>
  <c r="H135"/>
  <c r="K134"/>
  <c r="J134"/>
  <c r="H134"/>
  <c r="I134" s="1"/>
  <c r="J133"/>
  <c r="H133"/>
  <c r="I133" s="1"/>
  <c r="H132"/>
  <c r="E132"/>
  <c r="H126"/>
  <c r="H124"/>
  <c r="H123"/>
  <c r="H122"/>
  <c r="H121"/>
  <c r="H120"/>
  <c r="H119"/>
  <c r="H127" s="1"/>
  <c r="H207" s="1"/>
  <c r="I114"/>
  <c r="I111"/>
  <c r="I110"/>
  <c r="I109"/>
  <c r="I108"/>
  <c r="I107"/>
  <c r="I103"/>
  <c r="I102"/>
  <c r="I101"/>
  <c r="I100"/>
  <c r="I95"/>
  <c r="I94"/>
  <c r="I91"/>
  <c r="I90"/>
  <c r="I89"/>
  <c r="I88"/>
  <c r="I87"/>
  <c r="J79"/>
  <c r="J78"/>
  <c r="J71"/>
  <c r="J70"/>
  <c r="M64"/>
  <c r="M63"/>
  <c r="H63"/>
  <c r="H62"/>
  <c r="M62" s="1"/>
  <c r="M61"/>
  <c r="H61"/>
  <c r="H60"/>
  <c r="M60" s="1"/>
  <c r="M59"/>
  <c r="H59"/>
  <c r="H58"/>
  <c r="M58" s="1"/>
  <c r="M57"/>
  <c r="H57"/>
  <c r="H56"/>
  <c r="M56" s="1"/>
  <c r="M55"/>
  <c r="H55"/>
  <c r="H54"/>
  <c r="M54" s="1"/>
  <c r="M53"/>
  <c r="H53"/>
  <c r="H52"/>
  <c r="M52" s="1"/>
  <c r="M51"/>
  <c r="H51"/>
  <c r="H50"/>
  <c r="M50" s="1"/>
  <c r="M49"/>
  <c r="H49"/>
  <c r="H48"/>
  <c r="M48" s="1"/>
  <c r="M47"/>
  <c r="H47"/>
  <c r="H46"/>
  <c r="M46" s="1"/>
  <c r="E41"/>
  <c r="L40"/>
  <c r="M26"/>
  <c r="M24"/>
  <c r="E132" i="13"/>
  <c r="J193" i="27" l="1"/>
  <c r="J195" s="1"/>
  <c r="F127"/>
  <c r="G115"/>
  <c r="H81"/>
  <c r="M40"/>
  <c r="H158"/>
  <c r="J132"/>
  <c r="J158" s="1"/>
  <c r="A207" s="1"/>
  <c r="K132"/>
  <c r="M65"/>
  <c r="J72"/>
  <c r="D207" s="1"/>
  <c r="I96"/>
  <c r="F207" s="1"/>
  <c r="I115"/>
  <c r="G207" s="1"/>
  <c r="K165"/>
  <c r="J77"/>
  <c r="J81" s="1"/>
  <c r="E207" s="1"/>
  <c r="G96"/>
  <c r="K163"/>
  <c r="J163"/>
  <c r="J189" s="1"/>
  <c r="I207" s="1"/>
  <c r="J199"/>
  <c r="J201" s="1"/>
  <c r="J207" l="1"/>
  <c r="K207" s="1"/>
  <c r="J209"/>
  <c r="K219" l="1"/>
  <c r="H77" i="13" l="1"/>
  <c r="J77"/>
  <c r="H201" i="21" l="1"/>
  <c r="H200"/>
  <c r="H202" s="1"/>
  <c r="H199"/>
  <c r="H195"/>
  <c r="H194"/>
  <c r="J194" s="1"/>
  <c r="G162"/>
  <c r="H162" s="1"/>
  <c r="F162"/>
  <c r="F131"/>
  <c r="G131"/>
  <c r="H131" s="1"/>
  <c r="F125"/>
  <c r="F124"/>
  <c r="F123"/>
  <c r="F122"/>
  <c r="F121"/>
  <c r="F120"/>
  <c r="F119"/>
  <c r="H119" s="1"/>
  <c r="F118"/>
  <c r="G113"/>
  <c r="G112"/>
  <c r="G111"/>
  <c r="G110"/>
  <c r="I110" s="1"/>
  <c r="G109"/>
  <c r="G108"/>
  <c r="G107"/>
  <c r="G106"/>
  <c r="I106" s="1"/>
  <c r="G105"/>
  <c r="G104"/>
  <c r="I104" s="1"/>
  <c r="G103"/>
  <c r="G102"/>
  <c r="G101"/>
  <c r="I101" s="1"/>
  <c r="G100"/>
  <c r="G99"/>
  <c r="G94"/>
  <c r="G93"/>
  <c r="G92"/>
  <c r="G91"/>
  <c r="G90"/>
  <c r="I90" s="1"/>
  <c r="G89"/>
  <c r="G88"/>
  <c r="G87"/>
  <c r="G86"/>
  <c r="G85"/>
  <c r="G84"/>
  <c r="H79"/>
  <c r="H78"/>
  <c r="H77"/>
  <c r="J77" s="1"/>
  <c r="H76"/>
  <c r="H70"/>
  <c r="J70" s="1"/>
  <c r="H69"/>
  <c r="M39"/>
  <c r="M38"/>
  <c r="M37"/>
  <c r="M36"/>
  <c r="M35"/>
  <c r="M34"/>
  <c r="M33"/>
  <c r="M32"/>
  <c r="M31"/>
  <c r="M30"/>
  <c r="M29"/>
  <c r="M28"/>
  <c r="M27"/>
  <c r="M25"/>
  <c r="M23"/>
  <c r="M22"/>
  <c r="M21"/>
  <c r="M20"/>
  <c r="M19"/>
  <c r="M18"/>
  <c r="M17"/>
  <c r="M16"/>
  <c r="F17"/>
  <c r="F39" s="1"/>
  <c r="F16"/>
  <c r="J201"/>
  <c r="J199"/>
  <c r="M187"/>
  <c r="J187"/>
  <c r="M186"/>
  <c r="M185"/>
  <c r="J184"/>
  <c r="H184"/>
  <c r="I184" s="1"/>
  <c r="M184" s="1"/>
  <c r="J183"/>
  <c r="H183"/>
  <c r="I183" s="1"/>
  <c r="M183" s="1"/>
  <c r="J182"/>
  <c r="H182"/>
  <c r="I182" s="1"/>
  <c r="M182" s="1"/>
  <c r="J181"/>
  <c r="H181"/>
  <c r="I181" s="1"/>
  <c r="M181" s="1"/>
  <c r="J180"/>
  <c r="H180"/>
  <c r="I180" s="1"/>
  <c r="M180" s="1"/>
  <c r="J179"/>
  <c r="H179"/>
  <c r="I179" s="1"/>
  <c r="M179" s="1"/>
  <c r="J178"/>
  <c r="H178"/>
  <c r="I178" s="1"/>
  <c r="M178" s="1"/>
  <c r="J177"/>
  <c r="H177"/>
  <c r="I177" s="1"/>
  <c r="M177" s="1"/>
  <c r="J176"/>
  <c r="H176"/>
  <c r="I176" s="1"/>
  <c r="M176" s="1"/>
  <c r="J175"/>
  <c r="H175"/>
  <c r="I175" s="1"/>
  <c r="M175" s="1"/>
  <c r="J174"/>
  <c r="H174"/>
  <c r="I174" s="1"/>
  <c r="M174" s="1"/>
  <c r="J173"/>
  <c r="H173"/>
  <c r="I173" s="1"/>
  <c r="M173" s="1"/>
  <c r="J172"/>
  <c r="H172"/>
  <c r="I172" s="1"/>
  <c r="M172" s="1"/>
  <c r="J171"/>
  <c r="H171"/>
  <c r="I171" s="1"/>
  <c r="M171" s="1"/>
  <c r="J170"/>
  <c r="H170"/>
  <c r="I170" s="1"/>
  <c r="M170" s="1"/>
  <c r="J169"/>
  <c r="H169"/>
  <c r="I169" s="1"/>
  <c r="M169" s="1"/>
  <c r="J168"/>
  <c r="H168"/>
  <c r="I168" s="1"/>
  <c r="M168" s="1"/>
  <c r="J167"/>
  <c r="H167"/>
  <c r="I167" s="1"/>
  <c r="M167" s="1"/>
  <c r="J166"/>
  <c r="H166"/>
  <c r="I166" s="1"/>
  <c r="M166" s="1"/>
  <c r="J165"/>
  <c r="H165"/>
  <c r="I165" s="1"/>
  <c r="M165" s="1"/>
  <c r="J164"/>
  <c r="I164"/>
  <c r="M164" s="1"/>
  <c r="H164"/>
  <c r="K164" s="1"/>
  <c r="J163"/>
  <c r="I163"/>
  <c r="M163" s="1"/>
  <c r="H163"/>
  <c r="E162"/>
  <c r="M156"/>
  <c r="J156"/>
  <c r="M155"/>
  <c r="M154"/>
  <c r="M153"/>
  <c r="J153"/>
  <c r="I153"/>
  <c r="H153"/>
  <c r="M152"/>
  <c r="J152"/>
  <c r="I152"/>
  <c r="H152"/>
  <c r="M151"/>
  <c r="J151"/>
  <c r="I151"/>
  <c r="H151"/>
  <c r="M150"/>
  <c r="J150"/>
  <c r="I150"/>
  <c r="H150"/>
  <c r="M149"/>
  <c r="J149"/>
  <c r="I149"/>
  <c r="H149"/>
  <c r="M148"/>
  <c r="J148"/>
  <c r="I148"/>
  <c r="H148"/>
  <c r="M147"/>
  <c r="J147"/>
  <c r="I147"/>
  <c r="H147"/>
  <c r="M146"/>
  <c r="J146"/>
  <c r="I146"/>
  <c r="H146"/>
  <c r="M145"/>
  <c r="J145"/>
  <c r="I145"/>
  <c r="H145"/>
  <c r="M144"/>
  <c r="J144"/>
  <c r="I144"/>
  <c r="H144"/>
  <c r="M143"/>
  <c r="J143"/>
  <c r="I143"/>
  <c r="H143"/>
  <c r="M142"/>
  <c r="J142"/>
  <c r="I142"/>
  <c r="H142"/>
  <c r="M141"/>
  <c r="J141"/>
  <c r="I141"/>
  <c r="H141"/>
  <c r="M140"/>
  <c r="J140"/>
  <c r="I140"/>
  <c r="H140"/>
  <c r="M139"/>
  <c r="J139"/>
  <c r="I139"/>
  <c r="H139"/>
  <c r="M138"/>
  <c r="J138"/>
  <c r="I138"/>
  <c r="H138"/>
  <c r="M137"/>
  <c r="J137"/>
  <c r="I137"/>
  <c r="H137"/>
  <c r="M136"/>
  <c r="J136"/>
  <c r="I136"/>
  <c r="H136"/>
  <c r="M135"/>
  <c r="J135"/>
  <c r="I135"/>
  <c r="H135"/>
  <c r="M134"/>
  <c r="J134"/>
  <c r="I134"/>
  <c r="H134"/>
  <c r="J133"/>
  <c r="H133"/>
  <c r="I133" s="1"/>
  <c r="M133" s="1"/>
  <c r="J132"/>
  <c r="H132"/>
  <c r="I132" s="1"/>
  <c r="M132" s="1"/>
  <c r="E131"/>
  <c r="H125"/>
  <c r="H124"/>
  <c r="H123"/>
  <c r="H122"/>
  <c r="H121"/>
  <c r="H120"/>
  <c r="I113"/>
  <c r="I112"/>
  <c r="I111"/>
  <c r="I109"/>
  <c r="I108"/>
  <c r="I107"/>
  <c r="I105"/>
  <c r="I103"/>
  <c r="I100"/>
  <c r="I99"/>
  <c r="I94"/>
  <c r="I93"/>
  <c r="I92"/>
  <c r="I91"/>
  <c r="I88"/>
  <c r="I87"/>
  <c r="I86"/>
  <c r="I85"/>
  <c r="J79"/>
  <c r="J78"/>
  <c r="J69"/>
  <c r="M63"/>
  <c r="M62"/>
  <c r="H62"/>
  <c r="H61"/>
  <c r="M61" s="1"/>
  <c r="M60"/>
  <c r="H60"/>
  <c r="H59"/>
  <c r="M59" s="1"/>
  <c r="M58"/>
  <c r="H58"/>
  <c r="H57"/>
  <c r="M57" s="1"/>
  <c r="M56"/>
  <c r="H56"/>
  <c r="H55"/>
  <c r="M55" s="1"/>
  <c r="M54"/>
  <c r="H54"/>
  <c r="H53"/>
  <c r="M53" s="1"/>
  <c r="M52"/>
  <c r="H52"/>
  <c r="H51"/>
  <c r="M51" s="1"/>
  <c r="M50"/>
  <c r="H50"/>
  <c r="H49"/>
  <c r="M49" s="1"/>
  <c r="M48"/>
  <c r="H48"/>
  <c r="H47"/>
  <c r="M47" s="1"/>
  <c r="M46"/>
  <c r="H46"/>
  <c r="H45"/>
  <c r="M45" s="1"/>
  <c r="E40"/>
  <c r="L39"/>
  <c r="M26"/>
  <c r="M24"/>
  <c r="H202" i="20"/>
  <c r="J202" s="1"/>
  <c r="H201"/>
  <c r="H200"/>
  <c r="H81"/>
  <c r="H77"/>
  <c r="H196"/>
  <c r="H195"/>
  <c r="G163"/>
  <c r="H163" s="1"/>
  <c r="K163" s="1"/>
  <c r="F163"/>
  <c r="G132"/>
  <c r="F132"/>
  <c r="F126"/>
  <c r="F125"/>
  <c r="F124"/>
  <c r="H124" s="1"/>
  <c r="F123"/>
  <c r="F122"/>
  <c r="H122" s="1"/>
  <c r="F121"/>
  <c r="F120"/>
  <c r="F119"/>
  <c r="G114"/>
  <c r="G113"/>
  <c r="G112"/>
  <c r="G111"/>
  <c r="G110"/>
  <c r="G109"/>
  <c r="G108"/>
  <c r="G107"/>
  <c r="I107" s="1"/>
  <c r="G106"/>
  <c r="G105"/>
  <c r="G104"/>
  <c r="G103"/>
  <c r="G102"/>
  <c r="I102" s="1"/>
  <c r="G101"/>
  <c r="G100"/>
  <c r="G95"/>
  <c r="I95" s="1"/>
  <c r="G94"/>
  <c r="I94" s="1"/>
  <c r="G93"/>
  <c r="G92"/>
  <c r="I92" s="1"/>
  <c r="G91"/>
  <c r="G90"/>
  <c r="G89"/>
  <c r="I89" s="1"/>
  <c r="G88"/>
  <c r="G87"/>
  <c r="I87" s="1"/>
  <c r="G86"/>
  <c r="G85"/>
  <c r="H80"/>
  <c r="J80" s="1"/>
  <c r="H79"/>
  <c r="H78"/>
  <c r="H71"/>
  <c r="H70"/>
  <c r="M40"/>
  <c r="M39"/>
  <c r="M38"/>
  <c r="M37"/>
  <c r="M36"/>
  <c r="M35"/>
  <c r="M34"/>
  <c r="M33"/>
  <c r="M32"/>
  <c r="M31"/>
  <c r="M30"/>
  <c r="M29"/>
  <c r="M28"/>
  <c r="M26"/>
  <c r="M24"/>
  <c r="M23"/>
  <c r="M22"/>
  <c r="M21"/>
  <c r="M20"/>
  <c r="M19"/>
  <c r="M18"/>
  <c r="M17"/>
  <c r="F18"/>
  <c r="F40" s="1"/>
  <c r="F17"/>
  <c r="Q202"/>
  <c r="J201"/>
  <c r="J200"/>
  <c r="J196"/>
  <c r="J195"/>
  <c r="H197"/>
  <c r="M188"/>
  <c r="J188"/>
  <c r="M187"/>
  <c r="M186"/>
  <c r="J185"/>
  <c r="H185"/>
  <c r="I185" s="1"/>
  <c r="M185" s="1"/>
  <c r="J184"/>
  <c r="H184"/>
  <c r="I184" s="1"/>
  <c r="M184" s="1"/>
  <c r="M183"/>
  <c r="J183"/>
  <c r="I183"/>
  <c r="H183"/>
  <c r="M182"/>
  <c r="J182"/>
  <c r="I182"/>
  <c r="H182"/>
  <c r="M181"/>
  <c r="J181"/>
  <c r="I181"/>
  <c r="H181"/>
  <c r="M180"/>
  <c r="J180"/>
  <c r="I180"/>
  <c r="H180"/>
  <c r="M179"/>
  <c r="J179"/>
  <c r="I179"/>
  <c r="H179"/>
  <c r="M178"/>
  <c r="J178"/>
  <c r="I178"/>
  <c r="H178"/>
  <c r="M177"/>
  <c r="J177"/>
  <c r="I177"/>
  <c r="H177"/>
  <c r="M176"/>
  <c r="J176"/>
  <c r="I176"/>
  <c r="H176"/>
  <c r="M175"/>
  <c r="J175"/>
  <c r="I175"/>
  <c r="H175"/>
  <c r="M174"/>
  <c r="J174"/>
  <c r="I174"/>
  <c r="H174"/>
  <c r="M173"/>
  <c r="J173"/>
  <c r="I173"/>
  <c r="H173"/>
  <c r="M172"/>
  <c r="J172"/>
  <c r="I172"/>
  <c r="H172"/>
  <c r="M171"/>
  <c r="J171"/>
  <c r="I171"/>
  <c r="H171"/>
  <c r="M170"/>
  <c r="J170"/>
  <c r="I170"/>
  <c r="H170"/>
  <c r="M169"/>
  <c r="J169"/>
  <c r="I169"/>
  <c r="H169"/>
  <c r="M168"/>
  <c r="J168"/>
  <c r="I168"/>
  <c r="H168"/>
  <c r="M167"/>
  <c r="J167"/>
  <c r="I167"/>
  <c r="H167"/>
  <c r="M166"/>
  <c r="J166"/>
  <c r="I166"/>
  <c r="H166"/>
  <c r="J165"/>
  <c r="H165"/>
  <c r="I165" s="1"/>
  <c r="M165" s="1"/>
  <c r="J164"/>
  <c r="H164"/>
  <c r="I164" s="1"/>
  <c r="M164" s="1"/>
  <c r="E163"/>
  <c r="J157"/>
  <c r="M157" s="1"/>
  <c r="M156"/>
  <c r="M155"/>
  <c r="J154"/>
  <c r="I154"/>
  <c r="M154" s="1"/>
  <c r="H154"/>
  <c r="J153"/>
  <c r="I153"/>
  <c r="M153" s="1"/>
  <c r="H153"/>
  <c r="J152"/>
  <c r="I152"/>
  <c r="M152" s="1"/>
  <c r="H152"/>
  <c r="J151"/>
  <c r="I151"/>
  <c r="M151" s="1"/>
  <c r="H151"/>
  <c r="J150"/>
  <c r="I150"/>
  <c r="M150" s="1"/>
  <c r="H150"/>
  <c r="J149"/>
  <c r="I149"/>
  <c r="M149" s="1"/>
  <c r="H149"/>
  <c r="J148"/>
  <c r="I148"/>
  <c r="M148" s="1"/>
  <c r="H148"/>
  <c r="J147"/>
  <c r="I147"/>
  <c r="M147" s="1"/>
  <c r="H147"/>
  <c r="J146"/>
  <c r="I146"/>
  <c r="M146" s="1"/>
  <c r="H146"/>
  <c r="J145"/>
  <c r="I145"/>
  <c r="M145" s="1"/>
  <c r="H145"/>
  <c r="J144"/>
  <c r="I144"/>
  <c r="M144" s="1"/>
  <c r="H144"/>
  <c r="J143"/>
  <c r="I143"/>
  <c r="M143" s="1"/>
  <c r="H143"/>
  <c r="J142"/>
  <c r="I142"/>
  <c r="M142" s="1"/>
  <c r="H142"/>
  <c r="J141"/>
  <c r="I141"/>
  <c r="M141" s="1"/>
  <c r="H141"/>
  <c r="J140"/>
  <c r="I140"/>
  <c r="M140" s="1"/>
  <c r="H140"/>
  <c r="J139"/>
  <c r="I139"/>
  <c r="M139" s="1"/>
  <c r="H139"/>
  <c r="J138"/>
  <c r="I138"/>
  <c r="M138" s="1"/>
  <c r="H138"/>
  <c r="J137"/>
  <c r="I137"/>
  <c r="M137" s="1"/>
  <c r="H137"/>
  <c r="J136"/>
  <c r="I136"/>
  <c r="M136" s="1"/>
  <c r="H136"/>
  <c r="J135"/>
  <c r="I135"/>
  <c r="M135" s="1"/>
  <c r="H135"/>
  <c r="K134"/>
  <c r="J134"/>
  <c r="I134"/>
  <c r="M134" s="1"/>
  <c r="H134"/>
  <c r="M133"/>
  <c r="J133"/>
  <c r="I133"/>
  <c r="H133"/>
  <c r="K132"/>
  <c r="J132"/>
  <c r="J158" s="1"/>
  <c r="A209" s="1"/>
  <c r="H132"/>
  <c r="H158" s="1"/>
  <c r="E132"/>
  <c r="H126"/>
  <c r="H125"/>
  <c r="H123"/>
  <c r="H121"/>
  <c r="H120"/>
  <c r="I114"/>
  <c r="I113"/>
  <c r="I112"/>
  <c r="I111"/>
  <c r="I110"/>
  <c r="I109"/>
  <c r="I108"/>
  <c r="I106"/>
  <c r="I105"/>
  <c r="I104"/>
  <c r="I103"/>
  <c r="I100"/>
  <c r="I93"/>
  <c r="I91"/>
  <c r="I90"/>
  <c r="I88"/>
  <c r="I86"/>
  <c r="G96"/>
  <c r="I85"/>
  <c r="J79"/>
  <c r="J78"/>
  <c r="J77"/>
  <c r="J71"/>
  <c r="M64"/>
  <c r="M65" s="1"/>
  <c r="M63"/>
  <c r="H63"/>
  <c r="H62"/>
  <c r="M62" s="1"/>
  <c r="M61"/>
  <c r="H61"/>
  <c r="H60"/>
  <c r="M60" s="1"/>
  <c r="M59"/>
  <c r="H59"/>
  <c r="H58"/>
  <c r="M58" s="1"/>
  <c r="M57"/>
  <c r="H57"/>
  <c r="H56"/>
  <c r="M56" s="1"/>
  <c r="M55"/>
  <c r="H55"/>
  <c r="M54"/>
  <c r="H54"/>
  <c r="M53"/>
  <c r="H53"/>
  <c r="M52"/>
  <c r="H52"/>
  <c r="M51"/>
  <c r="H51"/>
  <c r="H50"/>
  <c r="M50" s="1"/>
  <c r="M49"/>
  <c r="H49"/>
  <c r="H48"/>
  <c r="M48" s="1"/>
  <c r="M47"/>
  <c r="H47"/>
  <c r="H46"/>
  <c r="M46" s="1"/>
  <c r="E41"/>
  <c r="L40"/>
  <c r="M27"/>
  <c r="M25"/>
  <c r="J206" i="14"/>
  <c r="H206"/>
  <c r="I206"/>
  <c r="H201" i="19"/>
  <c r="J201" s="1"/>
  <c r="H200"/>
  <c r="H199"/>
  <c r="J199" s="1"/>
  <c r="H195"/>
  <c r="J195" s="1"/>
  <c r="H194"/>
  <c r="J194"/>
  <c r="G162"/>
  <c r="H162" s="1"/>
  <c r="K162" s="1"/>
  <c r="F162"/>
  <c r="G131"/>
  <c r="F131"/>
  <c r="M187"/>
  <c r="J187"/>
  <c r="M186"/>
  <c r="M185"/>
  <c r="J184"/>
  <c r="H184"/>
  <c r="I184" s="1"/>
  <c r="J183"/>
  <c r="H183"/>
  <c r="I183" s="1"/>
  <c r="J182"/>
  <c r="H182"/>
  <c r="I182" s="1"/>
  <c r="J181"/>
  <c r="H181"/>
  <c r="I181" s="1"/>
  <c r="J180"/>
  <c r="H180"/>
  <c r="I180" s="1"/>
  <c r="J179"/>
  <c r="H179"/>
  <c r="I179" s="1"/>
  <c r="J178"/>
  <c r="H178"/>
  <c r="I178" s="1"/>
  <c r="J177"/>
  <c r="H177"/>
  <c r="I177" s="1"/>
  <c r="J176"/>
  <c r="H176"/>
  <c r="I176" s="1"/>
  <c r="J175"/>
  <c r="H175"/>
  <c r="I175" s="1"/>
  <c r="J174"/>
  <c r="H174"/>
  <c r="I174" s="1"/>
  <c r="J173"/>
  <c r="H173"/>
  <c r="I173" s="1"/>
  <c r="J172"/>
  <c r="H172"/>
  <c r="I172" s="1"/>
  <c r="J171"/>
  <c r="H171"/>
  <c r="I171" s="1"/>
  <c r="J170"/>
  <c r="H170"/>
  <c r="I170" s="1"/>
  <c r="J169"/>
  <c r="H169"/>
  <c r="I169" s="1"/>
  <c r="J168"/>
  <c r="H168"/>
  <c r="I168" s="1"/>
  <c r="J167"/>
  <c r="H167"/>
  <c r="I167" s="1"/>
  <c r="J166"/>
  <c r="H166"/>
  <c r="I166" s="1"/>
  <c r="J165"/>
  <c r="H165"/>
  <c r="I165" s="1"/>
  <c r="J164"/>
  <c r="H164"/>
  <c r="K164" s="1"/>
  <c r="J163"/>
  <c r="I163"/>
  <c r="H163"/>
  <c r="E162"/>
  <c r="J156"/>
  <c r="M156" s="1"/>
  <c r="M155"/>
  <c r="M154"/>
  <c r="J153"/>
  <c r="H153"/>
  <c r="I153" s="1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I146"/>
  <c r="H146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H139"/>
  <c r="I139" s="1"/>
  <c r="J138"/>
  <c r="H138"/>
  <c r="I138" s="1"/>
  <c r="J137"/>
  <c r="I137"/>
  <c r="H137"/>
  <c r="J136"/>
  <c r="H136"/>
  <c r="I136" s="1"/>
  <c r="J135"/>
  <c r="H135"/>
  <c r="I135" s="1"/>
  <c r="J134"/>
  <c r="H134"/>
  <c r="I134" s="1"/>
  <c r="J133"/>
  <c r="H133"/>
  <c r="I133" s="1"/>
  <c r="J132"/>
  <c r="H132"/>
  <c r="I132" s="1"/>
  <c r="H131"/>
  <c r="E131"/>
  <c r="F125"/>
  <c r="H125" s="1"/>
  <c r="F124"/>
  <c r="H124" s="1"/>
  <c r="F123"/>
  <c r="F122"/>
  <c r="H122" s="1"/>
  <c r="F121"/>
  <c r="H121" s="1"/>
  <c r="F120"/>
  <c r="H120" s="1"/>
  <c r="F119"/>
  <c r="H119" s="1"/>
  <c r="F118"/>
  <c r="H118" s="1"/>
  <c r="H126" s="1"/>
  <c r="H208" s="1"/>
  <c r="G113"/>
  <c r="I113" s="1"/>
  <c r="G112"/>
  <c r="I112" s="1"/>
  <c r="G111"/>
  <c r="I111" s="1"/>
  <c r="G110"/>
  <c r="I110" s="1"/>
  <c r="G109"/>
  <c r="I109" s="1"/>
  <c r="G108"/>
  <c r="I108" s="1"/>
  <c r="G107"/>
  <c r="I107" s="1"/>
  <c r="G106"/>
  <c r="I106" s="1"/>
  <c r="G105"/>
  <c r="I105" s="1"/>
  <c r="G104"/>
  <c r="I104" s="1"/>
  <c r="G103"/>
  <c r="I103" s="1"/>
  <c r="G102"/>
  <c r="I102" s="1"/>
  <c r="G101"/>
  <c r="I101" s="1"/>
  <c r="G100"/>
  <c r="I100" s="1"/>
  <c r="G99"/>
  <c r="I99" s="1"/>
  <c r="G94"/>
  <c r="I94" s="1"/>
  <c r="G93"/>
  <c r="I93" s="1"/>
  <c r="G92"/>
  <c r="I92" s="1"/>
  <c r="G91"/>
  <c r="I91" s="1"/>
  <c r="G90"/>
  <c r="I90" s="1"/>
  <c r="G89"/>
  <c r="I89" s="1"/>
  <c r="G88"/>
  <c r="I88" s="1"/>
  <c r="G87"/>
  <c r="I87" s="1"/>
  <c r="G86"/>
  <c r="I86" s="1"/>
  <c r="G85"/>
  <c r="I85" s="1"/>
  <c r="G84"/>
  <c r="I84" s="1"/>
  <c r="H79"/>
  <c r="J79" s="1"/>
  <c r="H78"/>
  <c r="J78" s="1"/>
  <c r="H77"/>
  <c r="J77" s="1"/>
  <c r="H76"/>
  <c r="J76" s="1"/>
  <c r="H70"/>
  <c r="J70" s="1"/>
  <c r="H69"/>
  <c r="M38"/>
  <c r="M37"/>
  <c r="M36"/>
  <c r="M35"/>
  <c r="M34"/>
  <c r="M33"/>
  <c r="M32"/>
  <c r="M31"/>
  <c r="M30"/>
  <c r="M29"/>
  <c r="M28"/>
  <c r="M27"/>
  <c r="M25"/>
  <c r="M23"/>
  <c r="M22"/>
  <c r="M21"/>
  <c r="M20"/>
  <c r="M19"/>
  <c r="M18"/>
  <c r="M17"/>
  <c r="M16"/>
  <c r="F17"/>
  <c r="F16"/>
  <c r="M63"/>
  <c r="M62"/>
  <c r="H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E40"/>
  <c r="L39"/>
  <c r="M39" s="1"/>
  <c r="M26"/>
  <c r="M24"/>
  <c r="H199" i="14"/>
  <c r="H198"/>
  <c r="H197"/>
  <c r="H193"/>
  <c r="H194" s="1"/>
  <c r="H192"/>
  <c r="G162"/>
  <c r="F162"/>
  <c r="G131"/>
  <c r="F131"/>
  <c r="F125"/>
  <c r="F124"/>
  <c r="F123"/>
  <c r="F122"/>
  <c r="F121"/>
  <c r="F120"/>
  <c r="F119"/>
  <c r="F118"/>
  <c r="G113"/>
  <c r="G112"/>
  <c r="G111"/>
  <c r="G110"/>
  <c r="G109"/>
  <c r="G108"/>
  <c r="G107"/>
  <c r="G106"/>
  <c r="G105"/>
  <c r="G104"/>
  <c r="G103"/>
  <c r="G102"/>
  <c r="G101"/>
  <c r="G100"/>
  <c r="G99"/>
  <c r="G94"/>
  <c r="G93"/>
  <c r="G92"/>
  <c r="G91"/>
  <c r="G90"/>
  <c r="G89"/>
  <c r="G88"/>
  <c r="G87"/>
  <c r="G86"/>
  <c r="G85"/>
  <c r="G84"/>
  <c r="H80"/>
  <c r="H79"/>
  <c r="H78"/>
  <c r="H77"/>
  <c r="H76"/>
  <c r="H70"/>
  <c r="H69"/>
  <c r="M39"/>
  <c r="M38"/>
  <c r="M37"/>
  <c r="M36"/>
  <c r="M35"/>
  <c r="M34"/>
  <c r="M33"/>
  <c r="M32"/>
  <c r="M31"/>
  <c r="M30"/>
  <c r="M29"/>
  <c r="M28"/>
  <c r="M27"/>
  <c r="M26"/>
  <c r="M24"/>
  <c r="M22"/>
  <c r="M21"/>
  <c r="M20"/>
  <c r="M19"/>
  <c r="M18"/>
  <c r="M17"/>
  <c r="M16"/>
  <c r="F17"/>
  <c r="F16"/>
  <c r="J193"/>
  <c r="J192"/>
  <c r="M187"/>
  <c r="J187"/>
  <c r="M186"/>
  <c r="M185"/>
  <c r="J184"/>
  <c r="H184"/>
  <c r="I184" s="1"/>
  <c r="M184" s="1"/>
  <c r="J183"/>
  <c r="H183"/>
  <c r="I183" s="1"/>
  <c r="M183" s="1"/>
  <c r="J182"/>
  <c r="H182"/>
  <c r="I182" s="1"/>
  <c r="M182" s="1"/>
  <c r="J181"/>
  <c r="H181"/>
  <c r="I181" s="1"/>
  <c r="M181" s="1"/>
  <c r="J180"/>
  <c r="H180"/>
  <c r="I180" s="1"/>
  <c r="M180" s="1"/>
  <c r="J179"/>
  <c r="H179"/>
  <c r="I179" s="1"/>
  <c r="M179" s="1"/>
  <c r="J178"/>
  <c r="H178"/>
  <c r="I178" s="1"/>
  <c r="M178" s="1"/>
  <c r="J177"/>
  <c r="H177"/>
  <c r="I177" s="1"/>
  <c r="M177" s="1"/>
  <c r="M176"/>
  <c r="J176"/>
  <c r="I176"/>
  <c r="H176"/>
  <c r="M175"/>
  <c r="J175"/>
  <c r="I175"/>
  <c r="H175"/>
  <c r="M174"/>
  <c r="J174"/>
  <c r="I174"/>
  <c r="H174"/>
  <c r="M173"/>
  <c r="J173"/>
  <c r="I173"/>
  <c r="H173"/>
  <c r="M172"/>
  <c r="J172"/>
  <c r="I172"/>
  <c r="H172"/>
  <c r="M171"/>
  <c r="J171"/>
  <c r="I171"/>
  <c r="H171"/>
  <c r="M170"/>
  <c r="J170"/>
  <c r="I170"/>
  <c r="H170"/>
  <c r="M169"/>
  <c r="J169"/>
  <c r="I169"/>
  <c r="H169"/>
  <c r="M168"/>
  <c r="J168"/>
  <c r="I168"/>
  <c r="H168"/>
  <c r="M167"/>
  <c r="J167"/>
  <c r="I167"/>
  <c r="H167"/>
  <c r="M166"/>
  <c r="J166"/>
  <c r="I166"/>
  <c r="H166"/>
  <c r="M165"/>
  <c r="J165"/>
  <c r="I165"/>
  <c r="H165"/>
  <c r="J164"/>
  <c r="H164"/>
  <c r="I164" s="1"/>
  <c r="M164" s="1"/>
  <c r="J163"/>
  <c r="H163"/>
  <c r="I163" s="1"/>
  <c r="M163" s="1"/>
  <c r="H162"/>
  <c r="K162" s="1"/>
  <c r="E162"/>
  <c r="J156"/>
  <c r="M156" s="1"/>
  <c r="M155"/>
  <c r="M154"/>
  <c r="J153"/>
  <c r="I153"/>
  <c r="M153" s="1"/>
  <c r="H153"/>
  <c r="J152"/>
  <c r="I152"/>
  <c r="M152" s="1"/>
  <c r="H152"/>
  <c r="J151"/>
  <c r="I151"/>
  <c r="M151" s="1"/>
  <c r="H151"/>
  <c r="J150"/>
  <c r="I150"/>
  <c r="M150" s="1"/>
  <c r="H150"/>
  <c r="J149"/>
  <c r="I149"/>
  <c r="M149" s="1"/>
  <c r="H149"/>
  <c r="J148"/>
  <c r="I148"/>
  <c r="M148" s="1"/>
  <c r="H148"/>
  <c r="J147"/>
  <c r="I147"/>
  <c r="M147" s="1"/>
  <c r="H147"/>
  <c r="J146"/>
  <c r="I146"/>
  <c r="M146" s="1"/>
  <c r="H146"/>
  <c r="J145"/>
  <c r="I145"/>
  <c r="M145" s="1"/>
  <c r="H145"/>
  <c r="J144"/>
  <c r="I144"/>
  <c r="M144" s="1"/>
  <c r="H144"/>
  <c r="J143"/>
  <c r="I143"/>
  <c r="M143" s="1"/>
  <c r="H143"/>
  <c r="J142"/>
  <c r="I142"/>
  <c r="M142" s="1"/>
  <c r="H142"/>
  <c r="J141"/>
  <c r="I141"/>
  <c r="M141" s="1"/>
  <c r="H141"/>
  <c r="J140"/>
  <c r="I140"/>
  <c r="M140" s="1"/>
  <c r="H140"/>
  <c r="J139"/>
  <c r="I139"/>
  <c r="M139" s="1"/>
  <c r="H139"/>
  <c r="J138"/>
  <c r="I138"/>
  <c r="M138" s="1"/>
  <c r="H138"/>
  <c r="J137"/>
  <c r="I137"/>
  <c r="M137" s="1"/>
  <c r="H137"/>
  <c r="J136"/>
  <c r="I136"/>
  <c r="M136" s="1"/>
  <c r="H136"/>
  <c r="J135"/>
  <c r="I135"/>
  <c r="M135" s="1"/>
  <c r="H135"/>
  <c r="J134"/>
  <c r="I134"/>
  <c r="M134" s="1"/>
  <c r="H134"/>
  <c r="K133"/>
  <c r="J133"/>
  <c r="I133"/>
  <c r="M133" s="1"/>
  <c r="H133"/>
  <c r="M132"/>
  <c r="J132"/>
  <c r="I132"/>
  <c r="H132"/>
  <c r="J131"/>
  <c r="J157" s="1"/>
  <c r="H131"/>
  <c r="H157" s="1"/>
  <c r="E131"/>
  <c r="F163" i="13"/>
  <c r="E163"/>
  <c r="G163"/>
  <c r="G132"/>
  <c r="F132"/>
  <c r="H202" i="19" l="1"/>
  <c r="J200" i="21"/>
  <c r="J202" s="1"/>
  <c r="H196"/>
  <c r="K162"/>
  <c r="J162"/>
  <c r="J188" s="1"/>
  <c r="I208" s="1"/>
  <c r="H188"/>
  <c r="F126"/>
  <c r="H118"/>
  <c r="H126" s="1"/>
  <c r="H208" s="1"/>
  <c r="G114"/>
  <c r="I102"/>
  <c r="I114" s="1"/>
  <c r="G208" s="1"/>
  <c r="G95"/>
  <c r="I89"/>
  <c r="H80"/>
  <c r="J76"/>
  <c r="J80" s="1"/>
  <c r="E208" s="1"/>
  <c r="H71"/>
  <c r="J71"/>
  <c r="D208" s="1"/>
  <c r="J131"/>
  <c r="J157" s="1"/>
  <c r="A208" s="1"/>
  <c r="H157"/>
  <c r="K131"/>
  <c r="M64"/>
  <c r="K133"/>
  <c r="I84"/>
  <c r="I95" s="1"/>
  <c r="F208" s="1"/>
  <c r="J195"/>
  <c r="J196" s="1"/>
  <c r="J197" i="20"/>
  <c r="F127"/>
  <c r="G115"/>
  <c r="J81"/>
  <c r="E209" s="1"/>
  <c r="H72"/>
  <c r="J70"/>
  <c r="J72" s="1"/>
  <c r="D209" s="1"/>
  <c r="J203"/>
  <c r="J209" s="1"/>
  <c r="I96"/>
  <c r="F209" s="1"/>
  <c r="H203"/>
  <c r="K165"/>
  <c r="I101"/>
  <c r="I115" s="1"/>
  <c r="G209" s="1"/>
  <c r="H119"/>
  <c r="H127" s="1"/>
  <c r="H209" s="1"/>
  <c r="J163"/>
  <c r="J189" s="1"/>
  <c r="I209" s="1"/>
  <c r="H189"/>
  <c r="J200" i="19"/>
  <c r="J202" s="1"/>
  <c r="J196"/>
  <c r="M132"/>
  <c r="M136"/>
  <c r="M141"/>
  <c r="M145"/>
  <c r="M139"/>
  <c r="M152"/>
  <c r="M137"/>
  <c r="M165"/>
  <c r="M169"/>
  <c r="M171"/>
  <c r="M175"/>
  <c r="M177"/>
  <c r="M181"/>
  <c r="M183"/>
  <c r="M153"/>
  <c r="M167"/>
  <c r="M173"/>
  <c r="M179"/>
  <c r="M144"/>
  <c r="M147"/>
  <c r="M149"/>
  <c r="H196"/>
  <c r="H188"/>
  <c r="M135"/>
  <c r="M140"/>
  <c r="M143"/>
  <c r="M148"/>
  <c r="M151"/>
  <c r="M163"/>
  <c r="I164"/>
  <c r="M164" s="1"/>
  <c r="M166"/>
  <c r="M168"/>
  <c r="M170"/>
  <c r="M172"/>
  <c r="M174"/>
  <c r="M176"/>
  <c r="M178"/>
  <c r="M180"/>
  <c r="M182"/>
  <c r="M184"/>
  <c r="J162"/>
  <c r="J188" s="1"/>
  <c r="I208" s="1"/>
  <c r="M133"/>
  <c r="M134"/>
  <c r="M138"/>
  <c r="M142"/>
  <c r="M146"/>
  <c r="M150"/>
  <c r="F126"/>
  <c r="K133"/>
  <c r="J131"/>
  <c r="J157" s="1"/>
  <c r="A208" s="1"/>
  <c r="H157"/>
  <c r="K131"/>
  <c r="H123"/>
  <c r="G114"/>
  <c r="I114"/>
  <c r="G208" s="1"/>
  <c r="J80"/>
  <c r="E208" s="1"/>
  <c r="H80"/>
  <c r="H71"/>
  <c r="J69"/>
  <c r="F39"/>
  <c r="M64"/>
  <c r="I95"/>
  <c r="F208" s="1"/>
  <c r="J71"/>
  <c r="D208" s="1"/>
  <c r="G95"/>
  <c r="J194" i="14"/>
  <c r="K131"/>
  <c r="K164"/>
  <c r="J162"/>
  <c r="J188" s="1"/>
  <c r="H188"/>
  <c r="H163" i="13"/>
  <c r="H132"/>
  <c r="J132"/>
  <c r="J78" i="14"/>
  <c r="J77"/>
  <c r="J70"/>
  <c r="J199"/>
  <c r="J198"/>
  <c r="H200"/>
  <c r="J197"/>
  <c r="J200" s="1"/>
  <c r="H125"/>
  <c r="H124"/>
  <c r="H123"/>
  <c r="H122"/>
  <c r="H121"/>
  <c r="H120"/>
  <c r="H119"/>
  <c r="H118"/>
  <c r="H126" s="1"/>
  <c r="F126"/>
  <c r="I113"/>
  <c r="I112"/>
  <c r="I111"/>
  <c r="I110"/>
  <c r="I109"/>
  <c r="I108"/>
  <c r="I107"/>
  <c r="I106"/>
  <c r="I105"/>
  <c r="I104"/>
  <c r="I103"/>
  <c r="I102"/>
  <c r="I101"/>
  <c r="I100"/>
  <c r="G114"/>
  <c r="I99"/>
  <c r="I94"/>
  <c r="I93"/>
  <c r="I92"/>
  <c r="I91"/>
  <c r="I90"/>
  <c r="I89"/>
  <c r="I88"/>
  <c r="I87"/>
  <c r="I86"/>
  <c r="I85"/>
  <c r="I84"/>
  <c r="J79"/>
  <c r="G115" i="13"/>
  <c r="F127"/>
  <c r="H195"/>
  <c r="H201"/>
  <c r="H72"/>
  <c r="M40"/>
  <c r="M39"/>
  <c r="M38"/>
  <c r="M37"/>
  <c r="M36"/>
  <c r="M35"/>
  <c r="M34"/>
  <c r="M33"/>
  <c r="M32"/>
  <c r="M31"/>
  <c r="M30"/>
  <c r="M29"/>
  <c r="M28"/>
  <c r="M27"/>
  <c r="M25"/>
  <c r="M23"/>
  <c r="M22"/>
  <c r="M21"/>
  <c r="F119"/>
  <c r="H125"/>
  <c r="F125"/>
  <c r="F124"/>
  <c r="H124" s="1"/>
  <c r="F126"/>
  <c r="H126" s="1"/>
  <c r="H120"/>
  <c r="F120"/>
  <c r="F123"/>
  <c r="H123" s="1"/>
  <c r="F122"/>
  <c r="H122" s="1"/>
  <c r="F121"/>
  <c r="H121" s="1"/>
  <c r="J208" i="19" l="1"/>
  <c r="J208" i="21"/>
  <c r="K208" s="1"/>
  <c r="J210"/>
  <c r="J211" i="20"/>
  <c r="K209"/>
  <c r="J210" i="19"/>
  <c r="K208"/>
  <c r="H189" i="13"/>
  <c r="I114" i="14"/>
  <c r="G206" s="1"/>
  <c r="I95"/>
  <c r="F206" s="1"/>
  <c r="H71"/>
  <c r="J69"/>
  <c r="J71" s="1"/>
  <c r="D206" s="1"/>
  <c r="A206"/>
  <c r="J76"/>
  <c r="J80" s="1"/>
  <c r="E206" s="1"/>
  <c r="G95"/>
  <c r="J163" i="13"/>
  <c r="H158"/>
  <c r="J209" l="1"/>
  <c r="J208" i="14"/>
  <c r="K206"/>
  <c r="K219" i="13" l="1"/>
  <c r="H194" l="1"/>
  <c r="J194" s="1"/>
  <c r="H193"/>
  <c r="H200"/>
  <c r="H199"/>
  <c r="H198"/>
  <c r="G107" l="1"/>
  <c r="I107" s="1"/>
  <c r="G100"/>
  <c r="G104"/>
  <c r="I104" s="1"/>
  <c r="G103"/>
  <c r="I103" s="1"/>
  <c r="G112"/>
  <c r="I112" s="1"/>
  <c r="G111"/>
  <c r="I111" s="1"/>
  <c r="G110"/>
  <c r="I110" s="1"/>
  <c r="G109"/>
  <c r="I109" s="1"/>
  <c r="G108"/>
  <c r="I108" s="1"/>
  <c r="G105"/>
  <c r="I105" s="1"/>
  <c r="G102"/>
  <c r="I102" s="1"/>
  <c r="G114"/>
  <c r="I114" s="1"/>
  <c r="G106"/>
  <c r="I106" s="1"/>
  <c r="G113"/>
  <c r="I113" s="1"/>
  <c r="G101"/>
  <c r="G90"/>
  <c r="G89"/>
  <c r="I89" s="1"/>
  <c r="G91"/>
  <c r="G95"/>
  <c r="G85"/>
  <c r="G94"/>
  <c r="G93"/>
  <c r="G92"/>
  <c r="G88"/>
  <c r="G87"/>
  <c r="G86"/>
  <c r="H80"/>
  <c r="H79"/>
  <c r="H78"/>
  <c r="H71"/>
  <c r="H70"/>
  <c r="J70" s="1"/>
  <c r="M20"/>
  <c r="M19"/>
  <c r="M18"/>
  <c r="M17"/>
  <c r="F18"/>
  <c r="F17"/>
  <c r="G96" l="1"/>
  <c r="M40" i="22" l="1"/>
  <c r="M39"/>
  <c r="M38"/>
  <c r="M37"/>
  <c r="M36"/>
  <c r="M35"/>
  <c r="M34"/>
  <c r="M33"/>
  <c r="M32"/>
  <c r="M31"/>
  <c r="M30"/>
  <c r="M29"/>
  <c r="M28"/>
  <c r="M27"/>
  <c r="M26"/>
  <c r="M25"/>
  <c r="M24"/>
  <c r="M23"/>
  <c r="M22"/>
  <c r="M21"/>
  <c r="M20"/>
  <c r="M19"/>
  <c r="M18"/>
  <c r="M17"/>
  <c r="F17"/>
  <c r="L40"/>
  <c r="F18"/>
  <c r="F156"/>
  <c r="F125"/>
  <c r="G125"/>
  <c r="M25" i="14"/>
  <c r="M23"/>
  <c r="L39"/>
  <c r="M26" i="13"/>
  <c r="M24"/>
  <c r="L40"/>
  <c r="K200" i="22" l="1"/>
  <c r="H193" l="1"/>
  <c r="J193" s="1"/>
  <c r="H192"/>
  <c r="J192" s="1"/>
  <c r="H191"/>
  <c r="J191" s="1"/>
  <c r="H187"/>
  <c r="J187" s="1"/>
  <c r="H186"/>
  <c r="J186" s="1"/>
  <c r="J181"/>
  <c r="M181" s="1"/>
  <c r="M180"/>
  <c r="M179"/>
  <c r="J178"/>
  <c r="H178"/>
  <c r="I178" s="1"/>
  <c r="J177"/>
  <c r="H177"/>
  <c r="I177" s="1"/>
  <c r="J176"/>
  <c r="H176"/>
  <c r="I176" s="1"/>
  <c r="J175"/>
  <c r="H175"/>
  <c r="I175" s="1"/>
  <c r="J174"/>
  <c r="H174"/>
  <c r="I174" s="1"/>
  <c r="J173"/>
  <c r="H173"/>
  <c r="I173" s="1"/>
  <c r="J172"/>
  <c r="H172"/>
  <c r="I172" s="1"/>
  <c r="J171"/>
  <c r="H171"/>
  <c r="I171" s="1"/>
  <c r="J170"/>
  <c r="H170"/>
  <c r="I170" s="1"/>
  <c r="J169"/>
  <c r="H169"/>
  <c r="I169" s="1"/>
  <c r="J168"/>
  <c r="H168"/>
  <c r="I168" s="1"/>
  <c r="J167"/>
  <c r="H167"/>
  <c r="I167" s="1"/>
  <c r="J166"/>
  <c r="H166"/>
  <c r="I166" s="1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G156"/>
  <c r="H156" s="1"/>
  <c r="E156"/>
  <c r="J150"/>
  <c r="M150" s="1"/>
  <c r="M149"/>
  <c r="M148"/>
  <c r="J147"/>
  <c r="H147"/>
  <c r="I147" s="1"/>
  <c r="J146"/>
  <c r="H146"/>
  <c r="I146" s="1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H139"/>
  <c r="I139" s="1"/>
  <c r="J138"/>
  <c r="H138"/>
  <c r="I138" s="1"/>
  <c r="J137"/>
  <c r="H137"/>
  <c r="I137" s="1"/>
  <c r="J136"/>
  <c r="H136"/>
  <c r="I136" s="1"/>
  <c r="J135"/>
  <c r="H135"/>
  <c r="I135" s="1"/>
  <c r="J134"/>
  <c r="H134"/>
  <c r="I134" s="1"/>
  <c r="J133"/>
  <c r="H133"/>
  <c r="I133" s="1"/>
  <c r="J132"/>
  <c r="H132"/>
  <c r="I132" s="1"/>
  <c r="J131"/>
  <c r="H131"/>
  <c r="I131" s="1"/>
  <c r="J130"/>
  <c r="H130"/>
  <c r="I130" s="1"/>
  <c r="J129"/>
  <c r="H129"/>
  <c r="I129" s="1"/>
  <c r="J128"/>
  <c r="H128"/>
  <c r="I128" s="1"/>
  <c r="J127"/>
  <c r="H127"/>
  <c r="I127" s="1"/>
  <c r="J126"/>
  <c r="H126"/>
  <c r="I126" s="1"/>
  <c r="H125"/>
  <c r="E125"/>
  <c r="H119"/>
  <c r="H118"/>
  <c r="F115"/>
  <c r="F120" s="1"/>
  <c r="I110"/>
  <c r="I109"/>
  <c r="G106"/>
  <c r="I106" s="1"/>
  <c r="G105"/>
  <c r="I105" s="1"/>
  <c r="G104"/>
  <c r="I104" s="1"/>
  <c r="G103"/>
  <c r="I103" s="1"/>
  <c r="G102"/>
  <c r="I102" s="1"/>
  <c r="G101"/>
  <c r="I101" s="1"/>
  <c r="G100"/>
  <c r="I100" s="1"/>
  <c r="G95"/>
  <c r="I95" s="1"/>
  <c r="G94"/>
  <c r="I94" s="1"/>
  <c r="G93"/>
  <c r="I93" s="1"/>
  <c r="G92"/>
  <c r="I92" s="1"/>
  <c r="G91"/>
  <c r="I91" s="1"/>
  <c r="G90"/>
  <c r="I90" s="1"/>
  <c r="G89"/>
  <c r="I89" s="1"/>
  <c r="G88"/>
  <c r="I88" s="1"/>
  <c r="G87"/>
  <c r="I87" s="1"/>
  <c r="G86"/>
  <c r="I86" s="1"/>
  <c r="G85"/>
  <c r="I85" s="1"/>
  <c r="H80"/>
  <c r="J80" s="1"/>
  <c r="H79"/>
  <c r="J79" s="1"/>
  <c r="H78"/>
  <c r="J78" s="1"/>
  <c r="H77"/>
  <c r="J77" s="1"/>
  <c r="H71"/>
  <c r="J71" s="1"/>
  <c r="H70"/>
  <c r="J70" s="1"/>
  <c r="I90" i="13"/>
  <c r="J200"/>
  <c r="J199"/>
  <c r="J193"/>
  <c r="J188"/>
  <c r="M188" s="1"/>
  <c r="M187"/>
  <c r="M186"/>
  <c r="J185"/>
  <c r="H185"/>
  <c r="I185" s="1"/>
  <c r="J184"/>
  <c r="H184"/>
  <c r="I184" s="1"/>
  <c r="J183"/>
  <c r="H183"/>
  <c r="I183" s="1"/>
  <c r="J182"/>
  <c r="H182"/>
  <c r="I182" s="1"/>
  <c r="J181"/>
  <c r="H181"/>
  <c r="I181" s="1"/>
  <c r="J180"/>
  <c r="H180"/>
  <c r="I180" s="1"/>
  <c r="J179"/>
  <c r="H179"/>
  <c r="I179" s="1"/>
  <c r="J178"/>
  <c r="H178"/>
  <c r="I178" s="1"/>
  <c r="J177"/>
  <c r="H177"/>
  <c r="I177" s="1"/>
  <c r="J176"/>
  <c r="H176"/>
  <c r="I176" s="1"/>
  <c r="J175"/>
  <c r="H175"/>
  <c r="I175" s="1"/>
  <c r="J174"/>
  <c r="H174"/>
  <c r="I174" s="1"/>
  <c r="J173"/>
  <c r="H173"/>
  <c r="I173" s="1"/>
  <c r="J172"/>
  <c r="H172"/>
  <c r="I172" s="1"/>
  <c r="J171"/>
  <c r="H171"/>
  <c r="I171" s="1"/>
  <c r="J170"/>
  <c r="H170"/>
  <c r="I170" s="1"/>
  <c r="J169"/>
  <c r="H169"/>
  <c r="I169" s="1"/>
  <c r="J168"/>
  <c r="H168"/>
  <c r="I168" s="1"/>
  <c r="J167"/>
  <c r="H167"/>
  <c r="I167" s="1"/>
  <c r="J166"/>
  <c r="H166"/>
  <c r="I166" s="1"/>
  <c r="J165"/>
  <c r="H165"/>
  <c r="K165" s="1"/>
  <c r="J164"/>
  <c r="H164"/>
  <c r="I164" s="1"/>
  <c r="J157"/>
  <c r="M157" s="1"/>
  <c r="M156"/>
  <c r="M155"/>
  <c r="J154"/>
  <c r="H154"/>
  <c r="I154" s="1"/>
  <c r="J153"/>
  <c r="H153"/>
  <c r="I153" s="1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H139"/>
  <c r="I139" s="1"/>
  <c r="J138"/>
  <c r="H138"/>
  <c r="I138" s="1"/>
  <c r="J137"/>
  <c r="H137"/>
  <c r="I137" s="1"/>
  <c r="J136"/>
  <c r="H136"/>
  <c r="I136" s="1"/>
  <c r="J135"/>
  <c r="H135"/>
  <c r="I135" s="1"/>
  <c r="J134"/>
  <c r="H134"/>
  <c r="K134" s="1"/>
  <c r="J133"/>
  <c r="H133"/>
  <c r="I133" s="1"/>
  <c r="I101"/>
  <c r="I95"/>
  <c r="I94"/>
  <c r="I93"/>
  <c r="I92"/>
  <c r="I91"/>
  <c r="I88"/>
  <c r="I87"/>
  <c r="I86"/>
  <c r="J80"/>
  <c r="J79"/>
  <c r="J78"/>
  <c r="J71"/>
  <c r="M135" l="1"/>
  <c r="M139"/>
  <c r="M141"/>
  <c r="M143"/>
  <c r="M147"/>
  <c r="M164" i="22"/>
  <c r="M172"/>
  <c r="M128"/>
  <c r="M132"/>
  <c r="M131"/>
  <c r="M171"/>
  <c r="M173"/>
  <c r="M144"/>
  <c r="M136"/>
  <c r="M147"/>
  <c r="M163"/>
  <c r="M165"/>
  <c r="M140"/>
  <c r="M159"/>
  <c r="M161"/>
  <c r="M168"/>
  <c r="M175"/>
  <c r="M177"/>
  <c r="M139"/>
  <c r="M160"/>
  <c r="M167"/>
  <c r="M169"/>
  <c r="M176"/>
  <c r="M135"/>
  <c r="M157"/>
  <c r="K158"/>
  <c r="M127"/>
  <c r="M143"/>
  <c r="H194"/>
  <c r="H81"/>
  <c r="M126"/>
  <c r="K127"/>
  <c r="M130"/>
  <c r="M134"/>
  <c r="M138"/>
  <c r="M142"/>
  <c r="M146"/>
  <c r="M158"/>
  <c r="J72"/>
  <c r="D200" s="1"/>
  <c r="J81"/>
  <c r="E200" s="1"/>
  <c r="M129"/>
  <c r="M133"/>
  <c r="M137"/>
  <c r="M141"/>
  <c r="M145"/>
  <c r="M162"/>
  <c r="M166"/>
  <c r="M170"/>
  <c r="M174"/>
  <c r="M178"/>
  <c r="J188"/>
  <c r="H115"/>
  <c r="H120" s="1"/>
  <c r="H200" s="1"/>
  <c r="M183" i="13"/>
  <c r="M185"/>
  <c r="M149"/>
  <c r="M151"/>
  <c r="M167"/>
  <c r="M175"/>
  <c r="M177"/>
  <c r="M144"/>
  <c r="M152"/>
  <c r="M154"/>
  <c r="M178"/>
  <c r="M180"/>
  <c r="M182"/>
  <c r="M184"/>
  <c r="M136"/>
  <c r="M138"/>
  <c r="M166"/>
  <c r="M170"/>
  <c r="M172"/>
  <c r="M174"/>
  <c r="M146"/>
  <c r="M169"/>
  <c r="H81"/>
  <c r="M137"/>
  <c r="M142"/>
  <c r="M145"/>
  <c r="M150"/>
  <c r="M153"/>
  <c r="M168"/>
  <c r="M173"/>
  <c r="M176"/>
  <c r="M181"/>
  <c r="M140"/>
  <c r="M148"/>
  <c r="M171"/>
  <c r="M179"/>
  <c r="J81"/>
  <c r="E207" s="1"/>
  <c r="M164"/>
  <c r="J198"/>
  <c r="J201" s="1"/>
  <c r="I100"/>
  <c r="I115" s="1"/>
  <c r="G207" s="1"/>
  <c r="H119"/>
  <c r="H127" s="1"/>
  <c r="H207" s="1"/>
  <c r="J72"/>
  <c r="D207" s="1"/>
  <c r="I85"/>
  <c r="I96" s="1"/>
  <c r="F207" s="1"/>
  <c r="M133"/>
  <c r="J195"/>
  <c r="K125" i="22"/>
  <c r="H151"/>
  <c r="J125"/>
  <c r="J151" s="1"/>
  <c r="A200" s="1"/>
  <c r="K156"/>
  <c r="J156"/>
  <c r="J182" s="1"/>
  <c r="I200" s="1"/>
  <c r="H182"/>
  <c r="I96"/>
  <c r="F200" s="1"/>
  <c r="I111"/>
  <c r="G200" s="1"/>
  <c r="J194"/>
  <c r="G96"/>
  <c r="H72"/>
  <c r="G111"/>
  <c r="H188"/>
  <c r="J189" i="13"/>
  <c r="I207" s="1"/>
  <c r="K163"/>
  <c r="J158"/>
  <c r="A207" s="1"/>
  <c r="K132"/>
  <c r="I134"/>
  <c r="M134" s="1"/>
  <c r="I165"/>
  <c r="M165" s="1"/>
  <c r="J207" l="1"/>
  <c r="K207" s="1"/>
  <c r="J200" i="22"/>
  <c r="P201" s="1"/>
  <c r="J202"/>
  <c r="F40"/>
  <c r="F39" i="14"/>
  <c r="F40" i="13"/>
  <c r="M64" i="22" l="1"/>
  <c r="H63"/>
  <c r="M63" s="1"/>
  <c r="H62"/>
  <c r="M62" s="1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O41"/>
  <c r="E41"/>
  <c r="M63" i="14"/>
  <c r="H62"/>
  <c r="M62" s="1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O40"/>
  <c r="E40"/>
  <c r="M65" i="22" l="1"/>
  <c r="M64" i="14"/>
  <c r="E41" i="13" l="1"/>
  <c r="M64" l="1"/>
  <c r="H63"/>
  <c r="M63" s="1"/>
  <c r="H62"/>
  <c r="M62" s="1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M65" l="1"/>
</calcChain>
</file>

<file path=xl/sharedStrings.xml><?xml version="1.0" encoding="utf-8"?>
<sst xmlns="http://schemas.openxmlformats.org/spreadsheetml/2006/main" count="1879" uniqueCount="197">
  <si>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</si>
  <si>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</si>
  <si>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</si>
  <si>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</si>
  <si>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</si>
  <si>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</si>
  <si>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</si>
  <si>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</si>
  <si>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</si>
  <si>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</si>
  <si>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</si>
  <si>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</si>
  <si>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</si>
  <si>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</si>
  <si>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</si>
  <si>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</si>
  <si>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</si>
  <si>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</si>
  <si>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</si>
  <si>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</si>
  <si>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</si>
  <si>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</si>
  <si>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</si>
  <si>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</si>
  <si>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</si>
  <si>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</si>
  <si>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</si>
  <si>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</si>
  <si>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</si>
  <si>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</si>
  <si>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</si>
  <si>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</si>
  <si>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</si>
  <si>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</si>
  <si>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</si>
  <si>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</si>
  <si>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</si>
  <si>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</si>
  <si>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</si>
  <si>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</si>
  <si>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</si>
  <si>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</si>
  <si>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 xml:space="preserve">Тариф (цена), рублей </t>
  </si>
  <si>
    <t>Исполнитель:</t>
  </si>
  <si>
    <t>ФОТ с начислениями на выплаты по оплате труда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</si>
  <si>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</si>
  <si>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</si>
  <si>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</si>
  <si>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</si>
  <si>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</si>
  <si>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</si>
  <si>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</si>
  <si>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</si>
  <si>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</si>
  <si>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</si>
  <si>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</si>
  <si>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 xml:space="preserve">нормативный объем </t>
  </si>
  <si>
    <t>Итого прочие расходы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</si>
  <si>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</si>
  <si>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</si>
  <si>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</si>
  <si>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Затраты на прочие расходы</t>
  </si>
  <si>
    <t>Прочие затраты</t>
  </si>
  <si>
    <t>Количество мероприятий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</si>
  <si>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</si>
  <si>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</si>
  <si>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</si>
  <si>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</si>
  <si>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Затраты на оплату труда (с начислениями) работников, непосредственно не связанных с оказанием работ</t>
  </si>
  <si>
    <t>Нормативные затраты на одно мероприятие</t>
  </si>
  <si>
    <t>Инспектор по кадрам</t>
  </si>
  <si>
    <t>Механик</t>
  </si>
  <si>
    <t>Секретарь</t>
  </si>
  <si>
    <t>БАЗОВОГО НОРМАТИВА ЗАТРАТ НА ОКАЗАНИЕ МУНИЦИПАЛЬНЫХ РАБОТ НА  2019 год</t>
  </si>
  <si>
    <t>Услуга №1. Спортивная подготовка по олимпийским видам спорта</t>
  </si>
  <si>
    <t>Дератизация и дезинсекция</t>
  </si>
  <si>
    <t>Количество занимающихся</t>
  </si>
  <si>
    <t>количество, шт</t>
  </si>
  <si>
    <t>Затраты на оплату труда (с начислениями) работников, непосредственно связанных с оказанием работ</t>
  </si>
  <si>
    <t>Кол-во номеров</t>
  </si>
  <si>
    <t>Горюче-смазочные материалы</t>
  </si>
  <si>
    <t>Кубки</t>
  </si>
  <si>
    <t>Грамоты</t>
  </si>
  <si>
    <t>Медали</t>
  </si>
  <si>
    <t>Шумарина Н.С.</t>
  </si>
  <si>
    <t>7-45-59</t>
  </si>
  <si>
    <t>Услуга №2. Спортивная подготовка по неолимпийским видам спорта</t>
  </si>
  <si>
    <t>Работа №1. Организация и обеспечение подготовки спортивного резерва</t>
  </si>
  <si>
    <t>Затраты на услуги связи</t>
  </si>
  <si>
    <t>Увеличение стоимости материальных запасов</t>
  </si>
  <si>
    <t>Старший тренер</t>
  </si>
  <si>
    <t>Тренер</t>
  </si>
  <si>
    <t>Зам.директора</t>
  </si>
  <si>
    <t>Заведующий отделением</t>
  </si>
  <si>
    <t>Начальник лагеря</t>
  </si>
  <si>
    <t xml:space="preserve">Программист </t>
  </si>
  <si>
    <t>Инструктор по оружию</t>
  </si>
  <si>
    <t>Водитель</t>
  </si>
  <si>
    <t>Рабочий по обслуживанию зданий</t>
  </si>
  <si>
    <t>Уборщик служебных заведений</t>
  </si>
  <si>
    <t>Дворник</t>
  </si>
  <si>
    <t>Завхоз</t>
  </si>
  <si>
    <t xml:space="preserve">Рабочий по ремонту электрооборудования </t>
  </si>
  <si>
    <t xml:space="preserve">Рабочий по ремонту сантехоборудования </t>
  </si>
  <si>
    <t>Сторож-вахтер</t>
  </si>
  <si>
    <t>Инструктор-методист</t>
  </si>
  <si>
    <t>Врач</t>
  </si>
  <si>
    <t>Медсестра</t>
  </si>
  <si>
    <t>Спортсмен-инструктор</t>
  </si>
  <si>
    <t>Наименование показателя объема: 212 чел</t>
  </si>
  <si>
    <r>
      <t>Штатное расписание: 69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</si>
  <si>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Наименование показателя объема: 38 чел</t>
  </si>
  <si>
    <t xml:space="preserve">Работа №3. Обеспечение участия в официальных физкультурных (физкультурно-оздоровительных) мероприятиях </t>
  </si>
  <si>
    <t>Наименование показателя объема: 1 мероприятие</t>
  </si>
  <si>
    <t>Работа №4. Организация и проведение официальных спортивных мероприятий</t>
  </si>
  <si>
    <t>Вывоз мусора</t>
  </si>
  <si>
    <t>Обслуживание пожарной сигнализации</t>
  </si>
  <si>
    <t>Обслуживания узла тепловой энергии</t>
  </si>
  <si>
    <t>Обслуживание охранной сигнализации</t>
  </si>
  <si>
    <t>Промывка и опрессовка</t>
  </si>
  <si>
    <t xml:space="preserve">Содержание и текущий ремонт общего имущества многоквартирного жилого дома по ул.Арбузова 89 "б" </t>
  </si>
  <si>
    <t>Диагностика транспортных средств (4 ед. ТС)</t>
  </si>
  <si>
    <t>Ремонт автотранспорта</t>
  </si>
  <si>
    <t xml:space="preserve">Работы по техническому обслуживанию объектов станции радиосистемы передачи извещений ОС "Стрелец-Мониторинг" </t>
  </si>
  <si>
    <t>За замену блока СКЗИ, калибровка, активация тахографов</t>
  </si>
  <si>
    <t>,</t>
  </si>
  <si>
    <t>Страхование гражданской ответственности владельцев транспортных средств (4 ед. ТС)</t>
  </si>
  <si>
    <t>Предрейсовый медосмотр водителей</t>
  </si>
  <si>
    <t>Периодический медосмотр сотрудников</t>
  </si>
  <si>
    <t>Обучение по правилам эксплуатации тепло- и электроустановок (2 чел.)</t>
  </si>
  <si>
    <t>Централизованная охрана оружейной комнаты</t>
  </si>
  <si>
    <t>Поверка средств измерения</t>
  </si>
  <si>
    <t>Абон.обслуживание за инф.услуги системы мониторинга транспорта "Глонасс"</t>
  </si>
  <si>
    <t>Командировочные расходы (проезд, питание, проживание спортсмены)</t>
  </si>
  <si>
    <t>Командировочные расходы (проезд, питание, проживание тренера)</t>
  </si>
  <si>
    <t>Количество, шт</t>
  </si>
  <si>
    <t>Директор МАУ "СШОР"</t>
  </si>
  <si>
    <t>Е.П.Лукьянов</t>
  </si>
  <si>
    <t xml:space="preserve">                     ИСХОДНЫЕ ДАННЫЕ И РЕЗУЛЬТАТЫ РАСЧЕТОВ  МАУ "СШОР"</t>
  </si>
  <si>
    <t>БАЗОВОГО НОРМАТИВА ЗАТРАТ НА ОКАЗАНИЕ МУНИЦИПАЛЬНЫХ УСЛУГ НА  2019 год</t>
  </si>
  <si>
    <t>Приложение № 1 к приказу от ___________ № ____</t>
  </si>
  <si>
    <t>УС</t>
  </si>
  <si>
    <t>КУ</t>
  </si>
  <si>
    <t>СНИ</t>
  </si>
  <si>
    <t>ПР</t>
  </si>
  <si>
    <t>УСМЗ</t>
  </si>
  <si>
    <t>ОТ2</t>
  </si>
  <si>
    <t>Приложение №2</t>
  </si>
  <si>
    <t>к приказу</t>
  </si>
  <si>
    <t>от _________ № ______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</si>
  <si>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</si>
  <si>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</si>
  <si>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</si>
  <si>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</t>
  </si>
  <si>
    <t>Значение натуральной нормы</t>
  </si>
  <si>
    <t>931900О.99.0.БВ27АБ81006; 931900О.99.0.БВ27АБ82006; 931900О.99.0.БВ27АБ83006; 931900О.99.0.БВ27АБ84006; 931900О.99.0.БВ27АА16006; 931900О.99.0.БВ27АА17006; 931900О.99.0.БВ27АА86006; 931900О.99.0.БВ27АА87006; 931900О.99.0.БВ27АА88006;</t>
  </si>
  <si>
    <t>Натуральные нормы, непосредственно связанные с оказанием муниципальной услуги</t>
  </si>
  <si>
    <t>шт. ед.</t>
  </si>
  <si>
    <t>Натуральные нормы, непосредственно несвязанные с оказанием муниципальной услуги</t>
  </si>
  <si>
    <t>2.2. Услуги связи</t>
  </si>
  <si>
    <t>Количество номеров</t>
  </si>
  <si>
    <t>ед.</t>
  </si>
  <si>
    <t>931900О.99.0.БВ28АБ30000; 931900О.99.0.БВ28АБ31000; 931900О.99.0.БВ28АБ32000;</t>
  </si>
  <si>
    <t>2.3. Коммунальные услуги</t>
  </si>
  <si>
    <t>кВт час</t>
  </si>
  <si>
    <t>2.4. Затраты на содержание объектов недвижимого имущества</t>
  </si>
  <si>
    <t>2.5. Прочие работы, услуги</t>
  </si>
  <si>
    <t>2.7. Увеличение стоимости материальных запасов</t>
  </si>
  <si>
    <t>Р.03.1.0022.0001.001</t>
  </si>
  <si>
    <t>2.6. Увеличение стоимости материальных запасов</t>
  </si>
  <si>
    <t xml:space="preserve">Работа №2. Организация мероприятий по подготовке спортивных сборных команд </t>
  </si>
  <si>
    <t>Р.03.1.0020.0002.001</t>
  </si>
  <si>
    <t>Р.03.1.0025.0002.001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</si>
  <si>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 олимпийского резерва" г. Назарово"</t>
    </r>
  </si>
  <si>
    <t>БАЗОВОГО НОРМАТИВА ЗАТРАТ НА ОКАЗАНИЕ МУНИЦИПАЛЬНЫХ УСЛУГ НА  2018 год</t>
  </si>
  <si>
    <t>Тех.обслуживание радиосистемы извещений</t>
  </si>
  <si>
    <t>ТО системы видеонаблюдения</t>
  </si>
  <si>
    <t>Абонентское обслуживание по сопровождению программного  обеспечения "1 С Бухгалтерия"</t>
  </si>
  <si>
    <t>Акарицидная обработка, дератизация, дезинсекция</t>
  </si>
  <si>
    <t>Лабораторные исследования</t>
  </si>
  <si>
    <t>Откачка септика</t>
  </si>
  <si>
    <t>Организация питания</t>
  </si>
  <si>
    <t>Вакцинация</t>
  </si>
  <si>
    <t>Энтомологическое обследование</t>
  </si>
  <si>
    <t>Услуги страхования спортсменов</t>
  </si>
  <si>
    <t>Проживание спортсменов</t>
  </si>
  <si>
    <t>Сувениры, подарки</t>
  </si>
  <si>
    <t>Призы</t>
  </si>
  <si>
    <t>Медикаменты</t>
  </si>
  <si>
    <t>Бланки</t>
  </si>
  <si>
    <t>Стройматериалы</t>
  </si>
  <si>
    <t>Продукты питания</t>
  </si>
  <si>
    <t>Спортивные жилеты</t>
  </si>
  <si>
    <t>Канцелярия</t>
  </si>
  <si>
    <t>Ремонт автомобиля</t>
  </si>
  <si>
    <t>Значения натуральных норм, необходимых для определения базовых нормативов затрат на оказание муниципальных услуг МАУ "СШОР" г. Назарово на 2018г.</t>
  </si>
  <si>
    <t>Шефовалова Е.А.</t>
  </si>
</sst>
</file>

<file path=xl/styles.xml><?xml version="1.0" encoding="utf-8"?>
<styleSheet xmlns="http://schemas.openxmlformats.org/spreadsheetml/2006/main">
  <numFmts count="6">
    <numFmt numFmtId="164" formatCode="0.000000"/>
    <numFmt numFmtId="165" formatCode="#,##0.0"/>
    <numFmt numFmtId="166" formatCode="0.0"/>
    <numFmt numFmtId="167" formatCode="0.0000"/>
    <numFmt numFmtId="168" formatCode="#,##0.00000"/>
    <numFmt numFmtId="169" formatCode="0.000"/>
  </numFmts>
  <fonts count="2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4" fontId="7" fillId="2" borderId="1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2" borderId="6" xfId="0" applyNumberFormat="1" applyFont="1" applyFill="1" applyBorder="1"/>
    <xf numFmtId="4" fontId="7" fillId="2" borderId="5" xfId="0" applyNumberFormat="1" applyFont="1" applyFill="1" applyBorder="1"/>
    <xf numFmtId="4" fontId="8" fillId="6" borderId="7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165" fontId="11" fillId="2" borderId="1" xfId="0" applyNumberFormat="1" applyFont="1" applyFill="1" applyBorder="1"/>
    <xf numFmtId="0" fontId="7" fillId="0" borderId="9" xfId="0" applyFont="1" applyBorder="1" applyAlignment="1">
      <alignment wrapText="1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3" fontId="11" fillId="2" borderId="1" xfId="0" applyNumberFormat="1" applyFont="1" applyFill="1" applyBorder="1"/>
    <xf numFmtId="0" fontId="11" fillId="0" borderId="0" xfId="0" applyFont="1"/>
    <xf numFmtId="4" fontId="11" fillId="2" borderId="6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/>
    <xf numFmtId="2" fontId="11" fillId="2" borderId="6" xfId="0" applyNumberFormat="1" applyFont="1" applyFill="1" applyBorder="1"/>
    <xf numFmtId="2" fontId="10" fillId="6" borderId="7" xfId="0" applyNumberFormat="1" applyFont="1" applyFill="1" applyBorder="1"/>
    <xf numFmtId="4" fontId="11" fillId="0" borderId="6" xfId="0" applyNumberFormat="1" applyFont="1" applyBorder="1"/>
    <xf numFmtId="4" fontId="10" fillId="0" borderId="1" xfId="0" applyNumberFormat="1" applyFont="1" applyBorder="1" applyAlignment="1">
      <alignment horizontal="left"/>
    </xf>
    <xf numFmtId="4" fontId="10" fillId="6" borderId="7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7" borderId="1" xfId="0" applyNumberFormat="1" applyFont="1" applyFill="1" applyBorder="1" applyAlignment="1">
      <alignment wrapText="1"/>
    </xf>
    <xf numFmtId="4" fontId="8" fillId="8" borderId="8" xfId="0" applyNumberFormat="1" applyFont="1" applyFill="1" applyBorder="1"/>
    <xf numFmtId="166" fontId="11" fillId="0" borderId="1" xfId="0" applyNumberFormat="1" applyFont="1" applyBorder="1"/>
    <xf numFmtId="3" fontId="11" fillId="5" borderId="1" xfId="0" applyNumberFormat="1" applyFont="1" applyFill="1" applyBorder="1"/>
    <xf numFmtId="0" fontId="11" fillId="0" borderId="1" xfId="0" applyNumberFormat="1" applyFont="1" applyBorder="1"/>
    <xf numFmtId="165" fontId="11" fillId="5" borderId="1" xfId="0" applyNumberFormat="1" applyFont="1" applyFill="1" applyBorder="1"/>
    <xf numFmtId="4" fontId="11" fillId="5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4" fontId="10" fillId="6" borderId="7" xfId="0" applyNumberFormat="1" applyFont="1" applyFill="1" applyBorder="1" applyAlignment="1"/>
    <xf numFmtId="4" fontId="11" fillId="2" borderId="1" xfId="0" applyNumberFormat="1" applyFont="1" applyFill="1" applyBorder="1" applyAlignment="1">
      <alignment wrapText="1"/>
    </xf>
    <xf numFmtId="3" fontId="11" fillId="2" borderId="0" xfId="0" applyNumberFormat="1" applyFont="1" applyFill="1" applyBorder="1"/>
    <xf numFmtId="4" fontId="8" fillId="8" borderId="7" xfId="0" applyNumberFormat="1" applyFont="1" applyFill="1" applyBorder="1"/>
    <xf numFmtId="4" fontId="10" fillId="8" borderId="7" xfId="0" applyNumberFormat="1" applyFont="1" applyFill="1" applyBorder="1"/>
    <xf numFmtId="4" fontId="8" fillId="8" borderId="7" xfId="0" applyNumberFormat="1" applyFont="1" applyFill="1" applyBorder="1" applyAlignment="1"/>
    <xf numFmtId="0" fontId="13" fillId="0" borderId="0" xfId="0" applyFont="1" applyAlignment="1">
      <alignment horizontal="left"/>
    </xf>
    <xf numFmtId="0" fontId="12" fillId="0" borderId="1" xfId="0" applyFont="1" applyBorder="1" applyAlignment="1">
      <alignment wrapText="1"/>
    </xf>
    <xf numFmtId="2" fontId="12" fillId="2" borderId="6" xfId="0" applyNumberFormat="1" applyFont="1" applyFill="1" applyBorder="1"/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/>
    <xf numFmtId="2" fontId="11" fillId="2" borderId="3" xfId="0" applyNumberFormat="1" applyFont="1" applyFill="1" applyBorder="1" applyAlignment="1"/>
    <xf numFmtId="4" fontId="7" fillId="0" borderId="1" xfId="0" applyNumberFormat="1" applyFont="1" applyBorder="1" applyAlignment="1">
      <alignment wrapText="1"/>
    </xf>
    <xf numFmtId="4" fontId="10" fillId="0" borderId="0" xfId="0" applyNumberFormat="1" applyFont="1" applyFill="1" applyBorder="1"/>
    <xf numFmtId="0" fontId="11" fillId="0" borderId="0" xfId="0" applyFont="1" applyFill="1"/>
    <xf numFmtId="2" fontId="10" fillId="0" borderId="0" xfId="0" applyNumberFormat="1" applyFont="1" applyFill="1" applyBorder="1"/>
    <xf numFmtId="0" fontId="0" fillId="0" borderId="0" xfId="0" applyFill="1"/>
    <xf numFmtId="0" fontId="10" fillId="0" borderId="0" xfId="0" applyFont="1" applyFill="1" applyBorder="1" applyAlignment="1">
      <alignment horizontal="left"/>
    </xf>
    <xf numFmtId="0" fontId="12" fillId="0" borderId="0" xfId="0" applyFont="1" applyFill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1" fillId="2" borderId="0" xfId="0" applyFont="1" applyFill="1" applyBorder="1"/>
    <xf numFmtId="2" fontId="11" fillId="2" borderId="0" xfId="0" applyNumberFormat="1" applyFont="1" applyFill="1" applyBorder="1" applyAlignment="1">
      <alignment wrapText="1"/>
    </xf>
    <xf numFmtId="4" fontId="11" fillId="2" borderId="0" xfId="0" applyNumberFormat="1" applyFont="1" applyFill="1" applyBorder="1"/>
    <xf numFmtId="2" fontId="11" fillId="2" borderId="0" xfId="0" applyNumberFormat="1" applyFont="1" applyFill="1" applyBorder="1"/>
    <xf numFmtId="0" fontId="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2" fontId="10" fillId="0" borderId="1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/>
    </xf>
    <xf numFmtId="4" fontId="7" fillId="0" borderId="1" xfId="0" applyNumberFormat="1" applyFont="1" applyBorder="1" applyAlignment="1">
      <alignment horizontal="right" wrapText="1"/>
    </xf>
    <xf numFmtId="4" fontId="7" fillId="6" borderId="7" xfId="0" applyNumberFormat="1" applyFont="1" applyFill="1" applyBorder="1"/>
    <xf numFmtId="2" fontId="7" fillId="0" borderId="1" xfId="0" applyNumberFormat="1" applyFont="1" applyBorder="1" applyAlignment="1">
      <alignment wrapText="1"/>
    </xf>
    <xf numFmtId="2" fontId="7" fillId="0" borderId="6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4" fontId="7" fillId="0" borderId="1" xfId="0" applyNumberFormat="1" applyFont="1" applyBorder="1" applyAlignment="1"/>
    <xf numFmtId="4" fontId="0" fillId="0" borderId="1" xfId="0" applyNumberFormat="1" applyBorder="1"/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11" fillId="2" borderId="4" xfId="0" applyFont="1" applyFill="1" applyBorder="1" applyAlignment="1">
      <alignment horizontal="left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1" xfId="0" applyFont="1" applyBorder="1"/>
    <xf numFmtId="0" fontId="11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5" fillId="0" borderId="0" xfId="0" applyFont="1"/>
    <xf numFmtId="0" fontId="13" fillId="0" borderId="0" xfId="0" applyFont="1" applyAlignme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horizontal="center"/>
    </xf>
    <xf numFmtId="0" fontId="16" fillId="0" borderId="1" xfId="0" applyFont="1" applyBorder="1" applyAlignment="1">
      <alignment wrapText="1"/>
    </xf>
    <xf numFmtId="0" fontId="11" fillId="2" borderId="1" xfId="0" applyFont="1" applyFill="1" applyBorder="1" applyAlignment="1">
      <alignment horizontal="left" wrapText="1"/>
    </xf>
    <xf numFmtId="0" fontId="17" fillId="0" borderId="0" xfId="0" applyFont="1"/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7" fillId="0" borderId="1" xfId="0" applyFont="1" applyBorder="1" applyAlignment="1">
      <alignment horizontal="right"/>
    </xf>
    <xf numFmtId="2" fontId="17" fillId="0" borderId="1" xfId="0" applyNumberFormat="1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17" fillId="0" borderId="1" xfId="0" applyFont="1" applyBorder="1" applyAlignment="1">
      <alignment horizontal="left" wrapText="1"/>
    </xf>
    <xf numFmtId="0" fontId="17" fillId="9" borderId="1" xfId="0" applyFont="1" applyFill="1" applyBorder="1"/>
    <xf numFmtId="0" fontId="7" fillId="9" borderId="1" xfId="0" applyFont="1" applyFill="1" applyBorder="1" applyAlignment="1">
      <alignment horizontal="right" wrapText="1"/>
    </xf>
    <xf numFmtId="0" fontId="7" fillId="9" borderId="1" xfId="0" applyFont="1" applyFill="1" applyBorder="1" applyAlignment="1">
      <alignment horizontal="left" wrapText="1"/>
    </xf>
    <xf numFmtId="0" fontId="19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right" wrapText="1"/>
    </xf>
    <xf numFmtId="0" fontId="11" fillId="0" borderId="1" xfId="0" applyFont="1" applyBorder="1" applyAlignment="1">
      <alignment horizontal="right" vertical="center"/>
    </xf>
    <xf numFmtId="0" fontId="11" fillId="2" borderId="1" xfId="0" applyFont="1" applyFill="1" applyBorder="1" applyAlignment="1"/>
    <xf numFmtId="2" fontId="11" fillId="2" borderId="1" xfId="0" applyNumberFormat="1" applyFont="1" applyFill="1" applyBorder="1" applyAlignment="1">
      <alignment wrapText="1"/>
    </xf>
    <xf numFmtId="2" fontId="11" fillId="2" borderId="1" xfId="0" applyNumberFormat="1" applyFont="1" applyFill="1" applyBorder="1" applyAlignment="1"/>
    <xf numFmtId="1" fontId="11" fillId="2" borderId="1" xfId="0" applyNumberFormat="1" applyFont="1" applyFill="1" applyBorder="1" applyAlignment="1"/>
    <xf numFmtId="0" fontId="16" fillId="0" borderId="0" xfId="0" applyFont="1"/>
    <xf numFmtId="0" fontId="8" fillId="3" borderId="0" xfId="0" applyFont="1" applyFill="1" applyBorder="1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Border="1"/>
    <xf numFmtId="166" fontId="11" fillId="0" borderId="0" xfId="0" applyNumberFormat="1" applyFont="1" applyBorder="1"/>
    <xf numFmtId="0" fontId="11" fillId="0" borderId="5" xfId="0" applyNumberFormat="1" applyFont="1" applyBorder="1"/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/>
    <xf numFmtId="2" fontId="10" fillId="2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/>
    <xf numFmtId="2" fontId="12" fillId="0" borderId="1" xfId="0" applyNumberFormat="1" applyFont="1" applyBorder="1"/>
    <xf numFmtId="2" fontId="10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0" fillId="0" borderId="0" xfId="0" applyAlignment="1"/>
    <xf numFmtId="0" fontId="11" fillId="0" borderId="3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3" fillId="0" borderId="0" xfId="0" applyFont="1"/>
    <xf numFmtId="0" fontId="19" fillId="0" borderId="0" xfId="0" applyNumberFormat="1" applyFont="1" applyBorder="1" applyAlignment="1">
      <alignment vertical="center" wrapText="1"/>
    </xf>
    <xf numFmtId="4" fontId="19" fillId="0" borderId="0" xfId="0" applyNumberFormat="1" applyFont="1" applyBorder="1" applyAlignment="1">
      <alignment vertical="center"/>
    </xf>
    <xf numFmtId="0" fontId="0" fillId="0" borderId="0" xfId="0" applyBorder="1"/>
    <xf numFmtId="0" fontId="0" fillId="2" borderId="0" xfId="0" applyFill="1" applyBorder="1"/>
    <xf numFmtId="4" fontId="8" fillId="8" borderId="8" xfId="0" applyNumberFormat="1" applyFont="1" applyFill="1" applyBorder="1" applyAlignment="1"/>
    <xf numFmtId="4" fontId="8" fillId="6" borderId="13" xfId="0" applyNumberFormat="1" applyFont="1" applyFill="1" applyBorder="1"/>
    <xf numFmtId="0" fontId="0" fillId="0" borderId="1" xfId="0" applyBorder="1"/>
    <xf numFmtId="2" fontId="7" fillId="0" borderId="0" xfId="0" applyNumberFormat="1" applyFont="1"/>
    <xf numFmtId="0" fontId="20" fillId="0" borderId="0" xfId="0" applyNumberFormat="1" applyFont="1" applyBorder="1" applyAlignment="1">
      <alignment vertical="center" wrapText="1"/>
    </xf>
    <xf numFmtId="4" fontId="20" fillId="0" borderId="0" xfId="0" applyNumberFormat="1" applyFont="1" applyBorder="1" applyAlignment="1">
      <alignment vertical="center"/>
    </xf>
    <xf numFmtId="0" fontId="0" fillId="0" borderId="0" xfId="0" applyFill="1" applyBorder="1"/>
    <xf numFmtId="167" fontId="7" fillId="0" borderId="0" xfId="0" applyNumberFormat="1" applyFont="1" applyBorder="1"/>
    <xf numFmtId="4" fontId="7" fillId="0" borderId="0" xfId="0" applyNumberFormat="1" applyFont="1"/>
    <xf numFmtId="0" fontId="19" fillId="0" borderId="0" xfId="0" applyNumberFormat="1" applyFont="1" applyFill="1" applyBorder="1" applyAlignment="1">
      <alignment vertical="center" wrapText="1"/>
    </xf>
    <xf numFmtId="4" fontId="19" fillId="0" borderId="0" xfId="0" applyNumberFormat="1" applyFont="1" applyFill="1" applyBorder="1" applyAlignment="1">
      <alignment vertical="center"/>
    </xf>
    <xf numFmtId="4" fontId="20" fillId="0" borderId="0" xfId="0" applyNumberFormat="1" applyFont="1" applyFill="1" applyBorder="1" applyAlignment="1">
      <alignment vertical="center"/>
    </xf>
    <xf numFmtId="4" fontId="11" fillId="0" borderId="1" xfId="0" applyNumberFormat="1" applyFont="1" applyFill="1" applyBorder="1" applyAlignment="1">
      <alignment wrapText="1"/>
    </xf>
    <xf numFmtId="4" fontId="10" fillId="8" borderId="8" xfId="0" applyNumberFormat="1" applyFont="1" applyFill="1" applyBorder="1"/>
    <xf numFmtId="2" fontId="10" fillId="6" borderId="13" xfId="0" applyNumberFormat="1" applyFont="1" applyFill="1" applyBorder="1"/>
    <xf numFmtId="4" fontId="0" fillId="0" borderId="0" xfId="0" applyNumberFormat="1"/>
    <xf numFmtId="168" fontId="0" fillId="0" borderId="0" xfId="0" applyNumberFormat="1"/>
    <xf numFmtId="2" fontId="0" fillId="0" borderId="0" xfId="0" applyNumberFormat="1"/>
    <xf numFmtId="4" fontId="7" fillId="0" borderId="9" xfId="0" applyNumberFormat="1" applyFont="1" applyBorder="1" applyAlignment="1">
      <alignment wrapText="1"/>
    </xf>
    <xf numFmtId="169" fontId="1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wrapText="1"/>
    </xf>
    <xf numFmtId="0" fontId="11" fillId="2" borderId="0" xfId="0" applyFont="1" applyFill="1" applyBorder="1" applyAlignment="1">
      <alignment horizontal="left" wrapText="1"/>
    </xf>
    <xf numFmtId="0" fontId="19" fillId="2" borderId="2" xfId="0" applyFont="1" applyFill="1" applyBorder="1" applyAlignment="1">
      <alignment horizontal="left" wrapText="1"/>
    </xf>
    <xf numFmtId="0" fontId="16" fillId="2" borderId="11" xfId="0" applyFont="1" applyFill="1" applyBorder="1" applyAlignment="1">
      <alignment vertical="top" wrapText="1"/>
    </xf>
    <xf numFmtId="0" fontId="16" fillId="2" borderId="5" xfId="0" applyFont="1" applyFill="1" applyBorder="1" applyAlignment="1">
      <alignment vertical="top" wrapText="1"/>
    </xf>
    <xf numFmtId="0" fontId="17" fillId="2" borderId="11" xfId="0" applyFont="1" applyFill="1" applyBorder="1" applyAlignment="1">
      <alignment vertical="top" wrapText="1"/>
    </xf>
    <xf numFmtId="0" fontId="17" fillId="2" borderId="5" xfId="0" applyFont="1" applyFill="1" applyBorder="1" applyAlignment="1">
      <alignment vertical="top" wrapText="1"/>
    </xf>
    <xf numFmtId="0" fontId="8" fillId="3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 wrapText="1"/>
    </xf>
    <xf numFmtId="4" fontId="11" fillId="0" borderId="1" xfId="0" applyNumberFormat="1" applyFont="1" applyBorder="1" applyAlignment="1">
      <alignment horizontal="left"/>
    </xf>
    <xf numFmtId="4" fontId="11" fillId="0" borderId="6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0" fillId="0" borderId="4" xfId="0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1" fillId="2" borderId="1" xfId="0" applyFont="1" applyFill="1" applyBorder="1" applyAlignment="1">
      <alignment horizontal="left" wrapText="1"/>
    </xf>
    <xf numFmtId="0" fontId="11" fillId="0" borderId="4" xfId="0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0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0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1" fillId="0" borderId="1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0" xfId="0" applyFont="1" applyBorder="1" applyAlignment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11" fillId="2" borderId="1" xfId="0" applyFont="1" applyFill="1" applyBorder="1" applyAlignment="1">
      <alignment horizontal="left"/>
    </xf>
    <xf numFmtId="0" fontId="11" fillId="0" borderId="2" xfId="0" applyNumberFormat="1" applyFont="1" applyFill="1" applyBorder="1" applyAlignment="1">
      <alignment horizontal="left" vertical="center" wrapText="1"/>
    </xf>
    <xf numFmtId="0" fontId="11" fillId="0" borderId="3" xfId="0" applyNumberFormat="1" applyFont="1" applyFill="1" applyBorder="1" applyAlignment="1">
      <alignment horizontal="left" vertical="center" wrapText="1"/>
    </xf>
    <xf numFmtId="0" fontId="11" fillId="0" borderId="4" xfId="0" applyNumberFormat="1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vertical="top"/>
    </xf>
    <xf numFmtId="0" fontId="8" fillId="0" borderId="0" xfId="0" applyFont="1" applyAlignment="1">
      <alignment horizontal="center" wrapText="1"/>
    </xf>
    <xf numFmtId="0" fontId="7" fillId="9" borderId="1" xfId="0" applyFont="1" applyFill="1" applyBorder="1" applyAlignment="1">
      <alignment horizontal="left" wrapText="1"/>
    </xf>
    <xf numFmtId="0" fontId="16" fillId="2" borderId="6" xfId="0" applyFont="1" applyFill="1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8" fillId="0" borderId="11" xfId="0" applyFont="1" applyBorder="1" applyAlignment="1">
      <alignment horizontal="center" vertical="top" wrapText="1"/>
    </xf>
    <xf numFmtId="0" fontId="7" fillId="9" borderId="2" xfId="0" applyFont="1" applyFill="1" applyBorder="1" applyAlignment="1">
      <alignment wrapText="1"/>
    </xf>
    <xf numFmtId="0" fontId="0" fillId="9" borderId="3" xfId="0" applyFill="1" applyBorder="1" applyAlignment="1">
      <alignment wrapText="1"/>
    </xf>
    <xf numFmtId="0" fontId="0" fillId="9" borderId="4" xfId="0" applyFill="1" applyBorder="1" applyAlignment="1">
      <alignment wrapText="1"/>
    </xf>
    <xf numFmtId="0" fontId="7" fillId="9" borderId="2" xfId="0" applyFont="1" applyFill="1" applyBorder="1" applyAlignment="1">
      <alignment horizontal="left" wrapText="1"/>
    </xf>
    <xf numFmtId="0" fontId="7" fillId="9" borderId="3" xfId="0" applyFont="1" applyFill="1" applyBorder="1" applyAlignment="1">
      <alignment horizontal="left" wrapText="1"/>
    </xf>
    <xf numFmtId="0" fontId="7" fillId="9" borderId="4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 vertical="top" wrapText="1"/>
    </xf>
    <xf numFmtId="0" fontId="7" fillId="2" borderId="15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top" wrapText="1"/>
    </xf>
    <xf numFmtId="0" fontId="17" fillId="2" borderId="6" xfId="0" applyFont="1" applyFill="1" applyBorder="1" applyAlignment="1">
      <alignment horizontal="center" vertical="top" wrapText="1"/>
    </xf>
    <xf numFmtId="0" fontId="17" fillId="2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F219"/>
  <sheetViews>
    <sheetView tabSelected="1" topLeftCell="A7" zoomScale="70" zoomScaleNormal="70" workbookViewId="0">
      <selection activeCell="K81" sqref="K81"/>
    </sheetView>
  </sheetViews>
  <sheetFormatPr defaultRowHeight="14.4"/>
  <cols>
    <col min="1" max="1" width="10.5546875" customWidth="1"/>
    <col min="2" max="3" width="7" customWidth="1"/>
    <col min="4" max="5" width="11.6640625" customWidth="1"/>
    <col min="6" max="6" width="12.44140625" customWidth="1"/>
    <col min="7" max="7" width="14" customWidth="1"/>
    <col min="8" max="8" width="14.6640625" customWidth="1"/>
    <col min="9" max="9" width="11.6640625" customWidth="1"/>
    <col min="10" max="10" width="14.6640625" customWidth="1"/>
    <col min="11" max="11" width="12.88671875" customWidth="1"/>
    <col min="12" max="12" width="11.6640625" hidden="1" customWidth="1"/>
    <col min="13" max="13" width="11.6640625" customWidth="1"/>
    <col min="14" max="14" width="19.44140625" customWidth="1"/>
    <col min="15" max="15" width="13.33203125" customWidth="1"/>
    <col min="17" max="17" width="12" customWidth="1"/>
  </cols>
  <sheetData>
    <row r="1" spans="1:13" hidden="1"/>
    <row r="2" spans="1:13" ht="15.6" hidden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75"/>
      <c r="F3" s="43"/>
      <c r="G3" s="43"/>
    </row>
    <row r="4" spans="1:13" ht="40.5" customHeight="1">
      <c r="A4" s="256"/>
      <c r="B4" s="256"/>
      <c r="C4" s="256"/>
      <c r="D4" s="44"/>
      <c r="E4" s="256"/>
      <c r="F4" s="256"/>
      <c r="G4" s="45"/>
      <c r="H4" s="251" t="s">
        <v>140</v>
      </c>
      <c r="I4" s="211"/>
      <c r="J4" s="211"/>
      <c r="K4" s="211"/>
      <c r="L4" s="149"/>
    </row>
    <row r="5" spans="1:13" ht="15.6">
      <c r="A5" s="4"/>
      <c r="B5" s="4"/>
      <c r="C5" s="4"/>
      <c r="D5" s="5"/>
      <c r="E5" s="4"/>
      <c r="F5" s="4"/>
      <c r="G5" s="5"/>
    </row>
    <row r="6" spans="1:13">
      <c r="A6" s="6"/>
      <c r="B6" s="6"/>
      <c r="C6" s="6"/>
      <c r="D6" s="6"/>
      <c r="E6" s="6"/>
      <c r="F6" s="6"/>
      <c r="G6" s="6"/>
    </row>
    <row r="7" spans="1:13" ht="15.6">
      <c r="A7" s="209" t="s">
        <v>138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8" spans="1:13" ht="15.6">
      <c r="A8" s="209" t="s">
        <v>174</v>
      </c>
      <c r="B8" s="210"/>
      <c r="C8" s="210"/>
      <c r="D8" s="210"/>
      <c r="E8" s="210"/>
      <c r="F8" s="210"/>
      <c r="G8" s="211"/>
      <c r="H8" s="211"/>
      <c r="I8" s="211"/>
      <c r="J8" s="211"/>
      <c r="K8" s="211"/>
      <c r="L8" s="211"/>
      <c r="M8" s="211"/>
    </row>
    <row r="10" spans="1:1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6">
      <c r="A11" s="8" t="s">
        <v>173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>
      <c r="A12" s="249" t="s">
        <v>74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</row>
    <row r="13" spans="1:13" ht="15.6">
      <c r="A13" s="8" t="s">
        <v>58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109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6">
      <c r="A15" s="8" t="s">
        <v>110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>
      <c r="A16" s="261" t="s">
        <v>66</v>
      </c>
      <c r="B16" s="261"/>
      <c r="C16" s="261"/>
      <c r="D16" s="261"/>
      <c r="E16" s="261"/>
      <c r="F16" s="9" t="s">
        <v>65</v>
      </c>
      <c r="G16" s="261" t="s">
        <v>67</v>
      </c>
      <c r="H16" s="261"/>
      <c r="I16" s="261"/>
      <c r="J16" s="261"/>
      <c r="K16" s="261"/>
      <c r="L16" s="150"/>
      <c r="M16" s="9" t="s">
        <v>65</v>
      </c>
    </row>
    <row r="17" spans="1:13">
      <c r="A17" s="234" t="s">
        <v>90</v>
      </c>
      <c r="B17" s="234"/>
      <c r="C17" s="234"/>
      <c r="D17" s="234"/>
      <c r="E17" s="234"/>
      <c r="F17" s="152">
        <f>4.92*0.30416</f>
        <v>1.4964671999999999</v>
      </c>
      <c r="G17" s="235" t="s">
        <v>1</v>
      </c>
      <c r="H17" s="235"/>
      <c r="I17" s="235"/>
      <c r="J17" s="235"/>
      <c r="K17" s="235"/>
      <c r="L17" s="112">
        <v>1</v>
      </c>
      <c r="M17" s="152">
        <f t="shared" ref="M17:M23" si="0">L17*0.30416</f>
        <v>0.30415999999999999</v>
      </c>
    </row>
    <row r="18" spans="1:13">
      <c r="A18" s="234" t="s">
        <v>91</v>
      </c>
      <c r="B18" s="234"/>
      <c r="C18" s="234"/>
      <c r="D18" s="234"/>
      <c r="E18" s="234"/>
      <c r="F18" s="152">
        <f>8.83*0.30416</f>
        <v>2.6857327999999998</v>
      </c>
      <c r="G18" s="224" t="s">
        <v>92</v>
      </c>
      <c r="H18" s="225"/>
      <c r="I18" s="225"/>
      <c r="J18" s="225"/>
      <c r="K18" s="237"/>
      <c r="L18" s="112">
        <v>4</v>
      </c>
      <c r="M18" s="152">
        <f t="shared" si="0"/>
        <v>1.2166399999999999</v>
      </c>
    </row>
    <row r="19" spans="1:13">
      <c r="A19" s="234"/>
      <c r="B19" s="234"/>
      <c r="C19" s="234"/>
      <c r="D19" s="234"/>
      <c r="E19" s="234"/>
      <c r="F19" s="112"/>
      <c r="G19" s="234" t="s">
        <v>93</v>
      </c>
      <c r="H19" s="234"/>
      <c r="I19" s="234"/>
      <c r="J19" s="234"/>
      <c r="K19" s="234"/>
      <c r="L19" s="112">
        <v>1</v>
      </c>
      <c r="M19" s="152">
        <f t="shared" si="0"/>
        <v>0.30415999999999999</v>
      </c>
    </row>
    <row r="20" spans="1:13">
      <c r="A20" s="234"/>
      <c r="B20" s="234"/>
      <c r="C20" s="234"/>
      <c r="D20" s="234"/>
      <c r="E20" s="234"/>
      <c r="F20" s="112"/>
      <c r="G20" s="241" t="s">
        <v>72</v>
      </c>
      <c r="H20" s="242"/>
      <c r="I20" s="242"/>
      <c r="J20" s="242"/>
      <c r="K20" s="243"/>
      <c r="L20" s="112">
        <v>1</v>
      </c>
      <c r="M20" s="152">
        <f t="shared" si="0"/>
        <v>0.30415999999999999</v>
      </c>
    </row>
    <row r="21" spans="1:13" ht="15" customHeight="1">
      <c r="A21" s="234"/>
      <c r="B21" s="234"/>
      <c r="C21" s="234"/>
      <c r="D21" s="234"/>
      <c r="E21" s="234"/>
      <c r="F21" s="112"/>
      <c r="G21" s="235" t="s">
        <v>94</v>
      </c>
      <c r="H21" s="235"/>
      <c r="I21" s="235"/>
      <c r="J21" s="235"/>
      <c r="K21" s="235"/>
      <c r="L21" s="112">
        <v>0.5</v>
      </c>
      <c r="M21" s="152">
        <f t="shared" si="0"/>
        <v>0.15207999999999999</v>
      </c>
    </row>
    <row r="22" spans="1:13" ht="15" customHeight="1">
      <c r="A22" s="234"/>
      <c r="B22" s="234"/>
      <c r="C22" s="234"/>
      <c r="D22" s="234"/>
      <c r="E22" s="234"/>
      <c r="F22" s="112"/>
      <c r="G22" s="235" t="s">
        <v>70</v>
      </c>
      <c r="H22" s="235"/>
      <c r="I22" s="235"/>
      <c r="J22" s="235"/>
      <c r="K22" s="235"/>
      <c r="L22" s="113">
        <v>1</v>
      </c>
      <c r="M22" s="152">
        <f t="shared" si="0"/>
        <v>0.30415999999999999</v>
      </c>
    </row>
    <row r="23" spans="1:13" ht="15.75" customHeight="1">
      <c r="A23" s="234"/>
      <c r="B23" s="234"/>
      <c r="C23" s="234"/>
      <c r="D23" s="234"/>
      <c r="E23" s="234"/>
      <c r="F23" s="112"/>
      <c r="G23" s="236" t="s">
        <v>95</v>
      </c>
      <c r="H23" s="236"/>
      <c r="I23" s="236"/>
      <c r="J23" s="236"/>
      <c r="K23" s="236"/>
      <c r="L23" s="113">
        <v>0.5</v>
      </c>
      <c r="M23" s="152">
        <f t="shared" si="0"/>
        <v>0.15207999999999999</v>
      </c>
    </row>
    <row r="24" spans="1:13" ht="15.75" hidden="1" customHeight="1">
      <c r="A24" s="224"/>
      <c r="B24" s="225"/>
      <c r="C24" s="225"/>
      <c r="D24" s="225"/>
      <c r="E24" s="237"/>
      <c r="F24" s="112"/>
      <c r="G24" s="238"/>
      <c r="H24" s="239"/>
      <c r="I24" s="239"/>
      <c r="J24" s="239"/>
      <c r="K24" s="240"/>
      <c r="L24" s="113"/>
      <c r="M24" s="152">
        <f t="shared" ref="M24:M26" si="1">L24*0.304</f>
        <v>0</v>
      </c>
    </row>
    <row r="25" spans="1:13" ht="15.75" customHeight="1">
      <c r="A25" s="224"/>
      <c r="B25" s="225"/>
      <c r="C25" s="225"/>
      <c r="D25" s="225"/>
      <c r="E25" s="237"/>
      <c r="F25" s="112"/>
      <c r="G25" s="238" t="s">
        <v>96</v>
      </c>
      <c r="H25" s="239"/>
      <c r="I25" s="239"/>
      <c r="J25" s="239"/>
      <c r="K25" s="240"/>
      <c r="L25" s="113">
        <v>1</v>
      </c>
      <c r="M25" s="152">
        <f>L25*0.30416</f>
        <v>0.30415999999999999</v>
      </c>
    </row>
    <row r="26" spans="1:13" ht="15.75" hidden="1" customHeight="1">
      <c r="A26" s="224"/>
      <c r="B26" s="225"/>
      <c r="C26" s="225"/>
      <c r="D26" s="225"/>
      <c r="E26" s="237"/>
      <c r="F26" s="114"/>
      <c r="G26" s="238"/>
      <c r="H26" s="239"/>
      <c r="I26" s="239"/>
      <c r="J26" s="239"/>
      <c r="K26" s="240"/>
      <c r="L26" s="115"/>
      <c r="M26" s="152">
        <f t="shared" si="1"/>
        <v>0</v>
      </c>
    </row>
    <row r="27" spans="1:13" ht="15.75" customHeight="1">
      <c r="A27" s="224"/>
      <c r="B27" s="225"/>
      <c r="C27" s="225"/>
      <c r="D27" s="225"/>
      <c r="E27" s="237"/>
      <c r="F27" s="114"/>
      <c r="G27" s="258" t="s">
        <v>97</v>
      </c>
      <c r="H27" s="259"/>
      <c r="I27" s="259"/>
      <c r="J27" s="259"/>
      <c r="K27" s="260"/>
      <c r="L27" s="115">
        <v>2</v>
      </c>
      <c r="M27" s="152">
        <f t="shared" ref="M27:M39" si="2">L27*0.30416</f>
        <v>0.60831999999999997</v>
      </c>
    </row>
    <row r="28" spans="1:13" ht="15.75" customHeight="1">
      <c r="A28" s="224"/>
      <c r="B28" s="225"/>
      <c r="C28" s="225"/>
      <c r="D28" s="225"/>
      <c r="E28" s="237"/>
      <c r="F28" s="114"/>
      <c r="G28" s="238" t="s">
        <v>71</v>
      </c>
      <c r="H28" s="239"/>
      <c r="I28" s="239"/>
      <c r="J28" s="239"/>
      <c r="K28" s="240"/>
      <c r="L28" s="115">
        <v>1</v>
      </c>
      <c r="M28" s="152">
        <f t="shared" si="2"/>
        <v>0.30415999999999999</v>
      </c>
    </row>
    <row r="29" spans="1:13" ht="15" customHeight="1">
      <c r="A29" s="257"/>
      <c r="B29" s="257"/>
      <c r="C29" s="257"/>
      <c r="D29" s="257"/>
      <c r="E29" s="257"/>
      <c r="F29" s="114"/>
      <c r="G29" s="236" t="s">
        <v>98</v>
      </c>
      <c r="H29" s="236"/>
      <c r="I29" s="236"/>
      <c r="J29" s="236"/>
      <c r="K29" s="236"/>
      <c r="L29" s="115">
        <v>4.75</v>
      </c>
      <c r="M29" s="152">
        <f t="shared" si="2"/>
        <v>1.44476</v>
      </c>
    </row>
    <row r="30" spans="1:13" ht="15.75" customHeight="1">
      <c r="A30" s="257"/>
      <c r="B30" s="257"/>
      <c r="C30" s="257"/>
      <c r="D30" s="257"/>
      <c r="E30" s="257"/>
      <c r="F30" s="114"/>
      <c r="G30" s="236" t="s">
        <v>99</v>
      </c>
      <c r="H30" s="236"/>
      <c r="I30" s="236"/>
      <c r="J30" s="236"/>
      <c r="K30" s="236"/>
      <c r="L30" s="115">
        <v>3.5</v>
      </c>
      <c r="M30" s="152">
        <f t="shared" si="2"/>
        <v>1.06456</v>
      </c>
    </row>
    <row r="31" spans="1:13">
      <c r="A31" s="254"/>
      <c r="B31" s="254"/>
      <c r="C31" s="254"/>
      <c r="D31" s="254"/>
      <c r="E31" s="254"/>
      <c r="F31" s="41"/>
      <c r="G31" s="236" t="s">
        <v>100</v>
      </c>
      <c r="H31" s="236"/>
      <c r="I31" s="236"/>
      <c r="J31" s="236"/>
      <c r="K31" s="236"/>
      <c r="L31" s="115">
        <v>2</v>
      </c>
      <c r="M31" s="152">
        <f t="shared" si="2"/>
        <v>0.60831999999999997</v>
      </c>
    </row>
    <row r="32" spans="1:13" ht="27.75" customHeight="1">
      <c r="A32" s="254"/>
      <c r="B32" s="254"/>
      <c r="C32" s="254"/>
      <c r="D32" s="254"/>
      <c r="E32" s="254"/>
      <c r="F32" s="41"/>
      <c r="G32" s="236" t="s">
        <v>101</v>
      </c>
      <c r="H32" s="236"/>
      <c r="I32" s="236"/>
      <c r="J32" s="236"/>
      <c r="K32" s="236"/>
      <c r="L32" s="115">
        <v>1</v>
      </c>
      <c r="M32" s="152">
        <f t="shared" si="2"/>
        <v>0.30415999999999999</v>
      </c>
    </row>
    <row r="33" spans="1:13">
      <c r="A33" s="254"/>
      <c r="B33" s="254"/>
      <c r="C33" s="254"/>
      <c r="D33" s="254"/>
      <c r="E33" s="254"/>
      <c r="F33" s="41"/>
      <c r="G33" s="236" t="s">
        <v>102</v>
      </c>
      <c r="H33" s="236"/>
      <c r="I33" s="236"/>
      <c r="J33" s="236"/>
      <c r="K33" s="236"/>
      <c r="L33" s="115">
        <v>0.5</v>
      </c>
      <c r="M33" s="152">
        <f t="shared" si="2"/>
        <v>0.15207999999999999</v>
      </c>
    </row>
    <row r="34" spans="1:13" ht="12.75" customHeight="1">
      <c r="A34" s="254"/>
      <c r="B34" s="254"/>
      <c r="C34" s="254"/>
      <c r="D34" s="254"/>
      <c r="E34" s="254"/>
      <c r="F34" s="41"/>
      <c r="G34" s="212" t="s">
        <v>103</v>
      </c>
      <c r="H34" s="213"/>
      <c r="I34" s="213"/>
      <c r="J34" s="213"/>
      <c r="K34" s="219"/>
      <c r="L34" s="115">
        <v>0.5</v>
      </c>
      <c r="M34" s="152">
        <f t="shared" si="2"/>
        <v>0.15207999999999999</v>
      </c>
    </row>
    <row r="35" spans="1:13" ht="15" customHeight="1">
      <c r="A35" s="254"/>
      <c r="B35" s="254"/>
      <c r="C35" s="254"/>
      <c r="D35" s="254"/>
      <c r="E35" s="254"/>
      <c r="F35" s="41"/>
      <c r="G35" s="212" t="s">
        <v>104</v>
      </c>
      <c r="H35" s="213"/>
      <c r="I35" s="213"/>
      <c r="J35" s="213"/>
      <c r="K35" s="219"/>
      <c r="L35" s="115">
        <v>16</v>
      </c>
      <c r="M35" s="152">
        <f t="shared" si="2"/>
        <v>4.8665599999999998</v>
      </c>
    </row>
    <row r="36" spans="1:13">
      <c r="A36" s="264"/>
      <c r="B36" s="265"/>
      <c r="C36" s="265"/>
      <c r="D36" s="265"/>
      <c r="E36" s="266"/>
      <c r="F36" s="41"/>
      <c r="G36" s="224" t="s">
        <v>105</v>
      </c>
      <c r="H36" s="225"/>
      <c r="I36" s="225"/>
      <c r="J36" s="225"/>
      <c r="K36" s="226"/>
      <c r="L36" s="112">
        <v>2</v>
      </c>
      <c r="M36" s="152">
        <f t="shared" si="2"/>
        <v>0.60831999999999997</v>
      </c>
    </row>
    <row r="37" spans="1:13" ht="15" customHeight="1">
      <c r="A37" s="264"/>
      <c r="B37" s="265"/>
      <c r="C37" s="265"/>
      <c r="D37" s="265"/>
      <c r="E37" s="266"/>
      <c r="F37" s="41"/>
      <c r="G37" s="224" t="s">
        <v>106</v>
      </c>
      <c r="H37" s="225"/>
      <c r="I37" s="225"/>
      <c r="J37" s="225"/>
      <c r="K37" s="226"/>
      <c r="L37" s="112">
        <v>1</v>
      </c>
      <c r="M37" s="152">
        <f t="shared" si="2"/>
        <v>0.30415999999999999</v>
      </c>
    </row>
    <row r="38" spans="1:13" ht="15" customHeight="1">
      <c r="A38" s="264"/>
      <c r="B38" s="265"/>
      <c r="C38" s="265"/>
      <c r="D38" s="265"/>
      <c r="E38" s="266"/>
      <c r="F38" s="41"/>
      <c r="G38" s="224" t="s">
        <v>107</v>
      </c>
      <c r="H38" s="225"/>
      <c r="I38" s="225"/>
      <c r="J38" s="225"/>
      <c r="K38" s="226"/>
      <c r="L38" s="112">
        <v>1</v>
      </c>
      <c r="M38" s="152">
        <f t="shared" si="2"/>
        <v>0.30415999999999999</v>
      </c>
    </row>
    <row r="39" spans="1:13" ht="15" customHeight="1">
      <c r="A39" s="264"/>
      <c r="B39" s="265"/>
      <c r="C39" s="265"/>
      <c r="D39" s="265"/>
      <c r="E39" s="266"/>
      <c r="F39" s="41"/>
      <c r="G39" s="224" t="s">
        <v>108</v>
      </c>
      <c r="H39" s="225"/>
      <c r="I39" s="225"/>
      <c r="J39" s="225"/>
      <c r="K39" s="226"/>
      <c r="L39" s="115">
        <v>10</v>
      </c>
      <c r="M39" s="152">
        <f t="shared" si="2"/>
        <v>3.0415999999999999</v>
      </c>
    </row>
    <row r="40" spans="1:13" ht="15" customHeight="1">
      <c r="A40" s="248" t="s">
        <v>2</v>
      </c>
      <c r="B40" s="248"/>
      <c r="C40" s="248"/>
      <c r="D40" s="248"/>
      <c r="E40" s="248"/>
      <c r="F40" s="116">
        <f>SUM(F17:F35)</f>
        <v>4.1821999999999999</v>
      </c>
      <c r="G40" s="244" t="s">
        <v>2</v>
      </c>
      <c r="H40" s="244"/>
      <c r="I40" s="244"/>
      <c r="J40" s="244"/>
      <c r="K40" s="244"/>
      <c r="L40" s="117">
        <f>SUM(L17:L39)</f>
        <v>55.25</v>
      </c>
      <c r="M40" s="158">
        <f>SUM(M17:M39)</f>
        <v>16.804839999999999</v>
      </c>
    </row>
    <row r="41" spans="1:13" ht="98.25" hidden="1" customHeight="1">
      <c r="A41" s="248" t="s">
        <v>2</v>
      </c>
      <c r="B41" s="248"/>
      <c r="C41" s="248"/>
      <c r="D41" s="248"/>
      <c r="E41" s="78">
        <f>SUM(E17:E29)</f>
        <v>0</v>
      </c>
      <c r="F41" s="79"/>
      <c r="G41" s="280" t="s">
        <v>2</v>
      </c>
      <c r="H41" s="280"/>
      <c r="I41" s="280"/>
      <c r="J41" s="280"/>
      <c r="K41" s="280"/>
      <c r="L41" s="280"/>
      <c r="M41" s="280"/>
    </row>
    <row r="42" spans="1:13" hidden="1">
      <c r="A42" s="208" t="s">
        <v>15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 hidden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80.25" hidden="1" customHeight="1">
      <c r="A44" s="277" t="s">
        <v>6</v>
      </c>
      <c r="B44" s="277"/>
      <c r="C44" s="277"/>
      <c r="D44" s="277"/>
      <c r="E44" s="19" t="s">
        <v>7</v>
      </c>
      <c r="F44" s="19" t="s">
        <v>8</v>
      </c>
      <c r="G44" s="19" t="s">
        <v>9</v>
      </c>
      <c r="H44" s="19" t="s">
        <v>10</v>
      </c>
      <c r="I44" s="19"/>
      <c r="J44" s="19" t="s">
        <v>11</v>
      </c>
      <c r="K44" s="19" t="s">
        <v>12</v>
      </c>
      <c r="L44" s="19"/>
      <c r="M44" s="19" t="s">
        <v>5</v>
      </c>
    </row>
    <row r="45" spans="1:13" ht="15" hidden="1" customHeight="1">
      <c r="A45" s="278">
        <v>1</v>
      </c>
      <c r="B45" s="279"/>
      <c r="C45" s="279"/>
      <c r="D45" s="279"/>
      <c r="E45" s="19">
        <v>2</v>
      </c>
      <c r="F45" s="19">
        <v>3</v>
      </c>
      <c r="G45" s="19">
        <v>4</v>
      </c>
      <c r="H45" s="19" t="s">
        <v>36</v>
      </c>
      <c r="I45" s="19"/>
      <c r="J45" s="19">
        <v>6</v>
      </c>
      <c r="K45" s="19">
        <v>7</v>
      </c>
      <c r="L45" s="19"/>
      <c r="M45" s="19" t="s">
        <v>37</v>
      </c>
    </row>
    <row r="46" spans="1:13" ht="15" hidden="1" customHeight="1">
      <c r="A46" s="227" t="s">
        <v>39</v>
      </c>
      <c r="B46" s="227"/>
      <c r="C46" s="227"/>
      <c r="D46" s="227"/>
      <c r="E46" s="20" t="s">
        <v>13</v>
      </c>
      <c r="F46" s="19">
        <v>7</v>
      </c>
      <c r="G46" s="20">
        <v>10</v>
      </c>
      <c r="H46" s="21">
        <f>F46/G46</f>
        <v>0.7</v>
      </c>
      <c r="I46" s="21"/>
      <c r="J46" s="19">
        <v>20</v>
      </c>
      <c r="K46" s="22">
        <v>7100</v>
      </c>
      <c r="L46" s="22"/>
      <c r="M46" s="22">
        <f>H46*K46</f>
        <v>4970</v>
      </c>
    </row>
    <row r="47" spans="1:13" ht="15" hidden="1" customHeight="1">
      <c r="A47" s="227" t="s">
        <v>40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ref="H47:H63" si="3">F47/G47</f>
        <v>0.1</v>
      </c>
      <c r="I47" s="21"/>
      <c r="J47" s="19">
        <v>20</v>
      </c>
      <c r="K47" s="22">
        <v>538700</v>
      </c>
      <c r="L47" s="22"/>
      <c r="M47" s="22">
        <f t="shared" ref="M47:M64" si="4">H47*K47</f>
        <v>53870</v>
      </c>
    </row>
    <row r="48" spans="1:13" ht="15" hidden="1" customHeight="1">
      <c r="A48" s="227" t="s">
        <v>41</v>
      </c>
      <c r="B48" s="227"/>
      <c r="C48" s="227"/>
      <c r="D48" s="227"/>
      <c r="E48" s="20" t="s">
        <v>13</v>
      </c>
      <c r="F48" s="19">
        <v>1</v>
      </c>
      <c r="G48" s="20">
        <v>10</v>
      </c>
      <c r="H48" s="21">
        <f t="shared" si="3"/>
        <v>0.1</v>
      </c>
      <c r="I48" s="21"/>
      <c r="J48" s="19">
        <v>20</v>
      </c>
      <c r="K48" s="22">
        <v>380000</v>
      </c>
      <c r="L48" s="22"/>
      <c r="M48" s="22">
        <f t="shared" si="4"/>
        <v>38000</v>
      </c>
    </row>
    <row r="49" spans="1:13" ht="12.7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3"/>
        <v>0</v>
      </c>
      <c r="I49" s="21"/>
      <c r="J49" s="19"/>
      <c r="K49" s="22"/>
      <c r="L49" s="22"/>
      <c r="M49" s="22">
        <f t="shared" si="4"/>
        <v>0</v>
      </c>
    </row>
    <row r="50" spans="1:13" ht="15" hidden="1" customHeight="1">
      <c r="A50" s="227"/>
      <c r="B50" s="227"/>
      <c r="C50" s="227"/>
      <c r="D50" s="227"/>
      <c r="E50" s="20" t="s">
        <v>13</v>
      </c>
      <c r="F50" s="19"/>
      <c r="G50" s="20">
        <v>10</v>
      </c>
      <c r="H50" s="21">
        <f t="shared" si="3"/>
        <v>0</v>
      </c>
      <c r="I50" s="21"/>
      <c r="J50" s="19"/>
      <c r="K50" s="22"/>
      <c r="L50" s="22"/>
      <c r="M50" s="22">
        <f t="shared" si="4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3"/>
        <v>0</v>
      </c>
      <c r="I51" s="21"/>
      <c r="J51" s="19"/>
      <c r="K51" s="22"/>
      <c r="L51" s="22"/>
      <c r="M51" s="22">
        <f t="shared" si="4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3"/>
        <v>0</v>
      </c>
      <c r="I52" s="21"/>
      <c r="J52" s="19"/>
      <c r="K52" s="22"/>
      <c r="L52" s="22"/>
      <c r="M52" s="22">
        <f t="shared" si="4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3"/>
        <v>0</v>
      </c>
      <c r="I53" s="21"/>
      <c r="J53" s="19"/>
      <c r="K53" s="22"/>
      <c r="L53" s="22"/>
      <c r="M53" s="22">
        <f t="shared" si="4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3"/>
        <v>0</v>
      </c>
      <c r="I54" s="21"/>
      <c r="J54" s="19"/>
      <c r="K54" s="22"/>
      <c r="L54" s="22"/>
      <c r="M54" s="22">
        <f t="shared" si="4"/>
        <v>0</v>
      </c>
    </row>
    <row r="55" spans="1:13" ht="15" hidden="1" customHeight="1">
      <c r="A55" s="228"/>
      <c r="B55" s="229"/>
      <c r="C55" s="229"/>
      <c r="D55" s="229"/>
      <c r="E55" s="20" t="s">
        <v>13</v>
      </c>
      <c r="F55" s="19"/>
      <c r="G55" s="20">
        <v>10</v>
      </c>
      <c r="H55" s="21">
        <f t="shared" si="3"/>
        <v>0</v>
      </c>
      <c r="I55" s="21"/>
      <c r="J55" s="19"/>
      <c r="K55" s="22"/>
      <c r="L55" s="22"/>
      <c r="M55" s="22">
        <f t="shared" si="4"/>
        <v>0</v>
      </c>
    </row>
    <row r="56" spans="1:13" hidden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3"/>
        <v>0</v>
      </c>
      <c r="I56" s="21"/>
      <c r="J56" s="20"/>
      <c r="K56" s="23"/>
      <c r="L56" s="23"/>
      <c r="M56" s="22">
        <f t="shared" si="4"/>
        <v>0</v>
      </c>
    </row>
    <row r="57" spans="1:13" hidden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3"/>
        <v>0</v>
      </c>
      <c r="I57" s="21"/>
      <c r="J57" s="20"/>
      <c r="K57" s="23"/>
      <c r="L57" s="23"/>
      <c r="M57" s="22">
        <f t="shared" si="4"/>
        <v>0</v>
      </c>
    </row>
    <row r="58" spans="1:13" hidden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3"/>
        <v>0</v>
      </c>
      <c r="I58" s="21"/>
      <c r="J58" s="20"/>
      <c r="K58" s="23"/>
      <c r="L58" s="23"/>
      <c r="M58" s="22">
        <f t="shared" si="4"/>
        <v>0</v>
      </c>
    </row>
    <row r="59" spans="1:13" hidden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3"/>
        <v>0</v>
      </c>
      <c r="I59" s="21"/>
      <c r="J59" s="20"/>
      <c r="K59" s="23"/>
      <c r="L59" s="23"/>
      <c r="M59" s="22">
        <f t="shared" si="4"/>
        <v>0</v>
      </c>
    </row>
    <row r="60" spans="1:13" hidden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3"/>
        <v>0</v>
      </c>
      <c r="I60" s="21"/>
      <c r="J60" s="20"/>
      <c r="K60" s="23"/>
      <c r="L60" s="23"/>
      <c r="M60" s="22">
        <f t="shared" si="4"/>
        <v>0</v>
      </c>
    </row>
    <row r="61" spans="1:13" hidden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3"/>
        <v>0</v>
      </c>
      <c r="I61" s="21"/>
      <c r="J61" s="20"/>
      <c r="K61" s="23"/>
      <c r="L61" s="23"/>
      <c r="M61" s="22">
        <f t="shared" si="4"/>
        <v>0</v>
      </c>
    </row>
    <row r="62" spans="1:13" hidden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3"/>
        <v>0</v>
      </c>
      <c r="I62" s="21"/>
      <c r="J62" s="20"/>
      <c r="K62" s="23"/>
      <c r="L62" s="23"/>
      <c r="M62" s="22">
        <f t="shared" si="4"/>
        <v>0</v>
      </c>
    </row>
    <row r="63" spans="1:13" hidden="1">
      <c r="A63" s="232"/>
      <c r="B63" s="233"/>
      <c r="C63" s="233"/>
      <c r="D63" s="233"/>
      <c r="E63" s="20" t="s">
        <v>13</v>
      </c>
      <c r="F63" s="20"/>
      <c r="G63" s="20">
        <v>10</v>
      </c>
      <c r="H63" s="21">
        <f t="shared" si="3"/>
        <v>0</v>
      </c>
      <c r="I63" s="21"/>
      <c r="J63" s="20"/>
      <c r="K63" s="23"/>
      <c r="L63" s="23"/>
      <c r="M63" s="22">
        <f t="shared" si="4"/>
        <v>0</v>
      </c>
    </row>
    <row r="64" spans="1:13" hidden="1">
      <c r="A64" s="267" t="s">
        <v>59</v>
      </c>
      <c r="B64" s="267"/>
      <c r="C64" s="267"/>
      <c r="D64" s="267"/>
      <c r="E64" s="20"/>
      <c r="F64" s="20"/>
      <c r="G64" s="20"/>
      <c r="H64" s="24"/>
      <c r="I64" s="24"/>
      <c r="J64" s="20"/>
      <c r="K64" s="23"/>
      <c r="L64" s="23"/>
      <c r="M64" s="23">
        <f t="shared" si="4"/>
        <v>0</v>
      </c>
    </row>
    <row r="65" spans="1:13" ht="9" hidden="1" customHeight="1">
      <c r="A65" s="268" t="s">
        <v>14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70"/>
      <c r="L65" s="151"/>
      <c r="M65" s="23">
        <f>M64+M48+M47+M46</f>
        <v>96840</v>
      </c>
    </row>
    <row r="66" spans="1:13" ht="20.2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>
      <c r="A67" s="230" t="s">
        <v>88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</row>
    <row r="68" spans="1:13" ht="73.5" customHeight="1">
      <c r="A68" s="231" t="s">
        <v>17</v>
      </c>
      <c r="B68" s="231"/>
      <c r="C68" s="231"/>
      <c r="D68" s="231"/>
      <c r="E68" s="9" t="s">
        <v>79</v>
      </c>
      <c r="F68" s="25" t="s">
        <v>55</v>
      </c>
      <c r="G68" s="9" t="s">
        <v>42</v>
      </c>
      <c r="H68" s="9" t="s">
        <v>48</v>
      </c>
      <c r="I68" s="9" t="s">
        <v>63</v>
      </c>
      <c r="J68" s="9" t="s">
        <v>69</v>
      </c>
      <c r="K68" s="11"/>
      <c r="L68" s="11"/>
      <c r="M68" s="11"/>
    </row>
    <row r="69" spans="1:13" ht="18.75" customHeight="1">
      <c r="A69" s="271">
        <v>1</v>
      </c>
      <c r="B69" s="272"/>
      <c r="C69" s="272"/>
      <c r="D69" s="272"/>
      <c r="E69" s="9">
        <v>2</v>
      </c>
      <c r="F69" s="9">
        <v>3</v>
      </c>
      <c r="G69" s="26">
        <v>4</v>
      </c>
      <c r="H69" s="26">
        <v>5</v>
      </c>
      <c r="I69" s="27">
        <v>6</v>
      </c>
      <c r="J69" s="27" t="s">
        <v>45</v>
      </c>
      <c r="K69" s="11"/>
      <c r="L69" s="11"/>
      <c r="M69" s="28"/>
    </row>
    <row r="70" spans="1:13">
      <c r="A70" s="220" t="s">
        <v>51</v>
      </c>
      <c r="B70" s="220"/>
      <c r="C70" s="220"/>
      <c r="D70" s="220"/>
      <c r="E70" s="30">
        <v>5</v>
      </c>
      <c r="F70" s="29">
        <v>12</v>
      </c>
      <c r="G70" s="38">
        <v>687.02</v>
      </c>
      <c r="H70" s="38">
        <f>45691.3*0.30416</f>
        <v>13897.465808000001</v>
      </c>
      <c r="I70" s="46">
        <v>212</v>
      </c>
      <c r="J70" s="38">
        <f>H70/I70</f>
        <v>65.554084000000003</v>
      </c>
      <c r="K70" s="11"/>
      <c r="L70" s="11"/>
      <c r="M70" s="17"/>
    </row>
    <row r="71" spans="1:13" ht="15" thickBot="1">
      <c r="A71" s="220" t="s">
        <v>60</v>
      </c>
      <c r="B71" s="220"/>
      <c r="C71" s="220"/>
      <c r="D71" s="220"/>
      <c r="E71" s="30">
        <v>1</v>
      </c>
      <c r="F71" s="30">
        <v>12</v>
      </c>
      <c r="G71" s="38">
        <v>3743.23</v>
      </c>
      <c r="H71" s="38">
        <f>51915.36*0.30416</f>
        <v>15790.5758976</v>
      </c>
      <c r="I71" s="46">
        <v>212</v>
      </c>
      <c r="J71" s="38">
        <f>H71/I71</f>
        <v>74.483848573584908</v>
      </c>
      <c r="K71" s="11"/>
      <c r="L71" s="11"/>
      <c r="M71" s="11"/>
    </row>
    <row r="72" spans="1:13" ht="15" thickBot="1">
      <c r="A72" s="222" t="s">
        <v>25</v>
      </c>
      <c r="B72" s="223"/>
      <c r="C72" s="223"/>
      <c r="D72" s="223"/>
      <c r="E72" s="56"/>
      <c r="F72" s="56"/>
      <c r="G72" s="56"/>
      <c r="H72" s="73">
        <f>SUM(H70:H71)</f>
        <v>29688.041705600001</v>
      </c>
      <c r="I72" s="49"/>
      <c r="J72" s="57">
        <f>SUM(J70:J71)</f>
        <v>140.0379325735849</v>
      </c>
      <c r="K72" s="11"/>
      <c r="L72" s="11"/>
      <c r="M72" s="11"/>
    </row>
    <row r="73" spans="1:13" ht="17.2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>
      <c r="A74" s="230" t="s">
        <v>16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</row>
    <row r="75" spans="1:13" ht="73.5" customHeight="1">
      <c r="A75" s="231" t="s">
        <v>17</v>
      </c>
      <c r="B75" s="231"/>
      <c r="C75" s="231"/>
      <c r="D75" s="231"/>
      <c r="E75" s="9" t="s">
        <v>7</v>
      </c>
      <c r="F75" s="25" t="s">
        <v>55</v>
      </c>
      <c r="G75" s="9" t="s">
        <v>42</v>
      </c>
      <c r="H75" s="9" t="s">
        <v>48</v>
      </c>
      <c r="I75" s="9" t="s">
        <v>63</v>
      </c>
      <c r="J75" s="9" t="s">
        <v>69</v>
      </c>
      <c r="K75" s="11"/>
      <c r="L75" s="11"/>
      <c r="M75" s="11"/>
    </row>
    <row r="76" spans="1:13" ht="18.75" customHeight="1">
      <c r="A76" s="271">
        <v>1</v>
      </c>
      <c r="B76" s="272"/>
      <c r="C76" s="272"/>
      <c r="D76" s="272"/>
      <c r="E76" s="9">
        <v>2</v>
      </c>
      <c r="F76" s="9">
        <v>3</v>
      </c>
      <c r="G76" s="26">
        <v>4</v>
      </c>
      <c r="H76" s="26">
        <v>5</v>
      </c>
      <c r="I76" s="27">
        <v>6</v>
      </c>
      <c r="J76" s="27" t="s">
        <v>45</v>
      </c>
      <c r="K76" s="11"/>
      <c r="L76" s="11"/>
      <c r="M76" s="28"/>
    </row>
    <row r="77" spans="1:13">
      <c r="A77" s="220" t="s">
        <v>19</v>
      </c>
      <c r="B77" s="220"/>
      <c r="C77" s="220"/>
      <c r="D77" s="220"/>
      <c r="E77" s="30" t="s">
        <v>22</v>
      </c>
      <c r="F77" s="29">
        <v>200200</v>
      </c>
      <c r="G77" s="38">
        <v>6.62</v>
      </c>
      <c r="H77" s="38">
        <f>934862.1*0.30416</f>
        <v>284347.65633599996</v>
      </c>
      <c r="I77" s="46">
        <v>212</v>
      </c>
      <c r="J77" s="38">
        <f>H77/I77</f>
        <v>1341.2625298867922</v>
      </c>
      <c r="K77" s="11"/>
      <c r="L77" s="11"/>
      <c r="M77" s="17"/>
    </row>
    <row r="78" spans="1:13">
      <c r="A78" s="220" t="s">
        <v>20</v>
      </c>
      <c r="B78" s="220"/>
      <c r="C78" s="220"/>
      <c r="D78" s="220"/>
      <c r="E78" s="30" t="s">
        <v>23</v>
      </c>
      <c r="F78" s="30">
        <v>1620</v>
      </c>
      <c r="G78" s="38">
        <v>1618.59</v>
      </c>
      <c r="H78" s="38">
        <f>1320356.53*0.30416</f>
        <v>401599.64216479997</v>
      </c>
      <c r="I78" s="46">
        <v>212</v>
      </c>
      <c r="J78" s="38">
        <f>H78/I78</f>
        <v>1894.3379347396226</v>
      </c>
      <c r="K78" s="11"/>
      <c r="L78" s="11"/>
      <c r="M78" s="11"/>
    </row>
    <row r="79" spans="1:13">
      <c r="A79" s="220" t="s">
        <v>49</v>
      </c>
      <c r="B79" s="220"/>
      <c r="C79" s="220"/>
      <c r="D79" s="220"/>
      <c r="E79" s="30" t="s">
        <v>24</v>
      </c>
      <c r="F79" s="30">
        <v>5000</v>
      </c>
      <c r="G79" s="38">
        <v>39.22</v>
      </c>
      <c r="H79" s="38">
        <f>156878.18*0.30416</f>
        <v>47716.067228799999</v>
      </c>
      <c r="I79" s="46">
        <v>212</v>
      </c>
      <c r="J79" s="38">
        <f>H79/I79</f>
        <v>225.07578881509434</v>
      </c>
      <c r="K79" s="11"/>
      <c r="L79" s="11"/>
      <c r="M79" s="11"/>
    </row>
    <row r="80" spans="1:13" ht="15" thickBot="1">
      <c r="A80" s="221" t="s">
        <v>21</v>
      </c>
      <c r="B80" s="221"/>
      <c r="C80" s="221"/>
      <c r="D80" s="221"/>
      <c r="E80" s="55" t="s">
        <v>24</v>
      </c>
      <c r="F80" s="30">
        <v>5500</v>
      </c>
      <c r="G80" s="48">
        <v>53.32</v>
      </c>
      <c r="H80" s="48">
        <f>191740.01*0.30416</f>
        <v>58319.641441599997</v>
      </c>
      <c r="I80" s="46">
        <v>212</v>
      </c>
      <c r="J80" s="48">
        <f>H80/I80</f>
        <v>275.09264830943397</v>
      </c>
      <c r="K80" s="11"/>
      <c r="L80" s="11"/>
      <c r="M80" s="11"/>
    </row>
    <row r="81" spans="1:15" ht="15" thickBot="1">
      <c r="A81" s="222" t="s">
        <v>25</v>
      </c>
      <c r="B81" s="223"/>
      <c r="C81" s="223"/>
      <c r="D81" s="223"/>
      <c r="E81" s="56"/>
      <c r="F81" s="56"/>
      <c r="G81" s="56"/>
      <c r="H81" s="73">
        <f>SUM(H77:H80)</f>
        <v>791983.00717120001</v>
      </c>
      <c r="I81" s="49"/>
      <c r="J81" s="57">
        <f>SUM(J77:J80)</f>
        <v>3735.7689017509429</v>
      </c>
      <c r="K81" s="11"/>
      <c r="L81" s="11"/>
      <c r="M81" s="11"/>
    </row>
    <row r="82" spans="1:15" ht="15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11"/>
      <c r="L82" s="11"/>
      <c r="M82" s="11"/>
    </row>
    <row r="83" spans="1:15">
      <c r="A83" s="230" t="s">
        <v>26</v>
      </c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</row>
    <row r="84" spans="1:15" ht="69.599999999999994">
      <c r="A84" s="281" t="s">
        <v>28</v>
      </c>
      <c r="B84" s="281"/>
      <c r="C84" s="281"/>
      <c r="D84" s="281"/>
      <c r="E84" s="26" t="s">
        <v>7</v>
      </c>
      <c r="F84" s="26" t="s">
        <v>18</v>
      </c>
      <c r="G84" s="9" t="s">
        <v>48</v>
      </c>
      <c r="H84" s="9" t="s">
        <v>76</v>
      </c>
      <c r="I84" s="9" t="s">
        <v>69</v>
      </c>
      <c r="J84" s="11"/>
      <c r="K84" s="177"/>
      <c r="L84" s="177"/>
      <c r="M84" s="178"/>
      <c r="N84" s="179"/>
    </row>
    <row r="85" spans="1:15" ht="15" customHeight="1">
      <c r="A85" s="245" t="s">
        <v>115</v>
      </c>
      <c r="B85" s="246"/>
      <c r="C85" s="246"/>
      <c r="D85" s="247"/>
      <c r="E85" s="52" t="s">
        <v>27</v>
      </c>
      <c r="F85" s="26">
        <v>1</v>
      </c>
      <c r="G85" s="102">
        <f>(38400+27924.16)*0.30416</f>
        <v>20173.1565056</v>
      </c>
      <c r="H85" s="46">
        <v>212</v>
      </c>
      <c r="I85" s="102">
        <f>G85/H85</f>
        <v>95.156398611320753</v>
      </c>
      <c r="J85" s="11"/>
      <c r="K85" s="185"/>
      <c r="L85" s="185"/>
      <c r="M85" s="186"/>
      <c r="N85" s="179"/>
      <c r="O85" s="1"/>
    </row>
    <row r="86" spans="1:15" ht="15" customHeight="1">
      <c r="A86" s="245" t="s">
        <v>116</v>
      </c>
      <c r="B86" s="246"/>
      <c r="C86" s="246"/>
      <c r="D86" s="247"/>
      <c r="E86" s="52" t="s">
        <v>27</v>
      </c>
      <c r="F86" s="52">
        <v>1</v>
      </c>
      <c r="G86" s="82">
        <f>157335.63*0.30416</f>
        <v>47855.205220800002</v>
      </c>
      <c r="H86" s="46">
        <v>212</v>
      </c>
      <c r="I86" s="102">
        <f>G86/H86</f>
        <v>225.73210009811322</v>
      </c>
      <c r="J86" s="11"/>
      <c r="K86" s="185"/>
      <c r="L86" s="185"/>
      <c r="M86" s="186"/>
      <c r="N86" s="179"/>
    </row>
    <row r="87" spans="1:15" ht="15" customHeight="1">
      <c r="A87" s="245" t="s">
        <v>117</v>
      </c>
      <c r="B87" s="246"/>
      <c r="C87" s="246"/>
      <c r="D87" s="247"/>
      <c r="E87" s="52" t="s">
        <v>27</v>
      </c>
      <c r="F87" s="52">
        <v>1</v>
      </c>
      <c r="G87" s="82">
        <f>118800*0.30416</f>
        <v>36134.207999999999</v>
      </c>
      <c r="H87" s="46">
        <v>212</v>
      </c>
      <c r="I87" s="102">
        <f t="shared" ref="I87:I95" si="5">G87/H87</f>
        <v>170.44437735849056</v>
      </c>
      <c r="J87" s="11"/>
      <c r="K87" s="185"/>
      <c r="L87" s="185"/>
      <c r="M87" s="186"/>
      <c r="N87" s="179"/>
    </row>
    <row r="88" spans="1:15" ht="15" customHeight="1">
      <c r="A88" s="245" t="s">
        <v>118</v>
      </c>
      <c r="B88" s="246"/>
      <c r="C88" s="246"/>
      <c r="D88" s="247"/>
      <c r="E88" s="52" t="s">
        <v>27</v>
      </c>
      <c r="F88" s="52">
        <v>1</v>
      </c>
      <c r="G88" s="82">
        <f>9600*0.30416</f>
        <v>2919.9359999999997</v>
      </c>
      <c r="H88" s="46">
        <v>212</v>
      </c>
      <c r="I88" s="102">
        <f t="shared" si="5"/>
        <v>13.773283018867923</v>
      </c>
      <c r="J88" s="11"/>
      <c r="K88" s="185"/>
      <c r="L88" s="185"/>
      <c r="M88" s="186"/>
      <c r="N88" s="179"/>
    </row>
    <row r="89" spans="1:15" ht="15" customHeight="1">
      <c r="A89" s="245" t="s">
        <v>176</v>
      </c>
      <c r="B89" s="246"/>
      <c r="C89" s="246"/>
      <c r="D89" s="247"/>
      <c r="E89" s="52" t="s">
        <v>27</v>
      </c>
      <c r="F89" s="52">
        <v>1</v>
      </c>
      <c r="G89" s="82">
        <f>2000*0.30416</f>
        <v>608.31999999999994</v>
      </c>
      <c r="H89" s="46">
        <v>212</v>
      </c>
      <c r="I89" s="102">
        <f>G89/H89</f>
        <v>2.8694339622641505</v>
      </c>
      <c r="J89" s="11"/>
      <c r="K89" s="177"/>
      <c r="L89" s="177"/>
      <c r="M89" s="186"/>
      <c r="N89" s="179"/>
    </row>
    <row r="90" spans="1:15" ht="15" customHeight="1">
      <c r="A90" s="245" t="s">
        <v>75</v>
      </c>
      <c r="B90" s="246"/>
      <c r="C90" s="246"/>
      <c r="D90" s="247"/>
      <c r="E90" s="52" t="s">
        <v>27</v>
      </c>
      <c r="F90" s="52">
        <v>1</v>
      </c>
      <c r="G90" s="82">
        <f>(3300+7434)*0.30416</f>
        <v>3264.8534399999999</v>
      </c>
      <c r="H90" s="46">
        <v>212</v>
      </c>
      <c r="I90" s="102">
        <f t="shared" si="5"/>
        <v>15.400252075471698</v>
      </c>
      <c r="J90" s="11"/>
      <c r="K90" s="177"/>
      <c r="L90" s="177"/>
      <c r="M90" s="178"/>
      <c r="N90" s="179"/>
    </row>
    <row r="91" spans="1:15" ht="15" customHeight="1">
      <c r="A91" s="274" t="s">
        <v>119</v>
      </c>
      <c r="B91" s="275"/>
      <c r="C91" s="275"/>
      <c r="D91" s="276"/>
      <c r="E91" s="52" t="s">
        <v>27</v>
      </c>
      <c r="F91" s="52">
        <v>1</v>
      </c>
      <c r="G91" s="38">
        <f>32500*0.30416</f>
        <v>9885.1999999999989</v>
      </c>
      <c r="H91" s="46">
        <v>212</v>
      </c>
      <c r="I91" s="102">
        <f t="shared" si="5"/>
        <v>46.62830188679245</v>
      </c>
      <c r="J91" s="11"/>
      <c r="K91" s="177"/>
      <c r="L91" s="177"/>
      <c r="M91" s="178"/>
      <c r="N91" s="179"/>
    </row>
    <row r="92" spans="1:15" ht="28.5" customHeight="1">
      <c r="A92" s="245" t="s">
        <v>120</v>
      </c>
      <c r="B92" s="246"/>
      <c r="C92" s="246"/>
      <c r="D92" s="247"/>
      <c r="E92" s="52" t="s">
        <v>27</v>
      </c>
      <c r="F92" s="52">
        <v>1</v>
      </c>
      <c r="G92" s="70">
        <f>52300*0.30416</f>
        <v>15907.567999999999</v>
      </c>
      <c r="H92" s="46">
        <v>212</v>
      </c>
      <c r="I92" s="102">
        <f t="shared" si="5"/>
        <v>75.035698113207545</v>
      </c>
      <c r="J92" s="11"/>
      <c r="K92" s="177"/>
      <c r="L92" s="177"/>
      <c r="M92" s="178"/>
      <c r="N92" s="187"/>
    </row>
    <row r="93" spans="1:15" ht="16.5" customHeight="1">
      <c r="A93" s="80" t="s">
        <v>121</v>
      </c>
      <c r="B93" s="81"/>
      <c r="C93" s="81"/>
      <c r="D93" s="81"/>
      <c r="E93" s="52" t="s">
        <v>27</v>
      </c>
      <c r="F93" s="52">
        <v>1</v>
      </c>
      <c r="G93" s="38">
        <f>13200*0.30416</f>
        <v>4014.9119999999998</v>
      </c>
      <c r="H93" s="46">
        <v>212</v>
      </c>
      <c r="I93" s="102">
        <f t="shared" si="5"/>
        <v>18.938264150943397</v>
      </c>
      <c r="J93" s="11"/>
      <c r="K93" s="177"/>
      <c r="L93" s="177"/>
      <c r="M93" s="178"/>
      <c r="N93" s="179"/>
    </row>
    <row r="94" spans="1:15" ht="15" customHeight="1">
      <c r="A94" s="274" t="s">
        <v>123</v>
      </c>
      <c r="B94" s="275"/>
      <c r="C94" s="275"/>
      <c r="D94" s="276"/>
      <c r="E94" s="52" t="s">
        <v>27</v>
      </c>
      <c r="F94" s="52">
        <v>1</v>
      </c>
      <c r="G94" s="48">
        <f>24000*0.30416</f>
        <v>7299.8399999999992</v>
      </c>
      <c r="H94" s="46">
        <v>212</v>
      </c>
      <c r="I94" s="102">
        <f t="shared" si="5"/>
        <v>34.433207547169808</v>
      </c>
      <c r="J94" s="11"/>
      <c r="K94" s="177"/>
      <c r="L94" s="177"/>
      <c r="M94" s="178"/>
      <c r="N94" s="179"/>
    </row>
    <row r="95" spans="1:15" s="1" customFormat="1" ht="15" customHeight="1" thickBot="1">
      <c r="A95" s="274" t="s">
        <v>175</v>
      </c>
      <c r="B95" s="275"/>
      <c r="C95" s="275"/>
      <c r="D95" s="276"/>
      <c r="E95" s="52" t="s">
        <v>27</v>
      </c>
      <c r="F95" s="52">
        <v>1</v>
      </c>
      <c r="G95" s="48">
        <f>24000*0.30416</f>
        <v>7299.8399999999992</v>
      </c>
      <c r="H95" s="46">
        <v>212</v>
      </c>
      <c r="I95" s="102">
        <f t="shared" si="5"/>
        <v>34.433207547169808</v>
      </c>
      <c r="J95" s="13"/>
      <c r="K95" s="42"/>
      <c r="L95" s="42"/>
      <c r="M95" s="180"/>
      <c r="N95" s="179"/>
      <c r="O95"/>
    </row>
    <row r="96" spans="1:15" ht="15" customHeight="1" thickBot="1">
      <c r="A96" s="110" t="s">
        <v>54</v>
      </c>
      <c r="B96" s="111"/>
      <c r="C96" s="111"/>
      <c r="D96" s="111"/>
      <c r="E96" s="111"/>
      <c r="F96" s="111"/>
      <c r="G96" s="181">
        <f>SUM(G85:G95)</f>
        <v>155363.03916640003</v>
      </c>
      <c r="H96" s="183"/>
      <c r="I96" s="182">
        <f>SUM(I85:I95)</f>
        <v>732.84452436981121</v>
      </c>
      <c r="K96" s="188"/>
      <c r="L96" s="17"/>
      <c r="M96" s="17"/>
      <c r="N96" s="179"/>
    </row>
    <row r="97" spans="1:32" ht="9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32" ht="15" customHeight="1">
      <c r="A98" s="230" t="s">
        <v>50</v>
      </c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</row>
    <row r="99" spans="1:32" ht="69.599999999999994">
      <c r="A99" s="214" t="s">
        <v>28</v>
      </c>
      <c r="B99" s="215"/>
      <c r="C99" s="215"/>
      <c r="D99" s="215"/>
      <c r="E99" s="26" t="s">
        <v>7</v>
      </c>
      <c r="F99" s="9" t="s">
        <v>56</v>
      </c>
      <c r="G99" s="9" t="s">
        <v>48</v>
      </c>
      <c r="H99" s="9" t="s">
        <v>76</v>
      </c>
      <c r="I99" s="9" t="s">
        <v>69</v>
      </c>
      <c r="J99" s="11"/>
      <c r="K99" s="11"/>
      <c r="L99" s="11"/>
      <c r="M99" s="11"/>
      <c r="AB99" s="179"/>
      <c r="AC99" s="179"/>
      <c r="AD99" s="179"/>
      <c r="AE99" s="179"/>
      <c r="AF99" s="179"/>
    </row>
    <row r="100" spans="1:32" ht="43.8" customHeight="1">
      <c r="A100" s="212" t="s">
        <v>126</v>
      </c>
      <c r="B100" s="213"/>
      <c r="C100" s="213"/>
      <c r="D100" s="213"/>
      <c r="E100" s="52" t="s">
        <v>27</v>
      </c>
      <c r="F100" s="52">
        <v>1</v>
      </c>
      <c r="G100" s="82">
        <f>2547.27*0.30416</f>
        <v>774.77764319999994</v>
      </c>
      <c r="H100" s="46">
        <v>212</v>
      </c>
      <c r="I100" s="103">
        <f>G100/H100</f>
        <v>3.6546115245283017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15" customHeight="1">
      <c r="A101" s="212" t="s">
        <v>127</v>
      </c>
      <c r="B101" s="213"/>
      <c r="C101" s="213"/>
      <c r="D101" s="213"/>
      <c r="E101" s="52" t="s">
        <v>27</v>
      </c>
      <c r="F101" s="52">
        <v>1</v>
      </c>
      <c r="G101" s="82">
        <f>36480*0.30416</f>
        <v>11095.756799999999</v>
      </c>
      <c r="H101" s="46">
        <v>212</v>
      </c>
      <c r="I101" s="103">
        <f t="shared" ref="I101" si="6">G101/H101</f>
        <v>52.338475471698111</v>
      </c>
      <c r="J101" s="11"/>
      <c r="K101" s="186"/>
      <c r="L101" s="178"/>
      <c r="M101" s="186"/>
      <c r="N101" s="192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128</v>
      </c>
      <c r="B102" s="213"/>
      <c r="C102" s="213"/>
      <c r="D102" s="213"/>
      <c r="E102" s="52" t="s">
        <v>27</v>
      </c>
      <c r="F102" s="52">
        <v>1</v>
      </c>
      <c r="G102" s="82">
        <f>(128994.21+85586)*0.30416</f>
        <v>65266.7166736</v>
      </c>
      <c r="H102" s="46">
        <v>212</v>
      </c>
      <c r="I102" s="103">
        <f>G102/H102</f>
        <v>307.86187110188678</v>
      </c>
      <c r="J102" s="11"/>
      <c r="K102" s="186"/>
      <c r="L102" s="178"/>
      <c r="M102" s="186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184</v>
      </c>
      <c r="B103" s="213"/>
      <c r="C103" s="213"/>
      <c r="D103" s="219"/>
      <c r="E103" s="52" t="s">
        <v>27</v>
      </c>
      <c r="F103" s="52">
        <v>1</v>
      </c>
      <c r="G103" s="82">
        <f>3000*0.30416</f>
        <v>912.4799999999999</v>
      </c>
      <c r="H103" s="46">
        <v>212</v>
      </c>
      <c r="I103" s="103">
        <f t="shared" ref="I103:I104" si="7">G103/H103</f>
        <v>4.3041509433962259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185</v>
      </c>
      <c r="B104" s="213"/>
      <c r="C104" s="213"/>
      <c r="D104" s="219"/>
      <c r="E104" s="52" t="s">
        <v>27</v>
      </c>
      <c r="F104" s="52">
        <v>1</v>
      </c>
      <c r="G104" s="82">
        <f>(24000+37400)*0.30416</f>
        <v>18675.423999999999</v>
      </c>
      <c r="H104" s="46">
        <v>212</v>
      </c>
      <c r="I104" s="103">
        <f t="shared" si="7"/>
        <v>88.091622641509431</v>
      </c>
      <c r="J104" s="11"/>
      <c r="K104" s="178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28.8" customHeight="1">
      <c r="A105" s="212" t="s">
        <v>182</v>
      </c>
      <c r="B105" s="213"/>
      <c r="C105" s="213"/>
      <c r="D105" s="219"/>
      <c r="E105" s="52" t="s">
        <v>27</v>
      </c>
      <c r="F105" s="52">
        <v>1</v>
      </c>
      <c r="G105" s="82">
        <f>19350*0.30416</f>
        <v>5885.4960000000001</v>
      </c>
      <c r="H105" s="46">
        <v>212</v>
      </c>
      <c r="I105" s="103">
        <f t="shared" ref="I105:I114" si="8">G105/H105</f>
        <v>27.761773584905661</v>
      </c>
      <c r="J105" s="11"/>
      <c r="K105" s="186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 ht="42.6" customHeight="1">
      <c r="A106" s="212" t="s">
        <v>177</v>
      </c>
      <c r="B106" s="213"/>
      <c r="C106" s="213"/>
      <c r="D106" s="213"/>
      <c r="E106" s="52" t="s">
        <v>27</v>
      </c>
      <c r="F106" s="52">
        <v>1</v>
      </c>
      <c r="G106" s="70">
        <f>14328.44*0.30416</f>
        <v>4358.1383103999997</v>
      </c>
      <c r="H106" s="46">
        <v>212</v>
      </c>
      <c r="I106" s="103">
        <f t="shared" si="8"/>
        <v>20.557256181132075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130</v>
      </c>
      <c r="B107" s="213"/>
      <c r="C107" s="213"/>
      <c r="D107" s="213"/>
      <c r="E107" s="52" t="s">
        <v>27</v>
      </c>
      <c r="F107" s="52">
        <v>1</v>
      </c>
      <c r="G107" s="82">
        <f>(113262.84+4600)*0.30416</f>
        <v>35849.161414399998</v>
      </c>
      <c r="H107" s="46">
        <v>212</v>
      </c>
      <c r="I107" s="103">
        <f t="shared" si="8"/>
        <v>169.09981799245281</v>
      </c>
      <c r="J107" s="11"/>
      <c r="K107" s="178"/>
      <c r="L107" s="178"/>
      <c r="M107" s="178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79"/>
    </row>
    <row r="108" spans="1:32">
      <c r="A108" s="212" t="s">
        <v>178</v>
      </c>
      <c r="B108" s="213"/>
      <c r="C108" s="213"/>
      <c r="D108" s="219"/>
      <c r="E108" s="52" t="s">
        <v>27</v>
      </c>
      <c r="F108" s="52">
        <v>1</v>
      </c>
      <c r="G108" s="82">
        <f>41300*0.30416</f>
        <v>12561.807999999999</v>
      </c>
      <c r="H108" s="46">
        <v>212</v>
      </c>
      <c r="I108" s="103">
        <f t="shared" si="8"/>
        <v>59.253811320754714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12" t="s">
        <v>183</v>
      </c>
      <c r="B109" s="213"/>
      <c r="C109" s="213"/>
      <c r="D109" s="219"/>
      <c r="E109" s="52" t="s">
        <v>27</v>
      </c>
      <c r="F109" s="52">
        <v>1</v>
      </c>
      <c r="G109" s="82">
        <f>7000*0.30416</f>
        <v>2129.12</v>
      </c>
      <c r="H109" s="46">
        <v>212</v>
      </c>
      <c r="I109" s="103">
        <f t="shared" si="8"/>
        <v>10.043018867924527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179</v>
      </c>
      <c r="B110" s="295"/>
      <c r="C110" s="295"/>
      <c r="D110" s="296"/>
      <c r="E110" s="52" t="s">
        <v>27</v>
      </c>
      <c r="F110" s="52">
        <v>1</v>
      </c>
      <c r="G110" s="82">
        <f>23130*0.30416</f>
        <v>7035.2208000000001</v>
      </c>
      <c r="H110" s="46">
        <v>212</v>
      </c>
      <c r="I110" s="103">
        <f t="shared" si="8"/>
        <v>33.185003773584903</v>
      </c>
      <c r="J110" s="11"/>
      <c r="K110" s="190"/>
      <c r="L110" s="190"/>
      <c r="M110" s="191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9"/>
    </row>
    <row r="111" spans="1:32">
      <c r="A111" s="294" t="s">
        <v>180</v>
      </c>
      <c r="B111" s="295"/>
      <c r="C111" s="295"/>
      <c r="D111" s="296"/>
      <c r="E111" s="52" t="s">
        <v>27</v>
      </c>
      <c r="F111" s="52">
        <v>1</v>
      </c>
      <c r="G111" s="82">
        <f>21956*0.30416</f>
        <v>6678.1369599999998</v>
      </c>
      <c r="H111" s="46">
        <v>212</v>
      </c>
      <c r="I111" s="103">
        <f t="shared" si="8"/>
        <v>31.500646037735848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>
      <c r="A112" s="294" t="s">
        <v>181</v>
      </c>
      <c r="B112" s="295"/>
      <c r="C112" s="295"/>
      <c r="D112" s="296"/>
      <c r="E112" s="52" t="s">
        <v>27</v>
      </c>
      <c r="F112" s="52">
        <v>1</v>
      </c>
      <c r="G112" s="82">
        <f>195935.38*0.30416</f>
        <v>59595.705180799996</v>
      </c>
      <c r="H112" s="46">
        <v>212</v>
      </c>
      <c r="I112" s="103">
        <f t="shared" si="8"/>
        <v>281.11181689056605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18" customHeight="1">
      <c r="A113" s="212" t="s">
        <v>131</v>
      </c>
      <c r="B113" s="213"/>
      <c r="C113" s="213"/>
      <c r="D113" s="213"/>
      <c r="E113" s="52" t="s">
        <v>27</v>
      </c>
      <c r="F113" s="52">
        <v>1</v>
      </c>
      <c r="G113" s="70">
        <f>11196.7*0.30416</f>
        <v>3405.588272</v>
      </c>
      <c r="H113" s="46">
        <v>212</v>
      </c>
      <c r="I113" s="103">
        <f t="shared" si="8"/>
        <v>16.06409562264151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46.2" customHeight="1" thickBot="1">
      <c r="A114" s="212" t="s">
        <v>132</v>
      </c>
      <c r="B114" s="213"/>
      <c r="C114" s="213"/>
      <c r="D114" s="213"/>
      <c r="E114" s="52" t="s">
        <v>27</v>
      </c>
      <c r="F114" s="52">
        <v>1</v>
      </c>
      <c r="G114" s="70">
        <f>22460*0.30416</f>
        <v>6831.4335999999994</v>
      </c>
      <c r="H114" s="46">
        <v>212</v>
      </c>
      <c r="I114" s="103">
        <f t="shared" si="8"/>
        <v>32.223743396226411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ht="20.25" customHeight="1" thickBot="1">
      <c r="A115" s="217" t="s">
        <v>53</v>
      </c>
      <c r="B115" s="218"/>
      <c r="C115" s="218"/>
      <c r="D115" s="218"/>
      <c r="E115" s="99"/>
      <c r="F115" s="51"/>
      <c r="G115" s="73">
        <f>SUM(G100:G114)</f>
        <v>241054.96365439997</v>
      </c>
      <c r="H115" s="47"/>
      <c r="I115" s="33">
        <f>SUM(I100:I114)</f>
        <v>1137.0517153509431</v>
      </c>
      <c r="J115" s="11"/>
      <c r="K115" s="190"/>
      <c r="L115" s="190"/>
      <c r="M115" s="191"/>
      <c r="N115" s="179"/>
      <c r="AB115" s="179"/>
      <c r="AC115" s="179"/>
      <c r="AD115" s="179"/>
      <c r="AE115" s="179"/>
      <c r="AF115" s="179"/>
    </row>
    <row r="116" spans="1:32" s="86" customFormat="1" ht="20.25" customHeight="1">
      <c r="A116" s="87"/>
      <c r="B116" s="87"/>
      <c r="C116" s="87"/>
      <c r="D116" s="87"/>
      <c r="E116" s="87"/>
      <c r="F116" s="87"/>
      <c r="G116" s="87"/>
      <c r="H116" s="87"/>
      <c r="I116" s="83"/>
      <c r="J116" s="84"/>
      <c r="K116" s="85"/>
      <c r="L116" s="85"/>
      <c r="M116" s="88"/>
      <c r="N116"/>
      <c r="O116"/>
      <c r="P116"/>
      <c r="Q116"/>
      <c r="R116"/>
    </row>
    <row r="117" spans="1:32" ht="15" customHeight="1">
      <c r="A117" s="230" t="s">
        <v>89</v>
      </c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</row>
    <row r="118" spans="1:32" ht="55.8">
      <c r="A118" s="214" t="s">
        <v>28</v>
      </c>
      <c r="B118" s="215"/>
      <c r="C118" s="215"/>
      <c r="D118" s="215"/>
      <c r="E118" s="9" t="s">
        <v>77</v>
      </c>
      <c r="F118" s="9" t="s">
        <v>48</v>
      </c>
      <c r="G118" s="9" t="s">
        <v>76</v>
      </c>
      <c r="H118" s="9" t="s">
        <v>69</v>
      </c>
      <c r="I118" s="11"/>
      <c r="J118" s="11"/>
      <c r="K118" s="11"/>
      <c r="L118" s="11"/>
    </row>
    <row r="119" spans="1:32">
      <c r="A119" s="212" t="s">
        <v>80</v>
      </c>
      <c r="B119" s="213"/>
      <c r="C119" s="213"/>
      <c r="D119" s="213"/>
      <c r="E119" s="52" t="s">
        <v>27</v>
      </c>
      <c r="F119" s="82">
        <f>(1226746.52+13932+69179+41668.5-163.49)*0.30416</f>
        <v>411030.42712479999</v>
      </c>
      <c r="G119" s="46">
        <v>212</v>
      </c>
      <c r="H119" s="103">
        <f t="shared" ref="H119:H126" si="9">F119/G119</f>
        <v>1938.8227694566037</v>
      </c>
      <c r="I119" s="11"/>
      <c r="J119" s="17"/>
      <c r="K119" s="17"/>
      <c r="L119" s="11"/>
    </row>
    <row r="120" spans="1:32">
      <c r="A120" s="212" t="s">
        <v>192</v>
      </c>
      <c r="B120" s="213"/>
      <c r="C120" s="213"/>
      <c r="D120" s="213"/>
      <c r="E120" s="52" t="s">
        <v>27</v>
      </c>
      <c r="F120" s="82">
        <f>99900*0.30416</f>
        <v>30385.583999999999</v>
      </c>
      <c r="G120" s="46">
        <v>212</v>
      </c>
      <c r="H120" s="103">
        <f t="shared" si="9"/>
        <v>143.32822641509432</v>
      </c>
      <c r="I120" s="11"/>
      <c r="J120" s="17"/>
      <c r="K120" s="17"/>
      <c r="L120" s="11"/>
    </row>
    <row r="121" spans="1:32">
      <c r="A121" s="212" t="s">
        <v>191</v>
      </c>
      <c r="B121" s="213"/>
      <c r="C121" s="213"/>
      <c r="D121" s="213"/>
      <c r="E121" s="52" t="s">
        <v>27</v>
      </c>
      <c r="F121" s="189">
        <f>1773120.88*0.30416</f>
        <v>539312.44686079992</v>
      </c>
      <c r="G121" s="46">
        <v>212</v>
      </c>
      <c r="H121" s="103">
        <f t="shared" si="9"/>
        <v>2543.9266361358486</v>
      </c>
      <c r="I121" s="191"/>
      <c r="J121" s="179"/>
    </row>
    <row r="122" spans="1:32">
      <c r="A122" s="212" t="s">
        <v>188</v>
      </c>
      <c r="B122" s="213"/>
      <c r="C122" s="213"/>
      <c r="D122" s="213"/>
      <c r="E122" s="52" t="s">
        <v>27</v>
      </c>
      <c r="F122" s="193">
        <f>29019.5*0.30416</f>
        <v>8826.5711199999987</v>
      </c>
      <c r="G122" s="46">
        <v>212</v>
      </c>
      <c r="H122" s="103">
        <f t="shared" si="9"/>
        <v>41.634769433962255</v>
      </c>
      <c r="I122" s="191"/>
      <c r="J122" s="179"/>
    </row>
    <row r="123" spans="1:32">
      <c r="A123" s="212" t="s">
        <v>189</v>
      </c>
      <c r="B123" s="213"/>
      <c r="C123" s="213"/>
      <c r="D123" s="213"/>
      <c r="E123" s="52" t="s">
        <v>27</v>
      </c>
      <c r="F123" s="59">
        <f>780*0.30416</f>
        <v>237.2448</v>
      </c>
      <c r="G123" s="46">
        <v>212</v>
      </c>
      <c r="H123" s="103">
        <f>F123/G123</f>
        <v>1.1190792452830189</v>
      </c>
      <c r="I123" s="191"/>
      <c r="J123" s="179"/>
    </row>
    <row r="124" spans="1:32">
      <c r="A124" s="212" t="s">
        <v>193</v>
      </c>
      <c r="B124" s="213"/>
      <c r="C124" s="213"/>
      <c r="D124" s="219"/>
      <c r="E124" s="52" t="s">
        <v>27</v>
      </c>
      <c r="F124" s="59">
        <f>78540*0.30416</f>
        <v>23888.7264</v>
      </c>
      <c r="G124" s="46">
        <v>212</v>
      </c>
      <c r="H124" s="103">
        <f>F124/G124</f>
        <v>112.68267169811321</v>
      </c>
      <c r="I124" s="191"/>
      <c r="J124" s="179"/>
    </row>
    <row r="125" spans="1:32">
      <c r="A125" s="212" t="s">
        <v>194</v>
      </c>
      <c r="B125" s="213"/>
      <c r="C125" s="213"/>
      <c r="D125" s="219"/>
      <c r="E125" s="52" t="s">
        <v>27</v>
      </c>
      <c r="F125" s="59">
        <f>(11720+10155)*0.30416</f>
        <v>6653.5</v>
      </c>
      <c r="G125" s="46">
        <v>212</v>
      </c>
      <c r="H125" s="103">
        <f>F125/G125</f>
        <v>31.384433962264151</v>
      </c>
      <c r="I125" s="191"/>
      <c r="J125" s="179"/>
    </row>
    <row r="126" spans="1:32" ht="15" thickBot="1">
      <c r="A126" s="212" t="s">
        <v>190</v>
      </c>
      <c r="B126" s="213"/>
      <c r="C126" s="213"/>
      <c r="D126" s="213"/>
      <c r="E126" s="52" t="s">
        <v>27</v>
      </c>
      <c r="F126" s="38">
        <f>(97062.04+10891.11+3449.6)*0.30416</f>
        <v>33884.260439999998</v>
      </c>
      <c r="G126" s="46">
        <v>212</v>
      </c>
      <c r="H126" s="103">
        <f t="shared" si="9"/>
        <v>159.83141716981132</v>
      </c>
      <c r="I126" s="191"/>
      <c r="J126" s="179"/>
    </row>
    <row r="127" spans="1:32" ht="20.25" customHeight="1" thickBot="1">
      <c r="A127" s="217" t="s">
        <v>53</v>
      </c>
      <c r="B127" s="218"/>
      <c r="C127" s="218"/>
      <c r="D127" s="218"/>
      <c r="E127" s="52" t="s">
        <v>27</v>
      </c>
      <c r="F127" s="194">
        <f>SUM(F119:F126)</f>
        <v>1054218.7607455999</v>
      </c>
      <c r="G127" s="114"/>
      <c r="H127" s="195">
        <f>SUM(H119:H119)</f>
        <v>1938.8227694566037</v>
      </c>
      <c r="I127" s="11"/>
      <c r="J127" s="34"/>
      <c r="K127" s="11"/>
      <c r="L127" s="11"/>
    </row>
    <row r="128" spans="1:32" ht="12" customHeight="1">
      <c r="A128" s="89"/>
      <c r="B128" s="89"/>
      <c r="C128" s="89"/>
      <c r="D128" s="89"/>
      <c r="E128" s="90"/>
      <c r="F128" s="91"/>
      <c r="G128" s="92"/>
      <c r="H128" s="91"/>
      <c r="I128" s="93"/>
      <c r="J128" s="71"/>
      <c r="K128" s="94"/>
      <c r="L128" s="94"/>
      <c r="M128" s="50"/>
    </row>
    <row r="129" spans="1:13" ht="15.6">
      <c r="A129" s="273" t="s">
        <v>78</v>
      </c>
      <c r="B129" s="273"/>
      <c r="C129" s="273"/>
      <c r="D129" s="273"/>
      <c r="E129" s="273"/>
      <c r="F129" s="273"/>
      <c r="G129" s="273"/>
      <c r="H129" s="273"/>
      <c r="I129" s="273"/>
      <c r="J129" s="273"/>
      <c r="K129" s="273"/>
      <c r="L129" s="273"/>
      <c r="M129" s="273"/>
    </row>
    <row r="130" spans="1:13" ht="55.8">
      <c r="A130" s="231" t="s">
        <v>3</v>
      </c>
      <c r="B130" s="231"/>
      <c r="C130" s="231"/>
      <c r="D130" s="231"/>
      <c r="E130" s="9" t="s">
        <v>4</v>
      </c>
      <c r="F130" s="10" t="s">
        <v>0</v>
      </c>
      <c r="G130" s="35" t="s">
        <v>52</v>
      </c>
      <c r="H130" s="35" t="s">
        <v>44</v>
      </c>
      <c r="I130" s="9" t="s">
        <v>63</v>
      </c>
      <c r="J130" s="9" t="s">
        <v>69</v>
      </c>
      <c r="K130" s="9" t="s">
        <v>46</v>
      </c>
      <c r="L130" s="28"/>
      <c r="M130" s="28"/>
    </row>
    <row r="131" spans="1:13">
      <c r="A131" s="252">
        <v>1</v>
      </c>
      <c r="B131" s="253"/>
      <c r="C131" s="253"/>
      <c r="D131" s="253"/>
      <c r="E131" s="26">
        <v>2</v>
      </c>
      <c r="F131" s="12">
        <v>3</v>
      </c>
      <c r="G131" s="26">
        <v>4</v>
      </c>
      <c r="H131" s="26" t="s">
        <v>125</v>
      </c>
      <c r="I131" s="27">
        <v>6</v>
      </c>
      <c r="J131" s="36">
        <v>7</v>
      </c>
      <c r="K131" s="37">
        <v>8</v>
      </c>
      <c r="L131" s="153"/>
      <c r="M131" s="28"/>
    </row>
    <row r="132" spans="1:13" ht="33" customHeight="1" thickBot="1">
      <c r="A132" s="236" t="s">
        <v>66</v>
      </c>
      <c r="B132" s="236"/>
      <c r="C132" s="236"/>
      <c r="D132" s="236"/>
      <c r="E132" s="38">
        <f>10239022.09/12/13.75</f>
        <v>62054.679333333333</v>
      </c>
      <c r="F132" s="38">
        <f>13.75*0.30416</f>
        <v>4.1821999999999999</v>
      </c>
      <c r="G132" s="38">
        <f>(7736226.265+127846)*0.30416</f>
        <v>2391936.2201223997</v>
      </c>
      <c r="H132" s="38">
        <f>(G132*1.302)</f>
        <v>3114300.9585993644</v>
      </c>
      <c r="I132" s="46">
        <v>212</v>
      </c>
      <c r="J132" s="38">
        <f>H132/I132</f>
        <v>14690.098861317756</v>
      </c>
      <c r="K132" s="63">
        <f>H132/(8696900+23460820)*100</f>
        <v>9.68445822216054</v>
      </c>
      <c r="L132" s="154"/>
      <c r="M132" s="16"/>
    </row>
    <row r="133" spans="1:13" ht="15" hidden="1" thickBot="1">
      <c r="A133" s="262"/>
      <c r="B133" s="263"/>
      <c r="C133" s="263"/>
      <c r="D133" s="263"/>
      <c r="E133" s="38">
        <v>17865.98</v>
      </c>
      <c r="F133" s="64">
        <v>4</v>
      </c>
      <c r="G133" s="46"/>
      <c r="H133" s="39">
        <f>H6</f>
        <v>0</v>
      </c>
      <c r="I133" s="38" t="e">
        <f t="shared" ref="I133:I154" si="10">F133/G133*H133</f>
        <v>#DIV/0!</v>
      </c>
      <c r="J133" s="38">
        <f t="shared" ref="J133:J154" si="11">E133*F133*12*1.302</f>
        <v>1116552.28608</v>
      </c>
      <c r="K133" s="65" t="s">
        <v>38</v>
      </c>
      <c r="L133" s="155"/>
      <c r="M133" s="32" t="e">
        <f t="shared" ref="M133:M157" si="12">I133*J133</f>
        <v>#DIV/0!</v>
      </c>
    </row>
    <row r="134" spans="1:13" ht="15" hidden="1" thickBot="1">
      <c r="A134" s="293"/>
      <c r="B134" s="293"/>
      <c r="C134" s="293"/>
      <c r="D134" s="293"/>
      <c r="E134" s="38">
        <v>9544</v>
      </c>
      <c r="F134" s="64">
        <v>1</v>
      </c>
      <c r="G134" s="46"/>
      <c r="H134" s="39">
        <f>H6</f>
        <v>0</v>
      </c>
      <c r="I134" s="38" t="e">
        <f t="shared" si="10"/>
        <v>#DIV/0!</v>
      </c>
      <c r="J134" s="38">
        <f t="shared" si="11"/>
        <v>149115.45600000001</v>
      </c>
      <c r="K134" s="39">
        <f>H134/11277167.39*100</f>
        <v>0</v>
      </c>
      <c r="L134" s="39"/>
      <c r="M134" s="15" t="e">
        <f t="shared" si="12"/>
        <v>#DIV/0!</v>
      </c>
    </row>
    <row r="135" spans="1:13" ht="15" hidden="1" customHeight="1">
      <c r="A135" s="274"/>
      <c r="B135" s="275"/>
      <c r="C135" s="275"/>
      <c r="D135" s="275"/>
      <c r="E135" s="38">
        <v>11560</v>
      </c>
      <c r="F135" s="64">
        <v>1</v>
      </c>
      <c r="G135" s="46"/>
      <c r="H135" s="39">
        <f>H6</f>
        <v>0</v>
      </c>
      <c r="I135" s="38" t="e">
        <f t="shared" si="10"/>
        <v>#DIV/0!</v>
      </c>
      <c r="J135" s="38">
        <f t="shared" si="11"/>
        <v>180613.44</v>
      </c>
      <c r="K135" s="30"/>
      <c r="L135" s="30"/>
      <c r="M135" s="15" t="e">
        <f t="shared" si="12"/>
        <v>#DIV/0!</v>
      </c>
    </row>
    <row r="136" spans="1:13" ht="15" hidden="1" thickBot="1">
      <c r="A136" s="236"/>
      <c r="B136" s="236"/>
      <c r="C136" s="236"/>
      <c r="D136" s="236"/>
      <c r="E136" s="38">
        <v>9544</v>
      </c>
      <c r="F136" s="66">
        <v>0.5</v>
      </c>
      <c r="G136" s="46"/>
      <c r="H136" s="39">
        <f>H6</f>
        <v>0</v>
      </c>
      <c r="I136" s="38" t="e">
        <f t="shared" si="10"/>
        <v>#DIV/0!</v>
      </c>
      <c r="J136" s="38">
        <f t="shared" si="11"/>
        <v>74557.728000000003</v>
      </c>
      <c r="K136" s="30"/>
      <c r="L136" s="30"/>
      <c r="M136" s="15" t="e">
        <f t="shared" si="12"/>
        <v>#DIV/0!</v>
      </c>
    </row>
    <row r="137" spans="1:13" ht="15" hidden="1" thickBo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H6</f>
        <v>0</v>
      </c>
      <c r="I137" s="38" t="e">
        <f t="shared" si="10"/>
        <v>#DIV/0!</v>
      </c>
      <c r="J137" s="38">
        <f t="shared" si="11"/>
        <v>149115.45600000001</v>
      </c>
      <c r="K137" s="38"/>
      <c r="L137" s="38"/>
      <c r="M137" s="15" t="e">
        <f t="shared" si="12"/>
        <v>#DIV/0!</v>
      </c>
    </row>
    <row r="138" spans="1:13" ht="14.25" hidden="1" customHeight="1">
      <c r="A138" s="236"/>
      <c r="B138" s="236"/>
      <c r="C138" s="236"/>
      <c r="D138" s="236"/>
      <c r="E138" s="38">
        <v>9544</v>
      </c>
      <c r="F138" s="64">
        <v>1</v>
      </c>
      <c r="G138" s="46"/>
      <c r="H138" s="39">
        <f>H6</f>
        <v>0</v>
      </c>
      <c r="I138" s="38" t="e">
        <f t="shared" si="10"/>
        <v>#DIV/0!</v>
      </c>
      <c r="J138" s="38">
        <f t="shared" si="11"/>
        <v>149115.45600000001</v>
      </c>
      <c r="K138" s="47"/>
      <c r="L138" s="47"/>
      <c r="M138" s="15" t="e">
        <f t="shared" si="12"/>
        <v>#DIV/0!</v>
      </c>
    </row>
    <row r="139" spans="1:13" ht="15" hidden="1" thickBot="1">
      <c r="A139" s="212"/>
      <c r="B139" s="213"/>
      <c r="C139" s="213"/>
      <c r="D139" s="213"/>
      <c r="E139" s="38">
        <v>9544</v>
      </c>
      <c r="F139" s="38"/>
      <c r="G139" s="46"/>
      <c r="H139" s="39">
        <f>H6</f>
        <v>0</v>
      </c>
      <c r="I139" s="38" t="e">
        <f t="shared" si="10"/>
        <v>#DIV/0!</v>
      </c>
      <c r="J139" s="38">
        <f t="shared" si="11"/>
        <v>0</v>
      </c>
      <c r="K139" s="47"/>
      <c r="L139" s="47"/>
      <c r="M139" s="15" t="e">
        <f t="shared" si="12"/>
        <v>#DIV/0!</v>
      </c>
    </row>
    <row r="140" spans="1:13" ht="15" hidden="1" thickBot="1">
      <c r="A140" s="212"/>
      <c r="B140" s="213"/>
      <c r="C140" s="213"/>
      <c r="D140" s="213"/>
      <c r="E140" s="38">
        <v>9544</v>
      </c>
      <c r="F140" s="67">
        <v>0.25</v>
      </c>
      <c r="G140" s="46"/>
      <c r="H140" s="39">
        <f>H6</f>
        <v>0</v>
      </c>
      <c r="I140" s="38" t="e">
        <f t="shared" si="10"/>
        <v>#DIV/0!</v>
      </c>
      <c r="J140" s="38">
        <f t="shared" si="11"/>
        <v>37278.864000000001</v>
      </c>
      <c r="K140" s="47"/>
      <c r="L140" s="47"/>
      <c r="M140" s="15" t="e">
        <f t="shared" si="12"/>
        <v>#DIV/0!</v>
      </c>
    </row>
    <row r="141" spans="1:13" ht="15" hidden="1" thickBot="1">
      <c r="A141" s="212"/>
      <c r="B141" s="213"/>
      <c r="C141" s="213"/>
      <c r="D141" s="213"/>
      <c r="E141" s="38">
        <v>9544</v>
      </c>
      <c r="F141" s="38"/>
      <c r="G141" s="46"/>
      <c r="H141" s="39">
        <f>H6</f>
        <v>0</v>
      </c>
      <c r="I141" s="38" t="e">
        <f t="shared" si="10"/>
        <v>#DIV/0!</v>
      </c>
      <c r="J141" s="38">
        <f t="shared" si="11"/>
        <v>0</v>
      </c>
      <c r="K141" s="47"/>
      <c r="L141" s="47"/>
      <c r="M141" s="15" t="e">
        <f t="shared" si="12"/>
        <v>#DIV/0!</v>
      </c>
    </row>
    <row r="142" spans="1:13" ht="15" hidden="1" thickBot="1">
      <c r="A142" s="212"/>
      <c r="B142" s="213"/>
      <c r="C142" s="213"/>
      <c r="D142" s="213"/>
      <c r="E142" s="38">
        <v>9544</v>
      </c>
      <c r="F142" s="66">
        <v>0.5</v>
      </c>
      <c r="G142" s="46"/>
      <c r="H142" s="39">
        <f>H6</f>
        <v>0</v>
      </c>
      <c r="I142" s="38" t="e">
        <f t="shared" si="10"/>
        <v>#DIV/0!</v>
      </c>
      <c r="J142" s="38">
        <f t="shared" si="11"/>
        <v>74557.728000000003</v>
      </c>
      <c r="K142" s="47"/>
      <c r="L142" s="47"/>
      <c r="M142" s="15" t="e">
        <f t="shared" si="12"/>
        <v>#DIV/0!</v>
      </c>
    </row>
    <row r="143" spans="1:13" ht="15.75" hidden="1" customHeight="1">
      <c r="A143" s="212"/>
      <c r="B143" s="213"/>
      <c r="C143" s="213"/>
      <c r="D143" s="213"/>
      <c r="E143" s="38">
        <v>9544</v>
      </c>
      <c r="F143" s="64">
        <v>1</v>
      </c>
      <c r="G143" s="46"/>
      <c r="H143" s="39">
        <f>H6</f>
        <v>0</v>
      </c>
      <c r="I143" s="38" t="e">
        <f t="shared" si="10"/>
        <v>#DIV/0!</v>
      </c>
      <c r="J143" s="38">
        <f t="shared" si="11"/>
        <v>149115.45600000001</v>
      </c>
      <c r="K143" s="47"/>
      <c r="L143" s="47"/>
      <c r="M143" s="15" t="e">
        <f t="shared" si="12"/>
        <v>#DIV/0!</v>
      </c>
    </row>
    <row r="144" spans="1:13" ht="15" hidden="1" customHeight="1">
      <c r="A144" s="236"/>
      <c r="B144" s="236"/>
      <c r="C144" s="236"/>
      <c r="D144" s="236"/>
      <c r="E144" s="38">
        <v>9544</v>
      </c>
      <c r="F144" s="64">
        <v>1</v>
      </c>
      <c r="G144" s="46"/>
      <c r="H144" s="39">
        <f>H6</f>
        <v>0</v>
      </c>
      <c r="I144" s="38" t="e">
        <f t="shared" si="10"/>
        <v>#DIV/0!</v>
      </c>
      <c r="J144" s="38">
        <f t="shared" si="11"/>
        <v>149115.45600000001</v>
      </c>
      <c r="K144" s="47"/>
      <c r="L144" s="47"/>
      <c r="M144" s="15" t="e">
        <f t="shared" si="12"/>
        <v>#DIV/0!</v>
      </c>
    </row>
    <row r="145" spans="1:14" ht="15" hidden="1" customHeight="1">
      <c r="A145" s="236"/>
      <c r="B145" s="236"/>
      <c r="C145" s="236"/>
      <c r="D145" s="236"/>
      <c r="E145" s="38">
        <v>9544</v>
      </c>
      <c r="F145" s="66">
        <v>5.5</v>
      </c>
      <c r="G145" s="46"/>
      <c r="H145" s="39">
        <f>H6</f>
        <v>0</v>
      </c>
      <c r="I145" s="38" t="e">
        <f t="shared" si="10"/>
        <v>#DIV/0!</v>
      </c>
      <c r="J145" s="38">
        <f t="shared" si="11"/>
        <v>820135.00800000003</v>
      </c>
      <c r="K145" s="47"/>
      <c r="L145" s="47"/>
      <c r="M145" s="15" t="e">
        <f t="shared" si="12"/>
        <v>#DIV/0!</v>
      </c>
    </row>
    <row r="146" spans="1:14" ht="15" hidden="1" customHeight="1" thickBot="1">
      <c r="A146" s="236"/>
      <c r="B146" s="236"/>
      <c r="C146" s="236"/>
      <c r="D146" s="236"/>
      <c r="E146" s="38">
        <v>9544</v>
      </c>
      <c r="F146" s="64">
        <v>1</v>
      </c>
      <c r="G146" s="46"/>
      <c r="H146" s="39">
        <f>H6</f>
        <v>0</v>
      </c>
      <c r="I146" s="38" t="e">
        <f t="shared" si="10"/>
        <v>#DIV/0!</v>
      </c>
      <c r="J146" s="38">
        <f t="shared" si="11"/>
        <v>149115.45600000001</v>
      </c>
      <c r="K146" s="47"/>
      <c r="L146" s="47"/>
      <c r="M146" s="15" t="e">
        <f t="shared" si="12"/>
        <v>#DIV/0!</v>
      </c>
    </row>
    <row r="147" spans="1:14" ht="15" hidden="1" customHeigh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H6</f>
        <v>0</v>
      </c>
      <c r="I147" s="38" t="e">
        <f t="shared" si="10"/>
        <v>#DIV/0!</v>
      </c>
      <c r="J147" s="38">
        <f t="shared" si="11"/>
        <v>74557.728000000003</v>
      </c>
      <c r="K147" s="47"/>
      <c r="L147" s="47"/>
      <c r="M147" s="15" t="e">
        <f t="shared" si="12"/>
        <v>#DIV/0!</v>
      </c>
    </row>
    <row r="148" spans="1:14" ht="15" hidden="1" customHeight="1">
      <c r="A148" s="236"/>
      <c r="B148" s="236"/>
      <c r="C148" s="236"/>
      <c r="D148" s="236"/>
      <c r="E148" s="38">
        <v>9544</v>
      </c>
      <c r="F148" s="66">
        <v>0.5</v>
      </c>
      <c r="G148" s="46"/>
      <c r="H148" s="39">
        <f>H6</f>
        <v>0</v>
      </c>
      <c r="I148" s="38" t="e">
        <f t="shared" si="10"/>
        <v>#DIV/0!</v>
      </c>
      <c r="J148" s="38">
        <f t="shared" si="11"/>
        <v>74557.728000000003</v>
      </c>
      <c r="K148" s="47"/>
      <c r="L148" s="47"/>
      <c r="M148" s="15" t="e">
        <f t="shared" si="12"/>
        <v>#DIV/0!</v>
      </c>
    </row>
    <row r="149" spans="1:14" ht="15" hidden="1" thickBot="1">
      <c r="A149" s="236"/>
      <c r="B149" s="236"/>
      <c r="C149" s="236"/>
      <c r="D149" s="236"/>
      <c r="E149" s="38">
        <v>9544</v>
      </c>
      <c r="F149" s="64">
        <v>1</v>
      </c>
      <c r="G149" s="46"/>
      <c r="H149" s="39">
        <f>H6</f>
        <v>0</v>
      </c>
      <c r="I149" s="38" t="e">
        <f t="shared" si="10"/>
        <v>#DIV/0!</v>
      </c>
      <c r="J149" s="38">
        <f t="shared" si="11"/>
        <v>149115.45600000001</v>
      </c>
      <c r="K149" s="47"/>
      <c r="L149" s="47"/>
      <c r="M149" s="15" t="e">
        <f t="shared" si="12"/>
        <v>#DIV/0!</v>
      </c>
    </row>
    <row r="150" spans="1:14" ht="15.75" hidden="1" customHeight="1">
      <c r="A150" s="236"/>
      <c r="B150" s="236"/>
      <c r="C150" s="236"/>
      <c r="D150" s="236"/>
      <c r="E150" s="38">
        <v>9544</v>
      </c>
      <c r="F150" s="64">
        <v>4</v>
      </c>
      <c r="G150" s="46"/>
      <c r="H150" s="39">
        <f>H6</f>
        <v>0</v>
      </c>
      <c r="I150" s="38" t="e">
        <f t="shared" si="10"/>
        <v>#DIV/0!</v>
      </c>
      <c r="J150" s="38">
        <f t="shared" si="11"/>
        <v>596461.82400000002</v>
      </c>
      <c r="K150" s="47"/>
      <c r="L150" s="47"/>
      <c r="M150" s="15" t="e">
        <f t="shared" si="12"/>
        <v>#DIV/0!</v>
      </c>
    </row>
    <row r="151" spans="1:14" ht="16.5" hidden="1" customHeight="1">
      <c r="A151" s="212"/>
      <c r="B151" s="213"/>
      <c r="C151" s="213"/>
      <c r="D151" s="213"/>
      <c r="E151" s="38">
        <v>9544</v>
      </c>
      <c r="F151" s="64">
        <v>1</v>
      </c>
      <c r="G151" s="46"/>
      <c r="H151" s="39">
        <f>H6</f>
        <v>0</v>
      </c>
      <c r="I151" s="38" t="e">
        <f t="shared" si="10"/>
        <v>#DIV/0!</v>
      </c>
      <c r="J151" s="38">
        <f t="shared" si="11"/>
        <v>149115.45600000001</v>
      </c>
      <c r="K151" s="47"/>
      <c r="L151" s="47"/>
      <c r="M151" s="15" t="e">
        <f t="shared" si="12"/>
        <v>#DIV/0!</v>
      </c>
    </row>
    <row r="152" spans="1:14" ht="16.5" hidden="1" customHeight="1" thickBot="1">
      <c r="A152" s="212"/>
      <c r="B152" s="213"/>
      <c r="C152" s="213"/>
      <c r="D152" s="213"/>
      <c r="E152" s="38">
        <v>9544</v>
      </c>
      <c r="F152" s="67">
        <v>1.75</v>
      </c>
      <c r="G152" s="46"/>
      <c r="H152" s="39">
        <f>H6</f>
        <v>0</v>
      </c>
      <c r="I152" s="38" t="e">
        <f t="shared" si="10"/>
        <v>#DIV/0!</v>
      </c>
      <c r="J152" s="38">
        <f t="shared" si="11"/>
        <v>260952.04800000001</v>
      </c>
      <c r="K152" s="47"/>
      <c r="L152" s="47"/>
      <c r="M152" s="15" t="e">
        <f t="shared" si="12"/>
        <v>#DIV/0!</v>
      </c>
    </row>
    <row r="153" spans="1:14" ht="16.5" hidden="1" customHeight="1" thickBot="1">
      <c r="A153" s="212"/>
      <c r="B153" s="213"/>
      <c r="C153" s="213"/>
      <c r="D153" s="213"/>
      <c r="E153" s="38">
        <v>9544</v>
      </c>
      <c r="F153" s="39"/>
      <c r="G153" s="46"/>
      <c r="H153" s="39">
        <f>H6</f>
        <v>0</v>
      </c>
      <c r="I153" s="38" t="e">
        <f t="shared" si="10"/>
        <v>#DIV/0!</v>
      </c>
      <c r="J153" s="38">
        <f t="shared" si="11"/>
        <v>0</v>
      </c>
      <c r="K153" s="47"/>
      <c r="L153" s="47"/>
      <c r="M153" s="15" t="e">
        <f t="shared" si="12"/>
        <v>#DIV/0!</v>
      </c>
    </row>
    <row r="154" spans="1:14" ht="16.5" hidden="1" customHeight="1" thickBot="1">
      <c r="A154" s="212"/>
      <c r="B154" s="213"/>
      <c r="C154" s="213"/>
      <c r="D154" s="213"/>
      <c r="E154" s="38">
        <v>9544</v>
      </c>
      <c r="F154" s="66">
        <v>0.5</v>
      </c>
      <c r="G154" s="46"/>
      <c r="H154" s="39">
        <f>H6</f>
        <v>0</v>
      </c>
      <c r="I154" s="38" t="e">
        <f t="shared" si="10"/>
        <v>#DIV/0!</v>
      </c>
      <c r="J154" s="38">
        <f t="shared" si="11"/>
        <v>74557.728000000003</v>
      </c>
      <c r="K154" s="47"/>
      <c r="L154" s="47"/>
      <c r="M154" s="15" t="e">
        <f t="shared" si="12"/>
        <v>#DIV/0!</v>
      </c>
    </row>
    <row r="155" spans="1:14" ht="15" hidden="1" customHeigh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>
        <f t="shared" si="12"/>
        <v>0</v>
      </c>
    </row>
    <row r="156" spans="1:14" ht="15.75" hidden="1" customHeight="1" thickBot="1">
      <c r="A156" s="212"/>
      <c r="B156" s="213"/>
      <c r="C156" s="213"/>
      <c r="D156" s="213"/>
      <c r="E156" s="38"/>
      <c r="F156" s="38"/>
      <c r="G156" s="38"/>
      <c r="H156" s="38"/>
      <c r="I156" s="38"/>
      <c r="J156" s="38"/>
      <c r="K156" s="47"/>
      <c r="L156" s="47"/>
      <c r="M156" s="15">
        <f t="shared" si="12"/>
        <v>0</v>
      </c>
    </row>
    <row r="157" spans="1:14" ht="14.25" hidden="1" customHeight="1" thickBot="1">
      <c r="A157" s="212"/>
      <c r="B157" s="213"/>
      <c r="C157" s="213"/>
      <c r="D157" s="213"/>
      <c r="E157" s="38"/>
      <c r="F157" s="38"/>
      <c r="G157" s="38"/>
      <c r="H157" s="38"/>
      <c r="I157" s="46">
        <v>105</v>
      </c>
      <c r="J157" s="48">
        <f>H157/I157</f>
        <v>0</v>
      </c>
      <c r="K157" s="47"/>
      <c r="L157" s="47"/>
      <c r="M157" s="31">
        <f t="shared" si="12"/>
        <v>0</v>
      </c>
    </row>
    <row r="158" spans="1:14" ht="15" thickBot="1">
      <c r="A158" s="216" t="s">
        <v>47</v>
      </c>
      <c r="B158" s="216"/>
      <c r="C158" s="216"/>
      <c r="D158" s="216"/>
      <c r="E158" s="68"/>
      <c r="F158" s="108"/>
      <c r="G158" s="108"/>
      <c r="H158" s="73">
        <f>H132</f>
        <v>3114300.9585993644</v>
      </c>
      <c r="I158" s="49"/>
      <c r="J158" s="69">
        <f>J132</f>
        <v>14690.098861317756</v>
      </c>
      <c r="K158" s="47"/>
      <c r="L158" s="47"/>
      <c r="M158" s="16"/>
    </row>
    <row r="159" spans="1:14" ht="12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7"/>
      <c r="L159" s="17"/>
      <c r="M159" s="17"/>
    </row>
    <row r="160" spans="1:14" ht="15.6">
      <c r="A160" s="273" t="s">
        <v>68</v>
      </c>
      <c r="B160" s="273"/>
      <c r="C160" s="273"/>
      <c r="D160" s="273"/>
      <c r="E160" s="273"/>
      <c r="F160" s="273"/>
      <c r="G160" s="273"/>
      <c r="H160" s="273"/>
      <c r="I160" s="273"/>
      <c r="J160" s="273"/>
      <c r="K160" s="273"/>
      <c r="L160" s="273"/>
      <c r="M160" s="273"/>
      <c r="N160" s="196"/>
    </row>
    <row r="161" spans="1:14" ht="55.8">
      <c r="A161" s="231" t="s">
        <v>3</v>
      </c>
      <c r="B161" s="231"/>
      <c r="C161" s="231"/>
      <c r="D161" s="231"/>
      <c r="E161" s="9" t="s">
        <v>4</v>
      </c>
      <c r="F161" s="10" t="s">
        <v>0</v>
      </c>
      <c r="G161" s="35" t="s">
        <v>52</v>
      </c>
      <c r="H161" s="35" t="s">
        <v>44</v>
      </c>
      <c r="I161" s="9" t="s">
        <v>63</v>
      </c>
      <c r="J161" s="9" t="s">
        <v>69</v>
      </c>
      <c r="K161" s="9" t="s">
        <v>46</v>
      </c>
      <c r="L161" s="28"/>
      <c r="M161" s="28"/>
    </row>
    <row r="162" spans="1:14">
      <c r="A162" s="252">
        <v>1</v>
      </c>
      <c r="B162" s="253"/>
      <c r="C162" s="253"/>
      <c r="D162" s="253"/>
      <c r="E162" s="26">
        <v>2</v>
      </c>
      <c r="F162" s="12">
        <v>3</v>
      </c>
      <c r="G162" s="26">
        <v>4</v>
      </c>
      <c r="H162" s="26">
        <v>5</v>
      </c>
      <c r="I162" s="27">
        <v>6</v>
      </c>
      <c r="J162" s="36">
        <v>7</v>
      </c>
      <c r="K162" s="37">
        <v>8</v>
      </c>
      <c r="L162" s="153"/>
      <c r="M162" s="28"/>
    </row>
    <row r="163" spans="1:14" ht="32.4" customHeight="1" thickBot="1">
      <c r="A163" s="236" t="s">
        <v>67</v>
      </c>
      <c r="B163" s="236"/>
      <c r="C163" s="236"/>
      <c r="D163" s="236"/>
      <c r="E163" s="38">
        <f>20865999.58/12/55.25</f>
        <v>31472.095897435895</v>
      </c>
      <c r="F163" s="38">
        <f>55.25*0.30416</f>
        <v>16.804839999999999</v>
      </c>
      <c r="G163" s="38">
        <f>(15957574.159+68539.1903)*0.30416</f>
        <v>4874502.6363230878</v>
      </c>
      <c r="H163" s="38">
        <f>G163*1.302</f>
        <v>6346602.4324926604</v>
      </c>
      <c r="I163" s="46">
        <v>212</v>
      </c>
      <c r="J163" s="38">
        <f>H163/I163</f>
        <v>29936.803926852172</v>
      </c>
      <c r="K163" s="63">
        <f>H163/(8696900+23460820)*100</f>
        <v>19.735859484107269</v>
      </c>
      <c r="L163" s="154"/>
      <c r="M163" s="16"/>
      <c r="N163" s="197"/>
    </row>
    <row r="164" spans="1:14" ht="15" hidden="1" thickBot="1">
      <c r="A164" s="262"/>
      <c r="B164" s="263"/>
      <c r="C164" s="263"/>
      <c r="D164" s="263"/>
      <c r="E164" s="38">
        <v>17865.98</v>
      </c>
      <c r="F164" s="64">
        <v>4</v>
      </c>
      <c r="G164" s="46"/>
      <c r="H164" s="39">
        <f>H39</f>
        <v>0</v>
      </c>
      <c r="I164" s="38" t="e">
        <f t="shared" ref="I164:I185" si="13">F164/G164*H164</f>
        <v>#DIV/0!</v>
      </c>
      <c r="J164" s="38">
        <f t="shared" ref="J164:J185" si="14">E164*F164*12*1.302</f>
        <v>1116552.28608</v>
      </c>
      <c r="K164" s="65" t="s">
        <v>38</v>
      </c>
      <c r="L164" s="155"/>
      <c r="M164" s="32" t="e">
        <f t="shared" ref="M164:M188" si="15">I164*J164</f>
        <v>#DIV/0!</v>
      </c>
    </row>
    <row r="165" spans="1:14" ht="15" hidden="1" thickBot="1">
      <c r="A165" s="293"/>
      <c r="B165" s="293"/>
      <c r="C165" s="293"/>
      <c r="D165" s="293"/>
      <c r="E165" s="38">
        <v>9544</v>
      </c>
      <c r="F165" s="64">
        <v>1</v>
      </c>
      <c r="G165" s="46"/>
      <c r="H165" s="39">
        <f>H39</f>
        <v>0</v>
      </c>
      <c r="I165" s="38" t="e">
        <f t="shared" si="13"/>
        <v>#DIV/0!</v>
      </c>
      <c r="J165" s="38">
        <f t="shared" si="14"/>
        <v>149115.45600000001</v>
      </c>
      <c r="K165" s="39">
        <f>H165/11277167.39*100</f>
        <v>0</v>
      </c>
      <c r="L165" s="39"/>
      <c r="M165" s="15" t="e">
        <f t="shared" si="15"/>
        <v>#DIV/0!</v>
      </c>
    </row>
    <row r="166" spans="1:14" ht="15" hidden="1" customHeight="1">
      <c r="A166" s="274"/>
      <c r="B166" s="275"/>
      <c r="C166" s="275"/>
      <c r="D166" s="275"/>
      <c r="E166" s="38">
        <v>11560</v>
      </c>
      <c r="F166" s="64">
        <v>1</v>
      </c>
      <c r="G166" s="46"/>
      <c r="H166" s="39">
        <f>H39</f>
        <v>0</v>
      </c>
      <c r="I166" s="38" t="e">
        <f t="shared" si="13"/>
        <v>#DIV/0!</v>
      </c>
      <c r="J166" s="38">
        <f t="shared" si="14"/>
        <v>180613.44</v>
      </c>
      <c r="K166" s="30"/>
      <c r="L166" s="30"/>
      <c r="M166" s="15" t="e">
        <f t="shared" si="15"/>
        <v>#DIV/0!</v>
      </c>
    </row>
    <row r="167" spans="1:14" ht="15" hidden="1" thickBot="1">
      <c r="A167" s="236"/>
      <c r="B167" s="236"/>
      <c r="C167" s="236"/>
      <c r="D167" s="236"/>
      <c r="E167" s="38">
        <v>9544</v>
      </c>
      <c r="F167" s="66">
        <v>0.5</v>
      </c>
      <c r="G167" s="46"/>
      <c r="H167" s="39">
        <f>H39</f>
        <v>0</v>
      </c>
      <c r="I167" s="38" t="e">
        <f t="shared" si="13"/>
        <v>#DIV/0!</v>
      </c>
      <c r="J167" s="38">
        <f t="shared" si="14"/>
        <v>74557.728000000003</v>
      </c>
      <c r="K167" s="30"/>
      <c r="L167" s="30"/>
      <c r="M167" s="15" t="e">
        <f t="shared" si="15"/>
        <v>#DIV/0!</v>
      </c>
    </row>
    <row r="168" spans="1:14" ht="15" hidden="1" thickBo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H39</f>
        <v>0</v>
      </c>
      <c r="I168" s="38" t="e">
        <f t="shared" si="13"/>
        <v>#DIV/0!</v>
      </c>
      <c r="J168" s="38">
        <f t="shared" si="14"/>
        <v>149115.45600000001</v>
      </c>
      <c r="K168" s="38"/>
      <c r="L168" s="38"/>
      <c r="M168" s="15" t="e">
        <f t="shared" si="15"/>
        <v>#DIV/0!</v>
      </c>
    </row>
    <row r="169" spans="1:14" ht="14.25" hidden="1" customHeight="1">
      <c r="A169" s="236"/>
      <c r="B169" s="236"/>
      <c r="C169" s="236"/>
      <c r="D169" s="236"/>
      <c r="E169" s="38">
        <v>9544</v>
      </c>
      <c r="F169" s="64">
        <v>1</v>
      </c>
      <c r="G169" s="46"/>
      <c r="H169" s="39">
        <f>H39</f>
        <v>0</v>
      </c>
      <c r="I169" s="38" t="e">
        <f t="shared" si="13"/>
        <v>#DIV/0!</v>
      </c>
      <c r="J169" s="38">
        <f t="shared" si="14"/>
        <v>149115.45600000001</v>
      </c>
      <c r="K169" s="47"/>
      <c r="L169" s="47"/>
      <c r="M169" s="15" t="e">
        <f t="shared" si="15"/>
        <v>#DIV/0!</v>
      </c>
    </row>
    <row r="170" spans="1:14" ht="15" hidden="1" thickBot="1">
      <c r="A170" s="212"/>
      <c r="B170" s="213"/>
      <c r="C170" s="213"/>
      <c r="D170" s="213"/>
      <c r="E170" s="38">
        <v>9544</v>
      </c>
      <c r="F170" s="38"/>
      <c r="G170" s="46"/>
      <c r="H170" s="39">
        <f>H39</f>
        <v>0</v>
      </c>
      <c r="I170" s="38" t="e">
        <f t="shared" si="13"/>
        <v>#DIV/0!</v>
      </c>
      <c r="J170" s="38">
        <f t="shared" si="14"/>
        <v>0</v>
      </c>
      <c r="K170" s="47"/>
      <c r="L170" s="47"/>
      <c r="M170" s="15" t="e">
        <f t="shared" si="15"/>
        <v>#DIV/0!</v>
      </c>
    </row>
    <row r="171" spans="1:14" ht="15" hidden="1" thickBot="1">
      <c r="A171" s="212"/>
      <c r="B171" s="213"/>
      <c r="C171" s="213"/>
      <c r="D171" s="213"/>
      <c r="E171" s="38">
        <v>9544</v>
      </c>
      <c r="F171" s="67">
        <v>0.25</v>
      </c>
      <c r="G171" s="46"/>
      <c r="H171" s="39">
        <f>H39</f>
        <v>0</v>
      </c>
      <c r="I171" s="38" t="e">
        <f t="shared" si="13"/>
        <v>#DIV/0!</v>
      </c>
      <c r="J171" s="38">
        <f t="shared" si="14"/>
        <v>37278.864000000001</v>
      </c>
      <c r="K171" s="47"/>
      <c r="L171" s="47"/>
      <c r="M171" s="15" t="e">
        <f t="shared" si="15"/>
        <v>#DIV/0!</v>
      </c>
    </row>
    <row r="172" spans="1:14" ht="15" hidden="1" thickBot="1">
      <c r="A172" s="212"/>
      <c r="B172" s="213"/>
      <c r="C172" s="213"/>
      <c r="D172" s="213"/>
      <c r="E172" s="38">
        <v>9544</v>
      </c>
      <c r="F172" s="38"/>
      <c r="G172" s="46"/>
      <c r="H172" s="39">
        <f>H39</f>
        <v>0</v>
      </c>
      <c r="I172" s="38" t="e">
        <f t="shared" si="13"/>
        <v>#DIV/0!</v>
      </c>
      <c r="J172" s="38">
        <f t="shared" si="14"/>
        <v>0</v>
      </c>
      <c r="K172" s="47"/>
      <c r="L172" s="47"/>
      <c r="M172" s="15" t="e">
        <f t="shared" si="15"/>
        <v>#DIV/0!</v>
      </c>
    </row>
    <row r="173" spans="1:14" ht="15" hidden="1" thickBot="1">
      <c r="A173" s="212"/>
      <c r="B173" s="213"/>
      <c r="C173" s="213"/>
      <c r="D173" s="213"/>
      <c r="E173" s="38">
        <v>9544</v>
      </c>
      <c r="F173" s="66">
        <v>0.5</v>
      </c>
      <c r="G173" s="46"/>
      <c r="H173" s="39">
        <f>H39</f>
        <v>0</v>
      </c>
      <c r="I173" s="38" t="e">
        <f t="shared" si="13"/>
        <v>#DIV/0!</v>
      </c>
      <c r="J173" s="38">
        <f t="shared" si="14"/>
        <v>74557.728000000003</v>
      </c>
      <c r="K173" s="47"/>
      <c r="L173" s="47"/>
      <c r="M173" s="15" t="e">
        <f t="shared" si="15"/>
        <v>#DIV/0!</v>
      </c>
    </row>
    <row r="174" spans="1:14" ht="15.75" hidden="1" customHeight="1">
      <c r="A174" s="212"/>
      <c r="B174" s="213"/>
      <c r="C174" s="213"/>
      <c r="D174" s="213"/>
      <c r="E174" s="38">
        <v>9544</v>
      </c>
      <c r="F174" s="64">
        <v>1</v>
      </c>
      <c r="G174" s="46"/>
      <c r="H174" s="39">
        <f>H39</f>
        <v>0</v>
      </c>
      <c r="I174" s="38" t="e">
        <f t="shared" si="13"/>
        <v>#DIV/0!</v>
      </c>
      <c r="J174" s="38">
        <f t="shared" si="14"/>
        <v>149115.45600000001</v>
      </c>
      <c r="K174" s="47"/>
      <c r="L174" s="47"/>
      <c r="M174" s="15" t="e">
        <f t="shared" si="15"/>
        <v>#DIV/0!</v>
      </c>
    </row>
    <row r="175" spans="1:14" ht="15" hidden="1" customHeight="1">
      <c r="A175" s="236"/>
      <c r="B175" s="236"/>
      <c r="C175" s="236"/>
      <c r="D175" s="236"/>
      <c r="E175" s="38">
        <v>9544</v>
      </c>
      <c r="F175" s="64">
        <v>1</v>
      </c>
      <c r="G175" s="46"/>
      <c r="H175" s="39">
        <f>H39</f>
        <v>0</v>
      </c>
      <c r="I175" s="38" t="e">
        <f t="shared" si="13"/>
        <v>#DIV/0!</v>
      </c>
      <c r="J175" s="38">
        <f t="shared" si="14"/>
        <v>149115.45600000001</v>
      </c>
      <c r="K175" s="47"/>
      <c r="L175" s="47"/>
      <c r="M175" s="15" t="e">
        <f t="shared" si="15"/>
        <v>#DIV/0!</v>
      </c>
    </row>
    <row r="176" spans="1:14" ht="15" hidden="1" customHeight="1" thickBot="1">
      <c r="A176" s="236"/>
      <c r="B176" s="236"/>
      <c r="C176" s="236"/>
      <c r="D176" s="236"/>
      <c r="E176" s="38">
        <v>9544</v>
      </c>
      <c r="F176" s="66">
        <v>5.5</v>
      </c>
      <c r="G176" s="46"/>
      <c r="H176" s="39">
        <f>H39</f>
        <v>0</v>
      </c>
      <c r="I176" s="38" t="e">
        <f t="shared" si="13"/>
        <v>#DIV/0!</v>
      </c>
      <c r="J176" s="38">
        <f t="shared" si="14"/>
        <v>820135.00800000003</v>
      </c>
      <c r="K176" s="47"/>
      <c r="L176" s="47"/>
      <c r="M176" s="15" t="e">
        <f t="shared" si="15"/>
        <v>#DIV/0!</v>
      </c>
    </row>
    <row r="177" spans="1:14" ht="15" hidden="1" customHeight="1">
      <c r="A177" s="236"/>
      <c r="B177" s="236"/>
      <c r="C177" s="236"/>
      <c r="D177" s="236"/>
      <c r="E177" s="38">
        <v>9544</v>
      </c>
      <c r="F177" s="64">
        <v>1</v>
      </c>
      <c r="G177" s="46"/>
      <c r="H177" s="39">
        <f>H39</f>
        <v>0</v>
      </c>
      <c r="I177" s="38" t="e">
        <f t="shared" si="13"/>
        <v>#DIV/0!</v>
      </c>
      <c r="J177" s="38">
        <f t="shared" si="14"/>
        <v>149115.45600000001</v>
      </c>
      <c r="K177" s="47"/>
      <c r="L177" s="47"/>
      <c r="M177" s="15" t="e">
        <f t="shared" si="15"/>
        <v>#DIV/0!</v>
      </c>
    </row>
    <row r="178" spans="1:14" ht="15" hidden="1" customHeigh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H39</f>
        <v>0</v>
      </c>
      <c r="I178" s="38" t="e">
        <f t="shared" si="13"/>
        <v>#DIV/0!</v>
      </c>
      <c r="J178" s="38">
        <f t="shared" si="14"/>
        <v>74557.728000000003</v>
      </c>
      <c r="K178" s="47"/>
      <c r="L178" s="47"/>
      <c r="M178" s="15" t="e">
        <f t="shared" si="15"/>
        <v>#DIV/0!</v>
      </c>
    </row>
    <row r="179" spans="1:14" ht="15" hidden="1" customHeight="1">
      <c r="A179" s="236"/>
      <c r="B179" s="236"/>
      <c r="C179" s="236"/>
      <c r="D179" s="236"/>
      <c r="E179" s="38">
        <v>9544</v>
      </c>
      <c r="F179" s="66">
        <v>0.5</v>
      </c>
      <c r="G179" s="46"/>
      <c r="H179" s="39">
        <f>H39</f>
        <v>0</v>
      </c>
      <c r="I179" s="38" t="e">
        <f t="shared" si="13"/>
        <v>#DIV/0!</v>
      </c>
      <c r="J179" s="38">
        <f t="shared" si="14"/>
        <v>74557.728000000003</v>
      </c>
      <c r="K179" s="47"/>
      <c r="L179" s="47"/>
      <c r="M179" s="15" t="e">
        <f t="shared" si="15"/>
        <v>#DIV/0!</v>
      </c>
    </row>
    <row r="180" spans="1:14" ht="15" hidden="1" thickBot="1">
      <c r="A180" s="236"/>
      <c r="B180" s="236"/>
      <c r="C180" s="236"/>
      <c r="D180" s="236"/>
      <c r="E180" s="38">
        <v>9544</v>
      </c>
      <c r="F180" s="64">
        <v>1</v>
      </c>
      <c r="G180" s="46"/>
      <c r="H180" s="39">
        <f>H39</f>
        <v>0</v>
      </c>
      <c r="I180" s="38" t="e">
        <f t="shared" si="13"/>
        <v>#DIV/0!</v>
      </c>
      <c r="J180" s="38">
        <f t="shared" si="14"/>
        <v>149115.45600000001</v>
      </c>
      <c r="K180" s="47"/>
      <c r="L180" s="47"/>
      <c r="M180" s="15" t="e">
        <f t="shared" si="15"/>
        <v>#DIV/0!</v>
      </c>
    </row>
    <row r="181" spans="1:14" ht="15.75" hidden="1" customHeight="1">
      <c r="A181" s="236"/>
      <c r="B181" s="236"/>
      <c r="C181" s="236"/>
      <c r="D181" s="236"/>
      <c r="E181" s="38">
        <v>9544</v>
      </c>
      <c r="F181" s="64">
        <v>4</v>
      </c>
      <c r="G181" s="46"/>
      <c r="H181" s="39">
        <f>H39</f>
        <v>0</v>
      </c>
      <c r="I181" s="38" t="e">
        <f t="shared" si="13"/>
        <v>#DIV/0!</v>
      </c>
      <c r="J181" s="38">
        <f t="shared" si="14"/>
        <v>596461.82400000002</v>
      </c>
      <c r="K181" s="47"/>
      <c r="L181" s="47"/>
      <c r="M181" s="15" t="e">
        <f t="shared" si="15"/>
        <v>#DIV/0!</v>
      </c>
    </row>
    <row r="182" spans="1:14" ht="16.5" hidden="1" customHeight="1">
      <c r="A182" s="212"/>
      <c r="B182" s="213"/>
      <c r="C182" s="213"/>
      <c r="D182" s="213"/>
      <c r="E182" s="38">
        <v>9544</v>
      </c>
      <c r="F182" s="64">
        <v>1</v>
      </c>
      <c r="G182" s="46"/>
      <c r="H182" s="39">
        <f>H39</f>
        <v>0</v>
      </c>
      <c r="I182" s="38" t="e">
        <f t="shared" si="13"/>
        <v>#DIV/0!</v>
      </c>
      <c r="J182" s="38">
        <f t="shared" si="14"/>
        <v>149115.45600000001</v>
      </c>
      <c r="K182" s="47"/>
      <c r="L182" s="47"/>
      <c r="M182" s="15" t="e">
        <f t="shared" si="15"/>
        <v>#DIV/0!</v>
      </c>
    </row>
    <row r="183" spans="1:14" ht="16.5" hidden="1" customHeight="1" thickBot="1">
      <c r="A183" s="212"/>
      <c r="B183" s="213"/>
      <c r="C183" s="213"/>
      <c r="D183" s="213"/>
      <c r="E183" s="38">
        <v>9544</v>
      </c>
      <c r="F183" s="67">
        <v>1.75</v>
      </c>
      <c r="G183" s="46"/>
      <c r="H183" s="39">
        <f>H39</f>
        <v>0</v>
      </c>
      <c r="I183" s="38" t="e">
        <f t="shared" si="13"/>
        <v>#DIV/0!</v>
      </c>
      <c r="J183" s="38">
        <f t="shared" si="14"/>
        <v>260952.04800000001</v>
      </c>
      <c r="K183" s="47"/>
      <c r="L183" s="47"/>
      <c r="M183" s="15" t="e">
        <f t="shared" si="15"/>
        <v>#DIV/0!</v>
      </c>
    </row>
    <row r="184" spans="1:14" ht="16.5" hidden="1" customHeight="1" thickBot="1">
      <c r="A184" s="212"/>
      <c r="B184" s="213"/>
      <c r="C184" s="213"/>
      <c r="D184" s="213"/>
      <c r="E184" s="38">
        <v>9544</v>
      </c>
      <c r="F184" s="39"/>
      <c r="G184" s="46"/>
      <c r="H184" s="39">
        <f>H39</f>
        <v>0</v>
      </c>
      <c r="I184" s="38" t="e">
        <f t="shared" si="13"/>
        <v>#DIV/0!</v>
      </c>
      <c r="J184" s="38">
        <f t="shared" si="14"/>
        <v>0</v>
      </c>
      <c r="K184" s="47"/>
      <c r="L184" s="47"/>
      <c r="M184" s="15" t="e">
        <f t="shared" si="15"/>
        <v>#DIV/0!</v>
      </c>
    </row>
    <row r="185" spans="1:14" ht="16.5" hidden="1" customHeight="1" thickBot="1">
      <c r="A185" s="212"/>
      <c r="B185" s="213"/>
      <c r="C185" s="213"/>
      <c r="D185" s="213"/>
      <c r="E185" s="38">
        <v>9544</v>
      </c>
      <c r="F185" s="66">
        <v>0.5</v>
      </c>
      <c r="G185" s="46"/>
      <c r="H185" s="39">
        <f>H39</f>
        <v>0</v>
      </c>
      <c r="I185" s="38" t="e">
        <f t="shared" si="13"/>
        <v>#DIV/0!</v>
      </c>
      <c r="J185" s="38">
        <f t="shared" si="14"/>
        <v>74557.728000000003</v>
      </c>
      <c r="K185" s="47"/>
      <c r="L185" s="47"/>
      <c r="M185" s="15" t="e">
        <f t="shared" si="15"/>
        <v>#DIV/0!</v>
      </c>
    </row>
    <row r="186" spans="1:14" ht="15" hidden="1" customHeigh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5"/>
        <v>0</v>
      </c>
    </row>
    <row r="187" spans="1:14" ht="15.7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38"/>
      <c r="J187" s="38"/>
      <c r="K187" s="47"/>
      <c r="L187" s="47"/>
      <c r="M187" s="15">
        <f t="shared" si="15"/>
        <v>0</v>
      </c>
    </row>
    <row r="188" spans="1:14" ht="14.25" hidden="1" customHeight="1" thickBot="1">
      <c r="A188" s="212"/>
      <c r="B188" s="213"/>
      <c r="C188" s="213"/>
      <c r="D188" s="213"/>
      <c r="E188" s="38"/>
      <c r="F188" s="38"/>
      <c r="G188" s="38"/>
      <c r="H188" s="38"/>
      <c r="I188" s="46">
        <v>105</v>
      </c>
      <c r="J188" s="48">
        <f>H188/I188</f>
        <v>0</v>
      </c>
      <c r="K188" s="47"/>
      <c r="L188" s="47"/>
      <c r="M188" s="31">
        <f t="shared" si="15"/>
        <v>0</v>
      </c>
    </row>
    <row r="189" spans="1:14" ht="15" thickBot="1">
      <c r="A189" s="216" t="s">
        <v>47</v>
      </c>
      <c r="B189" s="216"/>
      <c r="C189" s="216"/>
      <c r="D189" s="216"/>
      <c r="E189" s="68"/>
      <c r="F189" s="108"/>
      <c r="G189" s="108"/>
      <c r="H189" s="73">
        <f>H163</f>
        <v>6346602.4324926604</v>
      </c>
      <c r="I189" s="49"/>
      <c r="J189" s="69">
        <f>J163</f>
        <v>29936.803926852172</v>
      </c>
      <c r="K189" s="47"/>
      <c r="L189" s="47"/>
      <c r="M189" s="16"/>
    </row>
    <row r="190" spans="1:14">
      <c r="A190" s="11"/>
      <c r="B190" s="11"/>
      <c r="C190" s="11"/>
      <c r="D190" s="11"/>
      <c r="E190" s="11"/>
      <c r="F190" s="11"/>
      <c r="G190" s="11"/>
      <c r="H190" s="13"/>
      <c r="I190" s="13"/>
      <c r="J190" s="13"/>
      <c r="K190" s="11"/>
      <c r="L190" s="11"/>
      <c r="M190" s="11"/>
    </row>
    <row r="191" spans="1:14">
      <c r="A191" s="208" t="s">
        <v>61</v>
      </c>
      <c r="B191" s="208"/>
      <c r="C191" s="208"/>
      <c r="D191" s="208"/>
      <c r="E191" s="208"/>
      <c r="F191" s="208"/>
      <c r="G191" s="208"/>
      <c r="H191" s="208"/>
      <c r="I191" s="208"/>
      <c r="J191" s="208"/>
      <c r="K191" s="208"/>
      <c r="L191" s="148"/>
      <c r="M191" s="11"/>
    </row>
    <row r="192" spans="1:14" ht="55.8">
      <c r="A192" s="214" t="s">
        <v>62</v>
      </c>
      <c r="B192" s="215"/>
      <c r="C192" s="215"/>
      <c r="D192" s="284"/>
      <c r="E192" s="107" t="s">
        <v>7</v>
      </c>
      <c r="F192" s="107" t="s">
        <v>55</v>
      </c>
      <c r="G192" s="107" t="s">
        <v>42</v>
      </c>
      <c r="H192" s="107" t="s">
        <v>48</v>
      </c>
      <c r="I192" s="9" t="s">
        <v>63</v>
      </c>
      <c r="J192" s="9" t="s">
        <v>69</v>
      </c>
      <c r="K192" s="199"/>
      <c r="L192" s="28"/>
      <c r="M192" s="11"/>
      <c r="N192" s="196"/>
    </row>
    <row r="193" spans="1:17" ht="36.75" customHeight="1">
      <c r="A193" s="212" t="s">
        <v>133</v>
      </c>
      <c r="B193" s="213"/>
      <c r="C193" s="213"/>
      <c r="D193" s="219"/>
      <c r="E193" s="107"/>
      <c r="F193" s="107"/>
      <c r="G193" s="107"/>
      <c r="H193" s="100">
        <f>632128.1*0.30416</f>
        <v>192268.08289599998</v>
      </c>
      <c r="I193" s="46">
        <v>212</v>
      </c>
      <c r="J193" s="104">
        <f>H193/I193</f>
        <v>906.92491932075461</v>
      </c>
      <c r="K193" s="40"/>
      <c r="L193" s="28"/>
      <c r="M193" s="11"/>
    </row>
    <row r="194" spans="1:17" ht="34.5" customHeight="1" thickBot="1">
      <c r="A194" s="212" t="s">
        <v>134</v>
      </c>
      <c r="B194" s="213"/>
      <c r="C194" s="213"/>
      <c r="D194" s="219"/>
      <c r="E194" s="107"/>
      <c r="F194" s="107"/>
      <c r="G194" s="107"/>
      <c r="H194" s="100">
        <f>214539.18*0.30416</f>
        <v>65254.236988799996</v>
      </c>
      <c r="I194" s="46">
        <v>212</v>
      </c>
      <c r="J194" s="104">
        <f>H194/I194</f>
        <v>307.80300466415093</v>
      </c>
      <c r="K194" s="40"/>
      <c r="L194" s="28"/>
      <c r="M194" s="11"/>
    </row>
    <row r="195" spans="1:17" ht="15" thickBot="1">
      <c r="A195" s="285" t="s">
        <v>57</v>
      </c>
      <c r="B195" s="286"/>
      <c r="C195" s="286"/>
      <c r="D195" s="286"/>
      <c r="E195" s="286"/>
      <c r="F195" s="286"/>
      <c r="G195" s="287"/>
      <c r="H195" s="62">
        <f>H194+H193</f>
        <v>257522.31988479997</v>
      </c>
      <c r="I195" s="58"/>
      <c r="J195" s="33">
        <f>SUM(J193:J194)</f>
        <v>1214.7279239849056</v>
      </c>
      <c r="K195" s="50"/>
      <c r="L195" s="11"/>
      <c r="M195" s="11"/>
    </row>
    <row r="196" spans="1:17" ht="6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7" ht="55.8">
      <c r="A197" s="214" t="s">
        <v>62</v>
      </c>
      <c r="B197" s="215"/>
      <c r="C197" s="215"/>
      <c r="D197" s="284"/>
      <c r="E197" s="107" t="s">
        <v>135</v>
      </c>
      <c r="F197" s="107" t="s">
        <v>55</v>
      </c>
      <c r="G197" s="107" t="s">
        <v>42</v>
      </c>
      <c r="H197" s="107" t="s">
        <v>48</v>
      </c>
      <c r="I197" s="9" t="s">
        <v>63</v>
      </c>
      <c r="J197" s="9" t="s">
        <v>69</v>
      </c>
      <c r="K197" s="40"/>
      <c r="L197" s="28"/>
      <c r="M197" s="11"/>
    </row>
    <row r="198" spans="1:17">
      <c r="A198" s="212" t="s">
        <v>187</v>
      </c>
      <c r="B198" s="213"/>
      <c r="C198" s="213"/>
      <c r="D198" s="219"/>
      <c r="E198" s="107">
        <v>120</v>
      </c>
      <c r="F198" s="107"/>
      <c r="G198" s="107"/>
      <c r="H198" s="100">
        <f>156649.69*0.30416</f>
        <v>47646.569710399999</v>
      </c>
      <c r="I198" s="46">
        <v>212</v>
      </c>
      <c r="J198" s="104">
        <f>H198/I198</f>
        <v>224.74797033207545</v>
      </c>
      <c r="K198" s="40"/>
      <c r="L198" s="28"/>
      <c r="M198" s="11"/>
    </row>
    <row r="199" spans="1:17" ht="15" thickBot="1">
      <c r="A199" s="212" t="s">
        <v>186</v>
      </c>
      <c r="B199" s="213"/>
      <c r="C199" s="213"/>
      <c r="D199" s="219"/>
      <c r="E199" s="107">
        <v>640</v>
      </c>
      <c r="F199" s="107"/>
      <c r="G199" s="107"/>
      <c r="H199" s="100">
        <f>74369.3*0.30416</f>
        <v>22620.166288</v>
      </c>
      <c r="I199" s="46">
        <v>212</v>
      </c>
      <c r="J199" s="104">
        <f t="shared" ref="J199:J200" si="16">H199/I199</f>
        <v>106.69889758490567</v>
      </c>
      <c r="K199" s="40"/>
      <c r="L199" s="28"/>
      <c r="M199" s="11"/>
    </row>
    <row r="200" spans="1:17" ht="18" customHeight="1" thickBot="1">
      <c r="A200" s="212" t="s">
        <v>83</v>
      </c>
      <c r="B200" s="213"/>
      <c r="C200" s="213"/>
      <c r="D200" s="219"/>
      <c r="E200" s="107">
        <v>200</v>
      </c>
      <c r="F200" s="107"/>
      <c r="G200" s="107"/>
      <c r="H200" s="100">
        <f>32266.2*0.30416</f>
        <v>9814.0873919999995</v>
      </c>
      <c r="I200" s="46">
        <v>212</v>
      </c>
      <c r="J200" s="104">
        <f t="shared" si="16"/>
        <v>46.292865056603773</v>
      </c>
      <c r="K200" s="40"/>
      <c r="L200" s="28"/>
      <c r="M200" s="11"/>
      <c r="Q200" s="101"/>
    </row>
    <row r="201" spans="1:17" ht="15" thickBot="1">
      <c r="A201" s="285" t="s">
        <v>57</v>
      </c>
      <c r="B201" s="286"/>
      <c r="C201" s="286"/>
      <c r="D201" s="286"/>
      <c r="E201" s="286"/>
      <c r="F201" s="286"/>
      <c r="G201" s="287"/>
      <c r="H201" s="62">
        <f>SUM(H198:H200)</f>
        <v>80080.823390399994</v>
      </c>
      <c r="I201" s="58"/>
      <c r="J201" s="33">
        <f>SUM(J198:J200)</f>
        <v>377.73973297358486</v>
      </c>
      <c r="K201" s="11"/>
      <c r="L201" s="11"/>
      <c r="M201" s="11"/>
    </row>
    <row r="202" spans="1:17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7">
      <c r="A203" s="230" t="s">
        <v>29</v>
      </c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</row>
    <row r="204" spans="1:17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7" ht="47.25" customHeight="1">
      <c r="A205" s="290" t="s">
        <v>30</v>
      </c>
      <c r="B205" s="291"/>
      <c r="C205" s="292"/>
      <c r="D205" s="214" t="s">
        <v>31</v>
      </c>
      <c r="E205" s="288"/>
      <c r="F205" s="288"/>
      <c r="G205" s="288"/>
      <c r="H205" s="288"/>
      <c r="I205" s="288"/>
      <c r="J205" s="289"/>
      <c r="K205" s="282" t="s">
        <v>35</v>
      </c>
      <c r="L205" s="156"/>
    </row>
    <row r="206" spans="1:17" ht="24" customHeight="1">
      <c r="A206" s="10" t="s">
        <v>32</v>
      </c>
      <c r="B206" s="125" t="s">
        <v>33</v>
      </c>
      <c r="C206" s="10" t="s">
        <v>34</v>
      </c>
      <c r="D206" s="9" t="s">
        <v>141</v>
      </c>
      <c r="E206" s="9" t="s">
        <v>142</v>
      </c>
      <c r="F206" s="9" t="s">
        <v>143</v>
      </c>
      <c r="G206" s="9" t="s">
        <v>144</v>
      </c>
      <c r="H206" s="9" t="s">
        <v>145</v>
      </c>
      <c r="I206" s="35" t="s">
        <v>146</v>
      </c>
      <c r="J206" s="120" t="s">
        <v>144</v>
      </c>
      <c r="K206" s="283"/>
      <c r="L206" s="156"/>
    </row>
    <row r="207" spans="1:17">
      <c r="A207" s="15">
        <f>J158</f>
        <v>14690.098861317756</v>
      </c>
      <c r="B207" s="15"/>
      <c r="C207" s="15"/>
      <c r="D207" s="15">
        <f>J72</f>
        <v>140.0379325735849</v>
      </c>
      <c r="E207" s="15">
        <f>J81</f>
        <v>3735.7689017509429</v>
      </c>
      <c r="F207" s="15">
        <f>I96</f>
        <v>732.84452436981121</v>
      </c>
      <c r="G207" s="15">
        <f>I115</f>
        <v>1137.0517153509431</v>
      </c>
      <c r="H207" s="15">
        <f>H127</f>
        <v>1938.8227694566037</v>
      </c>
      <c r="I207" s="106">
        <f>J189</f>
        <v>29936.803926852172</v>
      </c>
      <c r="J207" s="105">
        <f>J195+J201</f>
        <v>1592.4676569584904</v>
      </c>
      <c r="K207" s="105">
        <f>SUM(D207:J207)+A207</f>
        <v>53903.896288630305</v>
      </c>
      <c r="L207" s="157"/>
    </row>
    <row r="208" spans="1:17" ht="15" thickBo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ht="15" thickBot="1">
      <c r="A209" s="14" t="s">
        <v>64</v>
      </c>
      <c r="B209" s="14"/>
      <c r="C209" s="14"/>
      <c r="D209" s="11"/>
      <c r="E209" s="11"/>
      <c r="F209" s="11"/>
      <c r="G209" s="11"/>
      <c r="H209" s="11"/>
      <c r="I209" s="11"/>
      <c r="J209" s="72">
        <f>H72+H81+G96+G115+F127+H158+H189+H195+H201</f>
        <v>12070814.346810425</v>
      </c>
      <c r="K209" s="11"/>
      <c r="L209" s="11"/>
      <c r="M209" s="11"/>
    </row>
    <row r="210" spans="1:13" ht="26.2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84"/>
      <c r="K210" s="11"/>
      <c r="L210" s="11"/>
      <c r="M210" s="11"/>
    </row>
    <row r="211" spans="1:13" ht="17.25" customHeight="1">
      <c r="A211" s="3" t="s">
        <v>136</v>
      </c>
      <c r="B211" s="3"/>
      <c r="C211" s="3"/>
      <c r="I211" s="3" t="s">
        <v>137</v>
      </c>
      <c r="K211" s="196"/>
    </row>
    <row r="212" spans="1:13" ht="9.75" customHeight="1"/>
    <row r="213" spans="1:13" ht="15.6">
      <c r="A213" s="118" t="s">
        <v>43</v>
      </c>
      <c r="B213" s="7"/>
      <c r="J213" s="198"/>
      <c r="M213" s="196"/>
    </row>
    <row r="214" spans="1:13" ht="15.6">
      <c r="A214" s="118" t="s">
        <v>196</v>
      </c>
      <c r="B214" s="7"/>
    </row>
    <row r="215" spans="1:13" ht="15.6">
      <c r="A215" s="118" t="s">
        <v>85</v>
      </c>
      <c r="C215" s="7"/>
    </row>
    <row r="216" spans="1:13" ht="15.6">
      <c r="A216" s="2"/>
      <c r="B216" s="2"/>
      <c r="C216" s="2"/>
    </row>
    <row r="219" spans="1:13">
      <c r="K219" s="198">
        <f>J210-K217</f>
        <v>0</v>
      </c>
    </row>
  </sheetData>
  <mergeCells count="213">
    <mergeCell ref="A110:D110"/>
    <mergeCell ref="A111:D111"/>
    <mergeCell ref="A112:D112"/>
    <mergeCell ref="A103:D103"/>
    <mergeCell ref="A104:D104"/>
    <mergeCell ref="A109:D109"/>
    <mergeCell ref="A105:D105"/>
    <mergeCell ref="A108:D108"/>
    <mergeCell ref="A119:D119"/>
    <mergeCell ref="A205:C205"/>
    <mergeCell ref="A174:D174"/>
    <mergeCell ref="A175:D175"/>
    <mergeCell ref="A176:D176"/>
    <mergeCell ref="A121:D121"/>
    <mergeCell ref="A122:D122"/>
    <mergeCell ref="A120:D120"/>
    <mergeCell ref="A124:D124"/>
    <mergeCell ref="A125:D125"/>
    <mergeCell ref="A123:D123"/>
    <mergeCell ref="A165:D165"/>
    <mergeCell ref="A166:D166"/>
    <mergeCell ref="A157:D157"/>
    <mergeCell ref="A167:D167"/>
    <mergeCell ref="A133:D133"/>
    <mergeCell ref="A138:D138"/>
    <mergeCell ref="A134:D134"/>
    <mergeCell ref="A135:D135"/>
    <mergeCell ref="A136:D136"/>
    <mergeCell ref="A148:D148"/>
    <mergeCell ref="A149:D149"/>
    <mergeCell ref="A160:M160"/>
    <mergeCell ref="A150:D150"/>
    <mergeCell ref="A151:D151"/>
    <mergeCell ref="A89:D89"/>
    <mergeCell ref="K205:K206"/>
    <mergeCell ref="A192:D192"/>
    <mergeCell ref="A193:D193"/>
    <mergeCell ref="A195:G195"/>
    <mergeCell ref="A197:D197"/>
    <mergeCell ref="A198:D198"/>
    <mergeCell ref="A199:D199"/>
    <mergeCell ref="A200:D200"/>
    <mergeCell ref="A201:G201"/>
    <mergeCell ref="A203:M203"/>
    <mergeCell ref="A194:D194"/>
    <mergeCell ref="D205:J205"/>
    <mergeCell ref="A147:D147"/>
    <mergeCell ref="A137:D137"/>
    <mergeCell ref="A177:D177"/>
    <mergeCell ref="A178:D178"/>
    <mergeCell ref="A179:D179"/>
    <mergeCell ref="A180:D180"/>
    <mergeCell ref="A181:D181"/>
    <mergeCell ref="A168:D168"/>
    <mergeCell ref="A169:D169"/>
    <mergeCell ref="A170:D170"/>
    <mergeCell ref="A139:D139"/>
    <mergeCell ref="A152:D152"/>
    <mergeCell ref="A153:D153"/>
    <mergeCell ref="A154:D154"/>
    <mergeCell ref="A155:D155"/>
    <mergeCell ref="A156:D156"/>
    <mergeCell ref="A140:D140"/>
    <mergeCell ref="A141:D141"/>
    <mergeCell ref="A144:D144"/>
    <mergeCell ref="A145:D145"/>
    <mergeCell ref="A146:D146"/>
    <mergeCell ref="G31:K31"/>
    <mergeCell ref="A32:E32"/>
    <mergeCell ref="G32:K32"/>
    <mergeCell ref="A33:E33"/>
    <mergeCell ref="G33:K33"/>
    <mergeCell ref="A126:D126"/>
    <mergeCell ref="A127:D127"/>
    <mergeCell ref="A129:M129"/>
    <mergeCell ref="A130:D130"/>
    <mergeCell ref="A95:D95"/>
    <mergeCell ref="A98:M98"/>
    <mergeCell ref="A42:M42"/>
    <mergeCell ref="A44:D44"/>
    <mergeCell ref="A45:D45"/>
    <mergeCell ref="A41:D41"/>
    <mergeCell ref="G41:M41"/>
    <mergeCell ref="A69:D69"/>
    <mergeCell ref="A70:D70"/>
    <mergeCell ref="A71:D71"/>
    <mergeCell ref="A72:D72"/>
    <mergeCell ref="A84:D84"/>
    <mergeCell ref="A90:D90"/>
    <mergeCell ref="A91:D91"/>
    <mergeCell ref="A94:D94"/>
    <mergeCell ref="A171:D171"/>
    <mergeCell ref="A172:D172"/>
    <mergeCell ref="A173:D173"/>
    <mergeCell ref="A158:D158"/>
    <mergeCell ref="A161:D161"/>
    <mergeCell ref="A162:D162"/>
    <mergeCell ref="A163:D163"/>
    <mergeCell ref="A164:D164"/>
    <mergeCell ref="A31:E31"/>
    <mergeCell ref="A35:E35"/>
    <mergeCell ref="A36:E36"/>
    <mergeCell ref="A37:E37"/>
    <mergeCell ref="A38:E38"/>
    <mergeCell ref="A39:E39"/>
    <mergeCell ref="A64:D64"/>
    <mergeCell ref="A65:K65"/>
    <mergeCell ref="A74:M74"/>
    <mergeCell ref="A75:D75"/>
    <mergeCell ref="A76:D76"/>
    <mergeCell ref="A58:D58"/>
    <mergeCell ref="A59:D59"/>
    <mergeCell ref="A60:D60"/>
    <mergeCell ref="A61:D61"/>
    <mergeCell ref="A62:D62"/>
    <mergeCell ref="A131:D131"/>
    <mergeCell ref="A132:D132"/>
    <mergeCell ref="A142:D142"/>
    <mergeCell ref="A143:D143"/>
    <mergeCell ref="A34:E34"/>
    <mergeCell ref="A2:D2"/>
    <mergeCell ref="E2:G2"/>
    <mergeCell ref="A3:B3"/>
    <mergeCell ref="A4:C4"/>
    <mergeCell ref="E4:F4"/>
    <mergeCell ref="A29:E29"/>
    <mergeCell ref="G29:K29"/>
    <mergeCell ref="A30:E30"/>
    <mergeCell ref="G30:K30"/>
    <mergeCell ref="G25:K25"/>
    <mergeCell ref="A26:E26"/>
    <mergeCell ref="G26:K26"/>
    <mergeCell ref="A27:E27"/>
    <mergeCell ref="G27:K27"/>
    <mergeCell ref="A28:E28"/>
    <mergeCell ref="G28:K28"/>
    <mergeCell ref="A16:E16"/>
    <mergeCell ref="G16:K16"/>
    <mergeCell ref="A17:E17"/>
    <mergeCell ref="G17:K17"/>
    <mergeCell ref="A18:E18"/>
    <mergeCell ref="G18:K18"/>
    <mergeCell ref="A19:E19"/>
    <mergeCell ref="G19:K19"/>
    <mergeCell ref="A12:M12"/>
    <mergeCell ref="H4:K4"/>
    <mergeCell ref="A21:E21"/>
    <mergeCell ref="G21:K21"/>
    <mergeCell ref="A22:E22"/>
    <mergeCell ref="G22:K22"/>
    <mergeCell ref="A23:E23"/>
    <mergeCell ref="G23:K23"/>
    <mergeCell ref="A24:E24"/>
    <mergeCell ref="G24:K24"/>
    <mergeCell ref="A20:E20"/>
    <mergeCell ref="G20:K20"/>
    <mergeCell ref="A117:M117"/>
    <mergeCell ref="A83:M83"/>
    <mergeCell ref="A25:E25"/>
    <mergeCell ref="G40:K40"/>
    <mergeCell ref="A85:D85"/>
    <mergeCell ref="A86:D86"/>
    <mergeCell ref="A87:D87"/>
    <mergeCell ref="A88:D88"/>
    <mergeCell ref="A92:D92"/>
    <mergeCell ref="A40:E40"/>
    <mergeCell ref="A52:D52"/>
    <mergeCell ref="A53:D53"/>
    <mergeCell ref="A54:D54"/>
    <mergeCell ref="A55:D55"/>
    <mergeCell ref="A56:D56"/>
    <mergeCell ref="A57:D57"/>
    <mergeCell ref="A78:D78"/>
    <mergeCell ref="A79:D79"/>
    <mergeCell ref="A80:D80"/>
    <mergeCell ref="A81:D81"/>
    <mergeCell ref="G36:K36"/>
    <mergeCell ref="G37:K37"/>
    <mergeCell ref="G38:K38"/>
    <mergeCell ref="G39:K39"/>
    <mergeCell ref="A49:D49"/>
    <mergeCell ref="A50:D50"/>
    <mergeCell ref="A51:D51"/>
    <mergeCell ref="A67:M67"/>
    <mergeCell ref="A68:D68"/>
    <mergeCell ref="A63:D63"/>
    <mergeCell ref="A46:D46"/>
    <mergeCell ref="A47:D47"/>
    <mergeCell ref="A48:D48"/>
    <mergeCell ref="A191:K191"/>
    <mergeCell ref="A7:M7"/>
    <mergeCell ref="A8:M8"/>
    <mergeCell ref="A100:D100"/>
    <mergeCell ref="A101:D101"/>
    <mergeCell ref="A102:D102"/>
    <mergeCell ref="A106:D106"/>
    <mergeCell ref="A99:D99"/>
    <mergeCell ref="A188:D188"/>
    <mergeCell ref="A189:D189"/>
    <mergeCell ref="A182:D182"/>
    <mergeCell ref="A183:D183"/>
    <mergeCell ref="A184:D184"/>
    <mergeCell ref="A185:D185"/>
    <mergeCell ref="A186:D186"/>
    <mergeCell ref="A187:D187"/>
    <mergeCell ref="A115:D115"/>
    <mergeCell ref="A107:D107"/>
    <mergeCell ref="A113:D113"/>
    <mergeCell ref="A114:D114"/>
    <mergeCell ref="A118:D118"/>
    <mergeCell ref="G34:K34"/>
    <mergeCell ref="G35:K35"/>
    <mergeCell ref="A77:D77"/>
  </mergeCells>
  <pageMargins left="0.70866141732283472" right="0.70866141732283472" top="0.55118110236220474" bottom="0.59055118110236227" header="0.15748031496062992" footer="0.15748031496062992"/>
  <pageSetup paperSize="9" scale="6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F215"/>
  <sheetViews>
    <sheetView topLeftCell="A200" zoomScale="70" zoomScaleNormal="70" workbookViewId="0">
      <selection activeCell="K71" sqref="K71"/>
    </sheetView>
  </sheetViews>
  <sheetFormatPr defaultRowHeight="14.4"/>
  <cols>
    <col min="1" max="1" width="9.109375" customWidth="1"/>
    <col min="2" max="3" width="5.6640625" customWidth="1"/>
    <col min="4" max="4" width="15.5546875" customWidth="1"/>
    <col min="5" max="5" width="13" customWidth="1"/>
    <col min="6" max="6" width="10.77734375" customWidth="1"/>
    <col min="7" max="7" width="11.6640625" customWidth="1"/>
    <col min="8" max="8" width="16" customWidth="1"/>
    <col min="9" max="9" width="15.109375" customWidth="1"/>
    <col min="10" max="10" width="13.88671875" customWidth="1"/>
    <col min="11" max="11" width="12.5546875" customWidth="1"/>
    <col min="12" max="12" width="10.33203125" hidden="1" customWidth="1"/>
    <col min="13" max="13" width="11.109375" customWidth="1"/>
    <col min="14" max="14" width="18.21875" customWidth="1"/>
    <col min="17" max="17" width="15.6640625" customWidth="1"/>
  </cols>
  <sheetData>
    <row r="1" spans="1:13" hidden="1"/>
    <row r="2" spans="1:13" ht="15.6" hidden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96"/>
      <c r="F3" s="43"/>
      <c r="G3" s="43"/>
    </row>
    <row r="4" spans="1:13" ht="39" customHeight="1">
      <c r="A4" s="4"/>
      <c r="B4" s="4"/>
      <c r="C4" s="4"/>
      <c r="D4" s="95"/>
      <c r="E4" s="4"/>
      <c r="F4" s="4"/>
      <c r="G4" s="95"/>
    </row>
    <row r="5" spans="1:13">
      <c r="A5" s="97"/>
      <c r="B5" s="97"/>
      <c r="C5" s="97"/>
      <c r="D5" s="97"/>
      <c r="E5" s="97"/>
      <c r="F5" s="97"/>
      <c r="G5" s="97"/>
    </row>
    <row r="6" spans="1:13" ht="15.6">
      <c r="A6" s="209" t="s">
        <v>138</v>
      </c>
      <c r="B6" s="210"/>
      <c r="C6" s="210"/>
      <c r="D6" s="210"/>
      <c r="E6" s="210"/>
      <c r="F6" s="210"/>
      <c r="G6" s="211"/>
      <c r="H6" s="211"/>
      <c r="I6" s="211"/>
      <c r="J6" s="211"/>
      <c r="K6" s="211"/>
      <c r="L6" s="211"/>
      <c r="M6" s="211"/>
    </row>
    <row r="7" spans="1:13" ht="15.6">
      <c r="A7" s="209" t="s">
        <v>139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9" spans="1:13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15.6">
      <c r="A10" s="8" t="s">
        <v>173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 ht="17.25" customHeight="1">
      <c r="A11" s="249" t="s">
        <v>86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</row>
    <row r="12" spans="1:13" ht="15.6">
      <c r="A12" s="8" t="s">
        <v>58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15.6">
      <c r="A13" s="8" t="s">
        <v>111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110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51.75" customHeight="1">
      <c r="A15" s="261" t="s">
        <v>66</v>
      </c>
      <c r="B15" s="261"/>
      <c r="C15" s="261"/>
      <c r="D15" s="261"/>
      <c r="E15" s="261"/>
      <c r="F15" s="9" t="s">
        <v>65</v>
      </c>
      <c r="G15" s="261" t="s">
        <v>67</v>
      </c>
      <c r="H15" s="261"/>
      <c r="I15" s="261"/>
      <c r="J15" s="261"/>
      <c r="K15" s="261"/>
      <c r="L15" s="150"/>
      <c r="M15" s="9" t="s">
        <v>65</v>
      </c>
    </row>
    <row r="16" spans="1:13">
      <c r="A16" s="234" t="s">
        <v>90</v>
      </c>
      <c r="B16" s="234"/>
      <c r="C16" s="234"/>
      <c r="D16" s="234"/>
      <c r="E16" s="234"/>
      <c r="F16" s="152">
        <f>4.92*0.05454</f>
        <v>0.26833679999999999</v>
      </c>
      <c r="G16" s="235" t="s">
        <v>1</v>
      </c>
      <c r="H16" s="235"/>
      <c r="I16" s="235"/>
      <c r="J16" s="235"/>
      <c r="K16" s="235"/>
      <c r="L16" s="112">
        <v>1</v>
      </c>
      <c r="M16" s="200">
        <f t="shared" ref="M16:M22" si="0">L16*0.05454</f>
        <v>5.4539999999999998E-2</v>
      </c>
    </row>
    <row r="17" spans="1:13">
      <c r="A17" s="234" t="s">
        <v>91</v>
      </c>
      <c r="B17" s="234"/>
      <c r="C17" s="234"/>
      <c r="D17" s="234"/>
      <c r="E17" s="234"/>
      <c r="F17" s="152">
        <f>8.83*0.05454</f>
        <v>0.48158819999999997</v>
      </c>
      <c r="G17" s="224" t="s">
        <v>92</v>
      </c>
      <c r="H17" s="225"/>
      <c r="I17" s="225"/>
      <c r="J17" s="225"/>
      <c r="K17" s="237"/>
      <c r="L17" s="112">
        <v>4</v>
      </c>
      <c r="M17" s="152">
        <f t="shared" si="0"/>
        <v>0.21815999999999999</v>
      </c>
    </row>
    <row r="18" spans="1:13">
      <c r="A18" s="234"/>
      <c r="B18" s="234"/>
      <c r="C18" s="234"/>
      <c r="D18" s="234"/>
      <c r="E18" s="234"/>
      <c r="F18" s="152"/>
      <c r="G18" s="234" t="s">
        <v>93</v>
      </c>
      <c r="H18" s="234"/>
      <c r="I18" s="234"/>
      <c r="J18" s="234"/>
      <c r="K18" s="234"/>
      <c r="L18" s="112">
        <v>1</v>
      </c>
      <c r="M18" s="152">
        <f t="shared" si="0"/>
        <v>5.4539999999999998E-2</v>
      </c>
    </row>
    <row r="19" spans="1:13">
      <c r="A19" s="234"/>
      <c r="B19" s="234"/>
      <c r="C19" s="234"/>
      <c r="D19" s="234"/>
      <c r="E19" s="234"/>
      <c r="F19" s="152"/>
      <c r="G19" s="241" t="s">
        <v>72</v>
      </c>
      <c r="H19" s="242"/>
      <c r="I19" s="242"/>
      <c r="J19" s="242"/>
      <c r="K19" s="243"/>
      <c r="L19" s="112">
        <v>1</v>
      </c>
      <c r="M19" s="152">
        <f t="shared" si="0"/>
        <v>5.4539999999999998E-2</v>
      </c>
    </row>
    <row r="20" spans="1:13" ht="15" customHeight="1">
      <c r="A20" s="234"/>
      <c r="B20" s="234"/>
      <c r="C20" s="234"/>
      <c r="D20" s="234"/>
      <c r="E20" s="234"/>
      <c r="F20" s="152"/>
      <c r="G20" s="235" t="s">
        <v>94</v>
      </c>
      <c r="H20" s="235"/>
      <c r="I20" s="235"/>
      <c r="J20" s="235"/>
      <c r="K20" s="235"/>
      <c r="L20" s="112">
        <v>0.5</v>
      </c>
      <c r="M20" s="152">
        <f t="shared" si="0"/>
        <v>2.7269999999999999E-2</v>
      </c>
    </row>
    <row r="21" spans="1:13" ht="15" customHeight="1">
      <c r="A21" s="234"/>
      <c r="B21" s="234"/>
      <c r="C21" s="234"/>
      <c r="D21" s="234"/>
      <c r="E21" s="234"/>
      <c r="F21" s="152"/>
      <c r="G21" s="235" t="s">
        <v>70</v>
      </c>
      <c r="H21" s="235"/>
      <c r="I21" s="235"/>
      <c r="J21" s="235"/>
      <c r="K21" s="235"/>
      <c r="L21" s="113">
        <v>1</v>
      </c>
      <c r="M21" s="152">
        <f t="shared" si="0"/>
        <v>5.4539999999999998E-2</v>
      </c>
    </row>
    <row r="22" spans="1:13" ht="15.75" customHeight="1">
      <c r="A22" s="234"/>
      <c r="B22" s="234"/>
      <c r="C22" s="234"/>
      <c r="D22" s="234"/>
      <c r="E22" s="234"/>
      <c r="F22" s="152"/>
      <c r="G22" s="236" t="s">
        <v>95</v>
      </c>
      <c r="H22" s="236"/>
      <c r="I22" s="236"/>
      <c r="J22" s="236"/>
      <c r="K22" s="236"/>
      <c r="L22" s="113">
        <v>0.5</v>
      </c>
      <c r="M22" s="152">
        <f t="shared" si="0"/>
        <v>2.7269999999999999E-2</v>
      </c>
    </row>
    <row r="23" spans="1:13" ht="15.75" hidden="1" customHeight="1">
      <c r="A23" s="224"/>
      <c r="B23" s="225"/>
      <c r="C23" s="225"/>
      <c r="D23" s="225"/>
      <c r="E23" s="237"/>
      <c r="F23" s="152"/>
      <c r="G23" s="238"/>
      <c r="H23" s="239"/>
      <c r="I23" s="239"/>
      <c r="J23" s="239"/>
      <c r="K23" s="240"/>
      <c r="L23" s="113"/>
      <c r="M23" s="152">
        <f t="shared" ref="M23:M25" si="1">L23*0.055</f>
        <v>0</v>
      </c>
    </row>
    <row r="24" spans="1:13" ht="15.75" customHeight="1">
      <c r="A24" s="224"/>
      <c r="B24" s="225"/>
      <c r="C24" s="225"/>
      <c r="D24" s="225"/>
      <c r="E24" s="237"/>
      <c r="F24" s="152"/>
      <c r="G24" s="238" t="s">
        <v>96</v>
      </c>
      <c r="H24" s="239"/>
      <c r="I24" s="239"/>
      <c r="J24" s="239"/>
      <c r="K24" s="240"/>
      <c r="L24" s="113">
        <v>1</v>
      </c>
      <c r="M24" s="152">
        <f>L24*0.05454</f>
        <v>5.4539999999999998E-2</v>
      </c>
    </row>
    <row r="25" spans="1:13" ht="15.75" hidden="1" customHeight="1">
      <c r="A25" s="224"/>
      <c r="B25" s="225"/>
      <c r="C25" s="225"/>
      <c r="D25" s="225"/>
      <c r="E25" s="237"/>
      <c r="F25" s="159"/>
      <c r="G25" s="238"/>
      <c r="H25" s="239"/>
      <c r="I25" s="239"/>
      <c r="J25" s="239"/>
      <c r="K25" s="240"/>
      <c r="L25" s="115"/>
      <c r="M25" s="152">
        <f t="shared" si="1"/>
        <v>0</v>
      </c>
    </row>
    <row r="26" spans="1:13" ht="15.75" customHeight="1">
      <c r="A26" s="224"/>
      <c r="B26" s="225"/>
      <c r="C26" s="225"/>
      <c r="D26" s="225"/>
      <c r="E26" s="237"/>
      <c r="F26" s="159"/>
      <c r="G26" s="258" t="s">
        <v>97</v>
      </c>
      <c r="H26" s="259"/>
      <c r="I26" s="259"/>
      <c r="J26" s="259"/>
      <c r="K26" s="260"/>
      <c r="L26" s="115">
        <v>2</v>
      </c>
      <c r="M26" s="152">
        <f t="shared" ref="M26:M39" si="2">L26*0.05454</f>
        <v>0.10908</v>
      </c>
    </row>
    <row r="27" spans="1:13" ht="15.75" customHeight="1">
      <c r="A27" s="224"/>
      <c r="B27" s="225"/>
      <c r="C27" s="225"/>
      <c r="D27" s="225"/>
      <c r="E27" s="237"/>
      <c r="F27" s="159"/>
      <c r="G27" s="238" t="s">
        <v>71</v>
      </c>
      <c r="H27" s="239"/>
      <c r="I27" s="239"/>
      <c r="J27" s="239"/>
      <c r="K27" s="240"/>
      <c r="L27" s="115">
        <v>1</v>
      </c>
      <c r="M27" s="152">
        <f t="shared" si="2"/>
        <v>5.4539999999999998E-2</v>
      </c>
    </row>
    <row r="28" spans="1:13" ht="15" customHeight="1">
      <c r="A28" s="257"/>
      <c r="B28" s="257"/>
      <c r="C28" s="257"/>
      <c r="D28" s="257"/>
      <c r="E28" s="257"/>
      <c r="F28" s="159"/>
      <c r="G28" s="236" t="s">
        <v>98</v>
      </c>
      <c r="H28" s="236"/>
      <c r="I28" s="236"/>
      <c r="J28" s="236"/>
      <c r="K28" s="236"/>
      <c r="L28" s="115">
        <v>4.75</v>
      </c>
      <c r="M28" s="152">
        <f t="shared" si="2"/>
        <v>0.25906499999999999</v>
      </c>
    </row>
    <row r="29" spans="1:13" ht="15.75" customHeight="1">
      <c r="A29" s="257"/>
      <c r="B29" s="257"/>
      <c r="C29" s="257"/>
      <c r="D29" s="257"/>
      <c r="E29" s="257"/>
      <c r="F29" s="159"/>
      <c r="G29" s="236" t="s">
        <v>99</v>
      </c>
      <c r="H29" s="236"/>
      <c r="I29" s="236"/>
      <c r="J29" s="236"/>
      <c r="K29" s="236"/>
      <c r="L29" s="115">
        <v>3.5</v>
      </c>
      <c r="M29" s="152">
        <f t="shared" si="2"/>
        <v>0.19089</v>
      </c>
    </row>
    <row r="30" spans="1:13">
      <c r="A30" s="254"/>
      <c r="B30" s="254"/>
      <c r="C30" s="254"/>
      <c r="D30" s="254"/>
      <c r="E30" s="254"/>
      <c r="F30" s="160"/>
      <c r="G30" s="236" t="s">
        <v>100</v>
      </c>
      <c r="H30" s="236"/>
      <c r="I30" s="236"/>
      <c r="J30" s="236"/>
      <c r="K30" s="236"/>
      <c r="L30" s="115">
        <v>2</v>
      </c>
      <c r="M30" s="152">
        <f t="shared" si="2"/>
        <v>0.10908</v>
      </c>
    </row>
    <row r="31" spans="1:13" ht="27.75" customHeight="1">
      <c r="A31" s="254"/>
      <c r="B31" s="254"/>
      <c r="C31" s="254"/>
      <c r="D31" s="254"/>
      <c r="E31" s="254"/>
      <c r="F31" s="160"/>
      <c r="G31" s="236" t="s">
        <v>101</v>
      </c>
      <c r="H31" s="236"/>
      <c r="I31" s="236"/>
      <c r="J31" s="236"/>
      <c r="K31" s="236"/>
      <c r="L31" s="115">
        <v>1</v>
      </c>
      <c r="M31" s="152">
        <f t="shared" si="2"/>
        <v>5.4539999999999998E-2</v>
      </c>
    </row>
    <row r="32" spans="1:13">
      <c r="A32" s="254"/>
      <c r="B32" s="254"/>
      <c r="C32" s="254"/>
      <c r="D32" s="254"/>
      <c r="E32" s="254"/>
      <c r="F32" s="160"/>
      <c r="G32" s="236" t="s">
        <v>102</v>
      </c>
      <c r="H32" s="236"/>
      <c r="I32" s="236"/>
      <c r="J32" s="236"/>
      <c r="K32" s="236"/>
      <c r="L32" s="115">
        <v>0.5</v>
      </c>
      <c r="M32" s="152">
        <f t="shared" si="2"/>
        <v>2.7269999999999999E-2</v>
      </c>
    </row>
    <row r="33" spans="1:15" ht="12.75" customHeight="1">
      <c r="A33" s="254"/>
      <c r="B33" s="254"/>
      <c r="C33" s="254"/>
      <c r="D33" s="254"/>
      <c r="E33" s="254"/>
      <c r="F33" s="160"/>
      <c r="G33" s="212" t="s">
        <v>103</v>
      </c>
      <c r="H33" s="213"/>
      <c r="I33" s="213"/>
      <c r="J33" s="213"/>
      <c r="K33" s="219"/>
      <c r="L33" s="115">
        <v>0.5</v>
      </c>
      <c r="M33" s="152">
        <f t="shared" si="2"/>
        <v>2.7269999999999999E-2</v>
      </c>
    </row>
    <row r="34" spans="1:15" ht="15" customHeight="1">
      <c r="A34" s="254"/>
      <c r="B34" s="254"/>
      <c r="C34" s="254"/>
      <c r="D34" s="254"/>
      <c r="E34" s="254"/>
      <c r="F34" s="160"/>
      <c r="G34" s="212" t="s">
        <v>104</v>
      </c>
      <c r="H34" s="213"/>
      <c r="I34" s="213"/>
      <c r="J34" s="213"/>
      <c r="K34" s="219"/>
      <c r="L34" s="115">
        <v>16</v>
      </c>
      <c r="M34" s="152">
        <f t="shared" si="2"/>
        <v>0.87263999999999997</v>
      </c>
    </row>
    <row r="35" spans="1:15">
      <c r="A35" s="264"/>
      <c r="B35" s="265"/>
      <c r="C35" s="265"/>
      <c r="D35" s="265"/>
      <c r="E35" s="266"/>
      <c r="F35" s="160"/>
      <c r="G35" s="224" t="s">
        <v>105</v>
      </c>
      <c r="H35" s="225"/>
      <c r="I35" s="225"/>
      <c r="J35" s="225"/>
      <c r="K35" s="226"/>
      <c r="L35" s="112">
        <v>2</v>
      </c>
      <c r="M35" s="152">
        <f t="shared" si="2"/>
        <v>0.10908</v>
      </c>
    </row>
    <row r="36" spans="1:15" ht="15" customHeight="1">
      <c r="A36" s="264"/>
      <c r="B36" s="265"/>
      <c r="C36" s="265"/>
      <c r="D36" s="265"/>
      <c r="E36" s="266"/>
      <c r="F36" s="160"/>
      <c r="G36" s="224" t="s">
        <v>106</v>
      </c>
      <c r="H36" s="225"/>
      <c r="I36" s="225"/>
      <c r="J36" s="225"/>
      <c r="K36" s="226"/>
      <c r="L36" s="112">
        <v>1</v>
      </c>
      <c r="M36" s="152">
        <f t="shared" si="2"/>
        <v>5.4539999999999998E-2</v>
      </c>
    </row>
    <row r="37" spans="1:15" ht="15" customHeight="1">
      <c r="A37" s="264"/>
      <c r="B37" s="265"/>
      <c r="C37" s="265"/>
      <c r="D37" s="265"/>
      <c r="E37" s="266"/>
      <c r="F37" s="160"/>
      <c r="G37" s="224" t="s">
        <v>107</v>
      </c>
      <c r="H37" s="225"/>
      <c r="I37" s="225"/>
      <c r="J37" s="225"/>
      <c r="K37" s="226"/>
      <c r="L37" s="112">
        <v>1</v>
      </c>
      <c r="M37" s="152">
        <f t="shared" si="2"/>
        <v>5.4539999999999998E-2</v>
      </c>
    </row>
    <row r="38" spans="1:15" ht="15" customHeight="1">
      <c r="A38" s="264"/>
      <c r="B38" s="265"/>
      <c r="C38" s="265"/>
      <c r="D38" s="265"/>
      <c r="E38" s="266"/>
      <c r="F38" s="160"/>
      <c r="G38" s="224" t="s">
        <v>108</v>
      </c>
      <c r="H38" s="225"/>
      <c r="I38" s="225"/>
      <c r="J38" s="225"/>
      <c r="K38" s="226"/>
      <c r="L38" s="115">
        <v>10</v>
      </c>
      <c r="M38" s="152">
        <f t="shared" si="2"/>
        <v>0.5454</v>
      </c>
    </row>
    <row r="39" spans="1:15" ht="15" customHeight="1">
      <c r="A39" s="248" t="s">
        <v>2</v>
      </c>
      <c r="B39" s="248"/>
      <c r="C39" s="248"/>
      <c r="D39" s="248"/>
      <c r="E39" s="248"/>
      <c r="F39" s="161">
        <f>SUM(F16:F34)</f>
        <v>0.74992499999999995</v>
      </c>
      <c r="G39" s="244" t="s">
        <v>2</v>
      </c>
      <c r="H39" s="244"/>
      <c r="I39" s="244"/>
      <c r="J39" s="244"/>
      <c r="K39" s="244"/>
      <c r="L39" s="117">
        <f>SUM(L16:L38)</f>
        <v>55.25</v>
      </c>
      <c r="M39" s="161">
        <f t="shared" si="2"/>
        <v>3.0133350000000001</v>
      </c>
    </row>
    <row r="40" spans="1:15" ht="98.25" hidden="1" customHeight="1" thickBot="1">
      <c r="A40" s="248" t="s">
        <v>2</v>
      </c>
      <c r="B40" s="248"/>
      <c r="C40" s="248"/>
      <c r="D40" s="248"/>
      <c r="E40" s="78">
        <f>SUM(E16:E28)</f>
        <v>0</v>
      </c>
      <c r="F40" s="98"/>
      <c r="G40" s="280" t="s">
        <v>2</v>
      </c>
      <c r="H40" s="280"/>
      <c r="I40" s="280"/>
      <c r="J40" s="280"/>
      <c r="K40" s="280"/>
      <c r="L40" s="280"/>
      <c r="M40" s="280"/>
      <c r="N40" s="280"/>
      <c r="O40" s="98" t="e">
        <f>SUM(#REF!)</f>
        <v>#REF!</v>
      </c>
    </row>
    <row r="41" spans="1:15" hidden="1">
      <c r="A41" s="208" t="s">
        <v>15</v>
      </c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</row>
    <row r="42" spans="1:15" hidden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5" ht="80.25" hidden="1" customHeight="1">
      <c r="A43" s="277" t="s">
        <v>6</v>
      </c>
      <c r="B43" s="277"/>
      <c r="C43" s="277"/>
      <c r="D43" s="277"/>
      <c r="E43" s="19" t="s">
        <v>7</v>
      </c>
      <c r="F43" s="19" t="s">
        <v>8</v>
      </c>
      <c r="G43" s="19" t="s">
        <v>9</v>
      </c>
      <c r="H43" s="19" t="s">
        <v>10</v>
      </c>
      <c r="I43" s="19"/>
      <c r="J43" s="19" t="s">
        <v>11</v>
      </c>
      <c r="K43" s="19" t="s">
        <v>12</v>
      </c>
      <c r="L43" s="19"/>
      <c r="M43" s="19" t="s">
        <v>5</v>
      </c>
    </row>
    <row r="44" spans="1:15" ht="15" hidden="1" customHeight="1">
      <c r="A44" s="278">
        <v>1</v>
      </c>
      <c r="B44" s="279"/>
      <c r="C44" s="279"/>
      <c r="D44" s="279"/>
      <c r="E44" s="19">
        <v>2</v>
      </c>
      <c r="F44" s="19">
        <v>3</v>
      </c>
      <c r="G44" s="19">
        <v>4</v>
      </c>
      <c r="H44" s="19" t="s">
        <v>36</v>
      </c>
      <c r="I44" s="19"/>
      <c r="J44" s="19">
        <v>6</v>
      </c>
      <c r="K44" s="19">
        <v>7</v>
      </c>
      <c r="L44" s="19"/>
      <c r="M44" s="19" t="s">
        <v>37</v>
      </c>
    </row>
    <row r="45" spans="1:15" ht="15" hidden="1" customHeight="1">
      <c r="A45" s="227" t="s">
        <v>39</v>
      </c>
      <c r="B45" s="227"/>
      <c r="C45" s="227"/>
      <c r="D45" s="227"/>
      <c r="E45" s="20" t="s">
        <v>13</v>
      </c>
      <c r="F45" s="19">
        <v>7</v>
      </c>
      <c r="G45" s="20">
        <v>10</v>
      </c>
      <c r="H45" s="21">
        <f>F45/G45</f>
        <v>0.7</v>
      </c>
      <c r="I45" s="21"/>
      <c r="J45" s="19">
        <v>20</v>
      </c>
      <c r="K45" s="22">
        <v>7100</v>
      </c>
      <c r="L45" s="22"/>
      <c r="M45" s="22">
        <f>H45*K45</f>
        <v>4970</v>
      </c>
    </row>
    <row r="46" spans="1:15" ht="15" hidden="1" customHeight="1">
      <c r="A46" s="227" t="s">
        <v>40</v>
      </c>
      <c r="B46" s="227"/>
      <c r="C46" s="227"/>
      <c r="D46" s="227"/>
      <c r="E46" s="20" t="s">
        <v>13</v>
      </c>
      <c r="F46" s="19">
        <v>1</v>
      </c>
      <c r="G46" s="20">
        <v>10</v>
      </c>
      <c r="H46" s="21">
        <f t="shared" ref="H46:H62" si="3">F46/G46</f>
        <v>0.1</v>
      </c>
      <c r="I46" s="21"/>
      <c r="J46" s="19">
        <v>20</v>
      </c>
      <c r="K46" s="22">
        <v>538700</v>
      </c>
      <c r="L46" s="22"/>
      <c r="M46" s="22">
        <f t="shared" ref="M46:M63" si="4">H46*K46</f>
        <v>53870</v>
      </c>
    </row>
    <row r="47" spans="1:15" ht="15" hidden="1" customHeight="1">
      <c r="A47" s="227" t="s">
        <v>41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si="3"/>
        <v>0.1</v>
      </c>
      <c r="I47" s="21"/>
      <c r="J47" s="19">
        <v>20</v>
      </c>
      <c r="K47" s="22">
        <v>380000</v>
      </c>
      <c r="L47" s="22"/>
      <c r="M47" s="22">
        <f t="shared" si="4"/>
        <v>38000</v>
      </c>
    </row>
    <row r="48" spans="1:15" ht="12.75" hidden="1" customHeight="1">
      <c r="A48" s="227"/>
      <c r="B48" s="227"/>
      <c r="C48" s="227"/>
      <c r="D48" s="227"/>
      <c r="E48" s="20" t="s">
        <v>13</v>
      </c>
      <c r="F48" s="19"/>
      <c r="G48" s="20">
        <v>10</v>
      </c>
      <c r="H48" s="21">
        <f t="shared" si="3"/>
        <v>0</v>
      </c>
      <c r="I48" s="21"/>
      <c r="J48" s="19"/>
      <c r="K48" s="22"/>
      <c r="L48" s="22"/>
      <c r="M48" s="22">
        <f t="shared" si="4"/>
        <v>0</v>
      </c>
    </row>
    <row r="49" spans="1:13" ht="1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3"/>
        <v>0</v>
      </c>
      <c r="I49" s="21"/>
      <c r="J49" s="19"/>
      <c r="K49" s="22"/>
      <c r="L49" s="22"/>
      <c r="M49" s="22">
        <f t="shared" si="4"/>
        <v>0</v>
      </c>
    </row>
    <row r="50" spans="1:13" ht="15" hidden="1" customHeight="1">
      <c r="A50" s="228"/>
      <c r="B50" s="229"/>
      <c r="C50" s="229"/>
      <c r="D50" s="229"/>
      <c r="E50" s="20" t="s">
        <v>13</v>
      </c>
      <c r="F50" s="19"/>
      <c r="G50" s="20">
        <v>10</v>
      </c>
      <c r="H50" s="21">
        <f t="shared" si="3"/>
        <v>0</v>
      </c>
      <c r="I50" s="21"/>
      <c r="J50" s="19"/>
      <c r="K50" s="22"/>
      <c r="L50" s="22"/>
      <c r="M50" s="22">
        <f t="shared" si="4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3"/>
        <v>0</v>
      </c>
      <c r="I51" s="21"/>
      <c r="J51" s="19"/>
      <c r="K51" s="22"/>
      <c r="L51" s="22"/>
      <c r="M51" s="22">
        <f t="shared" si="4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3"/>
        <v>0</v>
      </c>
      <c r="I52" s="21"/>
      <c r="J52" s="19"/>
      <c r="K52" s="22"/>
      <c r="L52" s="22"/>
      <c r="M52" s="22">
        <f t="shared" si="4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3"/>
        <v>0</v>
      </c>
      <c r="I53" s="21"/>
      <c r="J53" s="19"/>
      <c r="K53" s="22"/>
      <c r="L53" s="22"/>
      <c r="M53" s="22">
        <f t="shared" si="4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3"/>
        <v>0</v>
      </c>
      <c r="I54" s="21"/>
      <c r="J54" s="19"/>
      <c r="K54" s="22"/>
      <c r="L54" s="22"/>
      <c r="M54" s="22">
        <f t="shared" si="4"/>
        <v>0</v>
      </c>
    </row>
    <row r="55" spans="1:13" hidden="1">
      <c r="A55" s="232"/>
      <c r="B55" s="233"/>
      <c r="C55" s="233"/>
      <c r="D55" s="233"/>
      <c r="E55" s="20" t="s">
        <v>13</v>
      </c>
      <c r="F55" s="20"/>
      <c r="G55" s="20">
        <v>10</v>
      </c>
      <c r="H55" s="21">
        <f t="shared" si="3"/>
        <v>0</v>
      </c>
      <c r="I55" s="21"/>
      <c r="J55" s="20"/>
      <c r="K55" s="23"/>
      <c r="L55" s="23"/>
      <c r="M55" s="22">
        <f t="shared" si="4"/>
        <v>0</v>
      </c>
    </row>
    <row r="56" spans="1:13" hidden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3"/>
        <v>0</v>
      </c>
      <c r="I56" s="21"/>
      <c r="J56" s="20"/>
      <c r="K56" s="23"/>
      <c r="L56" s="23"/>
      <c r="M56" s="22">
        <f t="shared" si="4"/>
        <v>0</v>
      </c>
    </row>
    <row r="57" spans="1:13" hidden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3"/>
        <v>0</v>
      </c>
      <c r="I57" s="21"/>
      <c r="J57" s="20"/>
      <c r="K57" s="23"/>
      <c r="L57" s="23"/>
      <c r="M57" s="22">
        <f t="shared" si="4"/>
        <v>0</v>
      </c>
    </row>
    <row r="58" spans="1:13" hidden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3"/>
        <v>0</v>
      </c>
      <c r="I58" s="21"/>
      <c r="J58" s="20"/>
      <c r="K58" s="23"/>
      <c r="L58" s="23"/>
      <c r="M58" s="22">
        <f t="shared" si="4"/>
        <v>0</v>
      </c>
    </row>
    <row r="59" spans="1:13" hidden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3"/>
        <v>0</v>
      </c>
      <c r="I59" s="21"/>
      <c r="J59" s="20"/>
      <c r="K59" s="23"/>
      <c r="L59" s="23"/>
      <c r="M59" s="22">
        <f t="shared" si="4"/>
        <v>0</v>
      </c>
    </row>
    <row r="60" spans="1:13" hidden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3"/>
        <v>0</v>
      </c>
      <c r="I60" s="21"/>
      <c r="J60" s="20"/>
      <c r="K60" s="23"/>
      <c r="L60" s="23"/>
      <c r="M60" s="22">
        <f t="shared" si="4"/>
        <v>0</v>
      </c>
    </row>
    <row r="61" spans="1:13" hidden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3"/>
        <v>0</v>
      </c>
      <c r="I61" s="21"/>
      <c r="J61" s="20"/>
      <c r="K61" s="23"/>
      <c r="L61" s="23"/>
      <c r="M61" s="22">
        <f t="shared" si="4"/>
        <v>0</v>
      </c>
    </row>
    <row r="62" spans="1:13" hidden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3"/>
        <v>0</v>
      </c>
      <c r="I62" s="21"/>
      <c r="J62" s="20"/>
      <c r="K62" s="23"/>
      <c r="L62" s="23"/>
      <c r="M62" s="22">
        <f t="shared" si="4"/>
        <v>0</v>
      </c>
    </row>
    <row r="63" spans="1:13" hidden="1">
      <c r="A63" s="267" t="s">
        <v>59</v>
      </c>
      <c r="B63" s="267"/>
      <c r="C63" s="267"/>
      <c r="D63" s="267"/>
      <c r="E63" s="20"/>
      <c r="F63" s="20"/>
      <c r="G63" s="20"/>
      <c r="H63" s="24"/>
      <c r="I63" s="24"/>
      <c r="J63" s="20"/>
      <c r="K63" s="23"/>
      <c r="L63" s="23"/>
      <c r="M63" s="23">
        <f t="shared" si="4"/>
        <v>0</v>
      </c>
    </row>
    <row r="64" spans="1:13" ht="9" hidden="1" customHeight="1">
      <c r="A64" s="268" t="s">
        <v>14</v>
      </c>
      <c r="B64" s="269"/>
      <c r="C64" s="269"/>
      <c r="D64" s="269"/>
      <c r="E64" s="269"/>
      <c r="F64" s="269"/>
      <c r="G64" s="269"/>
      <c r="H64" s="269"/>
      <c r="I64" s="269"/>
      <c r="J64" s="269"/>
      <c r="K64" s="270"/>
      <c r="L64" s="151"/>
      <c r="M64" s="23">
        <f>M63+M47+M46+M45</f>
        <v>96840</v>
      </c>
    </row>
    <row r="65" spans="1:13" ht="20.25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>
      <c r="A66" s="230" t="s">
        <v>88</v>
      </c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</row>
    <row r="67" spans="1:13" ht="73.5" customHeight="1">
      <c r="A67" s="231" t="s">
        <v>17</v>
      </c>
      <c r="B67" s="231"/>
      <c r="C67" s="231"/>
      <c r="D67" s="231"/>
      <c r="E67" s="9" t="s">
        <v>79</v>
      </c>
      <c r="F67" s="25" t="s">
        <v>55</v>
      </c>
      <c r="G67" s="9" t="s">
        <v>42</v>
      </c>
      <c r="H67" s="9" t="s">
        <v>48</v>
      </c>
      <c r="I67" s="9" t="s">
        <v>63</v>
      </c>
      <c r="J67" s="9" t="s">
        <v>69</v>
      </c>
      <c r="K67" s="11"/>
      <c r="L67" s="11"/>
      <c r="M67" s="11"/>
    </row>
    <row r="68" spans="1:13" ht="18.75" customHeight="1">
      <c r="A68" s="271">
        <v>1</v>
      </c>
      <c r="B68" s="272"/>
      <c r="C68" s="272"/>
      <c r="D68" s="272"/>
      <c r="E68" s="9">
        <v>2</v>
      </c>
      <c r="F68" s="9">
        <v>3</v>
      </c>
      <c r="G68" s="26">
        <v>4</v>
      </c>
      <c r="H68" s="26">
        <v>5</v>
      </c>
      <c r="I68" s="27">
        <v>6</v>
      </c>
      <c r="J68" s="27" t="s">
        <v>45</v>
      </c>
      <c r="K68" s="11"/>
      <c r="L68" s="11"/>
      <c r="M68" s="28"/>
    </row>
    <row r="69" spans="1:13">
      <c r="A69" s="220" t="s">
        <v>51</v>
      </c>
      <c r="B69" s="220"/>
      <c r="C69" s="220"/>
      <c r="D69" s="220"/>
      <c r="E69" s="30">
        <v>5</v>
      </c>
      <c r="F69" s="29">
        <v>12</v>
      </c>
      <c r="G69" s="38">
        <v>687.02</v>
      </c>
      <c r="H69" s="38">
        <f>45691.3*0.05454</f>
        <v>2492.003502</v>
      </c>
      <c r="I69" s="46">
        <v>38</v>
      </c>
      <c r="J69" s="38">
        <f>H69/I69</f>
        <v>65.579039526315796</v>
      </c>
      <c r="K69" s="11"/>
      <c r="L69" s="11"/>
      <c r="M69" s="17"/>
    </row>
    <row r="70" spans="1:13" ht="15" thickBot="1">
      <c r="A70" s="220" t="s">
        <v>60</v>
      </c>
      <c r="B70" s="220"/>
      <c r="C70" s="220"/>
      <c r="D70" s="220"/>
      <c r="E70" s="30">
        <v>1</v>
      </c>
      <c r="F70" s="30">
        <v>12</v>
      </c>
      <c r="G70" s="38">
        <v>3743.23</v>
      </c>
      <c r="H70" s="38">
        <f>51915.36*0.05454</f>
        <v>2831.4637343999998</v>
      </c>
      <c r="I70" s="46">
        <v>38</v>
      </c>
      <c r="J70" s="38">
        <f>H70/I70</f>
        <v>74.512203536842094</v>
      </c>
      <c r="K70" s="11"/>
      <c r="L70" s="11"/>
      <c r="M70" s="11"/>
    </row>
    <row r="71" spans="1:13" ht="15" thickBot="1">
      <c r="A71" s="222" t="s">
        <v>25</v>
      </c>
      <c r="B71" s="223"/>
      <c r="C71" s="223"/>
      <c r="D71" s="223"/>
      <c r="E71" s="56"/>
      <c r="F71" s="56"/>
      <c r="G71" s="56"/>
      <c r="H71" s="73">
        <f>SUM(H69:H70)</f>
        <v>5323.4672363999998</v>
      </c>
      <c r="I71" s="49"/>
      <c r="J71" s="57">
        <f>SUM(J69:J70)</f>
        <v>140.09124306315789</v>
      </c>
      <c r="K71" s="11"/>
      <c r="L71" s="11"/>
      <c r="M71" s="11"/>
    </row>
    <row r="72" spans="1:13" ht="17.25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>
      <c r="A73" s="230" t="s">
        <v>16</v>
      </c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</row>
    <row r="74" spans="1:13" ht="73.5" customHeight="1">
      <c r="A74" s="231" t="s">
        <v>17</v>
      </c>
      <c r="B74" s="231"/>
      <c r="C74" s="231"/>
      <c r="D74" s="231"/>
      <c r="E74" s="9" t="s">
        <v>7</v>
      </c>
      <c r="F74" s="25" t="s">
        <v>55</v>
      </c>
      <c r="G74" s="9" t="s">
        <v>42</v>
      </c>
      <c r="H74" s="9" t="s">
        <v>48</v>
      </c>
      <c r="I74" s="9" t="s">
        <v>63</v>
      </c>
      <c r="J74" s="9" t="s">
        <v>69</v>
      </c>
      <c r="K74" s="11"/>
      <c r="L74" s="11"/>
      <c r="M74" s="11"/>
    </row>
    <row r="75" spans="1:13" ht="18.75" customHeight="1">
      <c r="A75" s="271">
        <v>1</v>
      </c>
      <c r="B75" s="272"/>
      <c r="C75" s="272"/>
      <c r="D75" s="272"/>
      <c r="E75" s="9">
        <v>2</v>
      </c>
      <c r="F75" s="9">
        <v>3</v>
      </c>
      <c r="G75" s="26">
        <v>4</v>
      </c>
      <c r="H75" s="26">
        <v>5</v>
      </c>
      <c r="I75" s="27">
        <v>6</v>
      </c>
      <c r="J75" s="27" t="s">
        <v>45</v>
      </c>
      <c r="K75" s="11"/>
      <c r="L75" s="11"/>
      <c r="M75" s="28"/>
    </row>
    <row r="76" spans="1:13">
      <c r="A76" s="220" t="s">
        <v>19</v>
      </c>
      <c r="B76" s="220"/>
      <c r="C76" s="220"/>
      <c r="D76" s="220"/>
      <c r="E76" s="30" t="s">
        <v>22</v>
      </c>
      <c r="F76" s="29">
        <v>200200</v>
      </c>
      <c r="G76" s="38">
        <v>6.62</v>
      </c>
      <c r="H76" s="38">
        <f>934862.1*0.05454</f>
        <v>50987.378934</v>
      </c>
      <c r="I76" s="46">
        <v>38</v>
      </c>
      <c r="J76" s="38">
        <f>H76/I76</f>
        <v>1341.7731298421052</v>
      </c>
      <c r="K76" s="11"/>
      <c r="L76" s="11"/>
      <c r="M76" s="17"/>
    </row>
    <row r="77" spans="1:13">
      <c r="A77" s="220" t="s">
        <v>20</v>
      </c>
      <c r="B77" s="220"/>
      <c r="C77" s="220"/>
      <c r="D77" s="220"/>
      <c r="E77" s="30" t="s">
        <v>23</v>
      </c>
      <c r="F77" s="30">
        <v>1620</v>
      </c>
      <c r="G77" s="38">
        <v>1618.59</v>
      </c>
      <c r="H77" s="38">
        <f>1320356.53*0.05454</f>
        <v>72012.245146200003</v>
      </c>
      <c r="I77" s="46">
        <v>38</v>
      </c>
      <c r="J77" s="38">
        <f>H77/I77</f>
        <v>1895.0590827947369</v>
      </c>
      <c r="K77" s="11"/>
      <c r="L77" s="11"/>
      <c r="M77" s="11"/>
    </row>
    <row r="78" spans="1:13">
      <c r="A78" s="220" t="s">
        <v>49</v>
      </c>
      <c r="B78" s="220"/>
      <c r="C78" s="220"/>
      <c r="D78" s="220"/>
      <c r="E78" s="30" t="s">
        <v>24</v>
      </c>
      <c r="F78" s="30">
        <v>5000</v>
      </c>
      <c r="G78" s="38">
        <v>39.22</v>
      </c>
      <c r="H78" s="38">
        <f>156878.18*0.05454</f>
        <v>8556.1359371999988</v>
      </c>
      <c r="I78" s="46">
        <v>38</v>
      </c>
      <c r="J78" s="38">
        <f>H78/I78</f>
        <v>225.16147203157891</v>
      </c>
      <c r="K78" s="11"/>
      <c r="L78" s="11"/>
      <c r="M78" s="11"/>
    </row>
    <row r="79" spans="1:13" ht="15" thickBot="1">
      <c r="A79" s="221" t="s">
        <v>21</v>
      </c>
      <c r="B79" s="221"/>
      <c r="C79" s="221"/>
      <c r="D79" s="221"/>
      <c r="E79" s="55" t="s">
        <v>24</v>
      </c>
      <c r="F79" s="30">
        <v>5500</v>
      </c>
      <c r="G79" s="48">
        <v>53.32</v>
      </c>
      <c r="H79" s="48">
        <f>191740.01*0.05454</f>
        <v>10457.500145399999</v>
      </c>
      <c r="I79" s="46">
        <v>38</v>
      </c>
      <c r="J79" s="48">
        <f>H79/I79</f>
        <v>275.19737224736838</v>
      </c>
      <c r="K79" s="11"/>
      <c r="L79" s="11"/>
      <c r="M79" s="11"/>
    </row>
    <row r="80" spans="1:13" ht="15" thickBot="1">
      <c r="A80" s="222" t="s">
        <v>25</v>
      </c>
      <c r="B80" s="223"/>
      <c r="C80" s="223"/>
      <c r="D80" s="223"/>
      <c r="E80" s="56"/>
      <c r="F80" s="56"/>
      <c r="G80" s="56"/>
      <c r="H80" s="73">
        <f>SUM(H76:H79)</f>
        <v>142013.2601628</v>
      </c>
      <c r="I80" s="49"/>
      <c r="J80" s="57">
        <f>SUM(J76:J79)</f>
        <v>3737.1910569157894</v>
      </c>
      <c r="K80" s="11"/>
      <c r="L80" s="11"/>
      <c r="M80" s="11"/>
    </row>
    <row r="81" spans="1:15" ht="15.75" customHeight="1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11"/>
      <c r="L81" s="11"/>
      <c r="M81" s="11"/>
    </row>
    <row r="82" spans="1:15">
      <c r="A82" s="230" t="s">
        <v>26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</row>
    <row r="83" spans="1:15" ht="42">
      <c r="A83" s="281" t="s">
        <v>28</v>
      </c>
      <c r="B83" s="281"/>
      <c r="C83" s="281"/>
      <c r="D83" s="281"/>
      <c r="E83" s="26" t="s">
        <v>7</v>
      </c>
      <c r="F83" s="26" t="s">
        <v>18</v>
      </c>
      <c r="G83" s="9" t="s">
        <v>48</v>
      </c>
      <c r="H83" s="9" t="s">
        <v>76</v>
      </c>
      <c r="I83" s="9" t="s">
        <v>69</v>
      </c>
      <c r="J83" s="11"/>
      <c r="K83" s="177"/>
      <c r="L83" s="177"/>
      <c r="M83" s="178"/>
      <c r="N83" s="179"/>
    </row>
    <row r="84" spans="1:15" ht="15" customHeight="1">
      <c r="A84" s="245" t="s">
        <v>115</v>
      </c>
      <c r="B84" s="246"/>
      <c r="C84" s="246"/>
      <c r="D84" s="247"/>
      <c r="E84" s="52" t="s">
        <v>27</v>
      </c>
      <c r="F84" s="26">
        <v>1</v>
      </c>
      <c r="G84" s="102">
        <f>(38400+27924.16)*0.05454</f>
        <v>3617.3196864000001</v>
      </c>
      <c r="H84" s="46">
        <v>38</v>
      </c>
      <c r="I84" s="102">
        <f>G84/H84</f>
        <v>95.192623326315797</v>
      </c>
      <c r="J84" s="11"/>
      <c r="K84" s="185"/>
      <c r="L84" s="185"/>
      <c r="M84" s="186"/>
      <c r="N84" s="179"/>
      <c r="O84" s="1"/>
    </row>
    <row r="85" spans="1:15" ht="15" customHeight="1">
      <c r="A85" s="245" t="s">
        <v>116</v>
      </c>
      <c r="B85" s="246"/>
      <c r="C85" s="246"/>
      <c r="D85" s="247"/>
      <c r="E85" s="52" t="s">
        <v>27</v>
      </c>
      <c r="F85" s="52">
        <v>1</v>
      </c>
      <c r="G85" s="82">
        <f>157335.63*0.05454</f>
        <v>8581.0852601999995</v>
      </c>
      <c r="H85" s="46">
        <v>38</v>
      </c>
      <c r="I85" s="102">
        <f>G85/H85</f>
        <v>225.81803316315788</v>
      </c>
      <c r="J85" s="11"/>
      <c r="K85" s="185"/>
      <c r="L85" s="185"/>
      <c r="M85" s="186"/>
      <c r="N85" s="179"/>
    </row>
    <row r="86" spans="1:15" ht="15" customHeight="1">
      <c r="A86" s="245" t="s">
        <v>117</v>
      </c>
      <c r="B86" s="246"/>
      <c r="C86" s="246"/>
      <c r="D86" s="247"/>
      <c r="E86" s="52" t="s">
        <v>27</v>
      </c>
      <c r="F86" s="52">
        <v>1</v>
      </c>
      <c r="G86" s="82">
        <f>118800*0.05454</f>
        <v>6479.3519999999999</v>
      </c>
      <c r="H86" s="46">
        <v>38</v>
      </c>
      <c r="I86" s="102">
        <f t="shared" ref="I86:I94" si="5">G86/H86</f>
        <v>170.50926315789474</v>
      </c>
      <c r="J86" s="11"/>
      <c r="K86" s="185"/>
      <c r="L86" s="185"/>
      <c r="M86" s="186"/>
      <c r="N86" s="179"/>
    </row>
    <row r="87" spans="1:15" ht="15" customHeight="1">
      <c r="A87" s="245" t="s">
        <v>118</v>
      </c>
      <c r="B87" s="246"/>
      <c r="C87" s="246"/>
      <c r="D87" s="247"/>
      <c r="E87" s="52" t="s">
        <v>27</v>
      </c>
      <c r="F87" s="52">
        <v>1</v>
      </c>
      <c r="G87" s="82">
        <f>9600*0.05454</f>
        <v>523.58399999999995</v>
      </c>
      <c r="H87" s="46">
        <v>38</v>
      </c>
      <c r="I87" s="102">
        <f t="shared" si="5"/>
        <v>13.778526315789472</v>
      </c>
      <c r="J87" s="11"/>
      <c r="K87" s="185"/>
      <c r="L87" s="185"/>
      <c r="M87" s="186"/>
      <c r="N87" s="179"/>
    </row>
    <row r="88" spans="1:15" ht="15" customHeight="1">
      <c r="A88" s="245" t="s">
        <v>176</v>
      </c>
      <c r="B88" s="246"/>
      <c r="C88" s="246"/>
      <c r="D88" s="247"/>
      <c r="E88" s="52" t="s">
        <v>27</v>
      </c>
      <c r="F88" s="52">
        <v>1</v>
      </c>
      <c r="G88" s="82">
        <f>2000*0.05454</f>
        <v>109.08</v>
      </c>
      <c r="H88" s="46">
        <v>38</v>
      </c>
      <c r="I88" s="102">
        <f>G88/H88</f>
        <v>2.8705263157894736</v>
      </c>
      <c r="J88" s="11"/>
      <c r="K88" s="177"/>
      <c r="L88" s="177"/>
      <c r="M88" s="186"/>
      <c r="N88" s="179"/>
    </row>
    <row r="89" spans="1:15" ht="15" customHeight="1">
      <c r="A89" s="245" t="s">
        <v>75</v>
      </c>
      <c r="B89" s="246"/>
      <c r="C89" s="246"/>
      <c r="D89" s="247"/>
      <c r="E89" s="52" t="s">
        <v>27</v>
      </c>
      <c r="F89" s="52">
        <v>1</v>
      </c>
      <c r="G89" s="82">
        <f>(3300+7434)*0.05454</f>
        <v>585.43236000000002</v>
      </c>
      <c r="H89" s="46">
        <v>38</v>
      </c>
      <c r="I89" s="102">
        <f t="shared" si="5"/>
        <v>15.406114736842106</v>
      </c>
      <c r="J89" s="11"/>
      <c r="K89" s="177"/>
      <c r="L89" s="177"/>
      <c r="M89" s="178"/>
      <c r="N89" s="179"/>
    </row>
    <row r="90" spans="1:15" ht="15" customHeight="1">
      <c r="A90" s="274" t="s">
        <v>119</v>
      </c>
      <c r="B90" s="275"/>
      <c r="C90" s="275"/>
      <c r="D90" s="276"/>
      <c r="E90" s="52" t="s">
        <v>27</v>
      </c>
      <c r="F90" s="52">
        <v>1</v>
      </c>
      <c r="G90" s="38">
        <f>32500*0.05454</f>
        <v>1772.55</v>
      </c>
      <c r="H90" s="46">
        <v>38</v>
      </c>
      <c r="I90" s="102">
        <f t="shared" si="5"/>
        <v>46.646052631578947</v>
      </c>
      <c r="J90" s="11"/>
      <c r="K90" s="177"/>
      <c r="L90" s="177"/>
      <c r="M90" s="178"/>
      <c r="N90" s="179"/>
    </row>
    <row r="91" spans="1:15" ht="28.5" customHeight="1">
      <c r="A91" s="245" t="s">
        <v>120</v>
      </c>
      <c r="B91" s="246"/>
      <c r="C91" s="246"/>
      <c r="D91" s="247"/>
      <c r="E91" s="52" t="s">
        <v>27</v>
      </c>
      <c r="F91" s="52">
        <v>1</v>
      </c>
      <c r="G91" s="70">
        <f>52300*0.05454</f>
        <v>2852.442</v>
      </c>
      <c r="H91" s="46">
        <v>38</v>
      </c>
      <c r="I91" s="102">
        <f t="shared" si="5"/>
        <v>75.064263157894743</v>
      </c>
      <c r="J91" s="11"/>
      <c r="K91" s="177"/>
      <c r="L91" s="177"/>
      <c r="M91" s="178"/>
      <c r="N91" s="187"/>
    </row>
    <row r="92" spans="1:15" ht="16.5" customHeight="1">
      <c r="A92" s="80" t="s">
        <v>121</v>
      </c>
      <c r="B92" s="81"/>
      <c r="C92" s="81"/>
      <c r="D92" s="81"/>
      <c r="E92" s="52" t="s">
        <v>27</v>
      </c>
      <c r="F92" s="52">
        <v>1</v>
      </c>
      <c r="G92" s="38">
        <f>13200*0.05454</f>
        <v>719.928</v>
      </c>
      <c r="H92" s="46">
        <v>38</v>
      </c>
      <c r="I92" s="102">
        <f t="shared" si="5"/>
        <v>18.945473684210526</v>
      </c>
      <c r="J92" s="11"/>
      <c r="K92" s="177"/>
      <c r="L92" s="177"/>
      <c r="M92" s="178"/>
      <c r="N92" s="179"/>
    </row>
    <row r="93" spans="1:15" ht="15" customHeight="1">
      <c r="A93" s="274" t="s">
        <v>123</v>
      </c>
      <c r="B93" s="275"/>
      <c r="C93" s="275"/>
      <c r="D93" s="276"/>
      <c r="E93" s="52" t="s">
        <v>27</v>
      </c>
      <c r="F93" s="52">
        <v>1</v>
      </c>
      <c r="G93" s="48">
        <f>24000*0.05454</f>
        <v>1308.96</v>
      </c>
      <c r="H93" s="46">
        <v>38</v>
      </c>
      <c r="I93" s="102">
        <f t="shared" si="5"/>
        <v>34.446315789473687</v>
      </c>
      <c r="J93" s="11"/>
      <c r="K93" s="177"/>
      <c r="L93" s="177"/>
      <c r="M93" s="178"/>
      <c r="N93" s="179"/>
    </row>
    <row r="94" spans="1:15" s="1" customFormat="1" ht="15" customHeight="1" thickBot="1">
      <c r="A94" s="274" t="s">
        <v>175</v>
      </c>
      <c r="B94" s="275"/>
      <c r="C94" s="275"/>
      <c r="D94" s="276"/>
      <c r="E94" s="52" t="s">
        <v>27</v>
      </c>
      <c r="F94" s="52">
        <v>1</v>
      </c>
      <c r="G94" s="48">
        <f>24000*0.05454</f>
        <v>1308.96</v>
      </c>
      <c r="H94" s="46">
        <v>38</v>
      </c>
      <c r="I94" s="102">
        <f t="shared" si="5"/>
        <v>34.446315789473687</v>
      </c>
      <c r="J94" s="13"/>
      <c r="K94" s="42"/>
      <c r="L94" s="42"/>
      <c r="M94" s="180"/>
      <c r="N94" s="179"/>
      <c r="O94"/>
    </row>
    <row r="95" spans="1:15" ht="15" customHeight="1" thickBot="1">
      <c r="A95" s="163" t="s">
        <v>54</v>
      </c>
      <c r="B95" s="164"/>
      <c r="C95" s="164"/>
      <c r="D95" s="164"/>
      <c r="E95" s="164"/>
      <c r="F95" s="164"/>
      <c r="G95" s="181">
        <f>SUM(G84:G94)</f>
        <v>27858.693306599995</v>
      </c>
      <c r="H95" s="183"/>
      <c r="I95" s="182">
        <f>SUM(I84:I94)</f>
        <v>733.12350806842119</v>
      </c>
      <c r="K95" s="188"/>
      <c r="L95" s="17"/>
      <c r="M95" s="17"/>
      <c r="N95" s="179"/>
    </row>
    <row r="96" spans="1:15" ht="9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32" ht="15" customHeight="1">
      <c r="A97" s="230" t="s">
        <v>50</v>
      </c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</row>
    <row r="98" spans="1:32" ht="42">
      <c r="A98" s="214" t="s">
        <v>28</v>
      </c>
      <c r="B98" s="215"/>
      <c r="C98" s="215"/>
      <c r="D98" s="215"/>
      <c r="E98" s="26" t="s">
        <v>7</v>
      </c>
      <c r="F98" s="9" t="s">
        <v>56</v>
      </c>
      <c r="G98" s="9" t="s">
        <v>48</v>
      </c>
      <c r="H98" s="9" t="s">
        <v>76</v>
      </c>
      <c r="I98" s="9" t="s">
        <v>69</v>
      </c>
      <c r="J98" s="11"/>
      <c r="K98" s="11"/>
      <c r="L98" s="11"/>
      <c r="M98" s="11"/>
      <c r="AB98" s="179"/>
      <c r="AC98" s="179"/>
      <c r="AD98" s="179"/>
      <c r="AE98" s="179"/>
      <c r="AF98" s="179"/>
    </row>
    <row r="99" spans="1:32" ht="43.8" customHeight="1">
      <c r="A99" s="212" t="s">
        <v>126</v>
      </c>
      <c r="B99" s="213"/>
      <c r="C99" s="213"/>
      <c r="D99" s="213"/>
      <c r="E99" s="52" t="s">
        <v>27</v>
      </c>
      <c r="F99" s="52">
        <v>1</v>
      </c>
      <c r="G99" s="82">
        <f>2547.27*0.05454</f>
        <v>138.9281058</v>
      </c>
      <c r="H99" s="46">
        <v>38</v>
      </c>
      <c r="I99" s="103">
        <f>G99/H99</f>
        <v>3.6560027842105263</v>
      </c>
      <c r="J99" s="11"/>
      <c r="K99" s="186"/>
      <c r="L99" s="178"/>
      <c r="M99" s="186"/>
      <c r="N99" s="192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79"/>
    </row>
    <row r="100" spans="1:32" ht="15" customHeight="1">
      <c r="A100" s="212" t="s">
        <v>127</v>
      </c>
      <c r="B100" s="213"/>
      <c r="C100" s="213"/>
      <c r="D100" s="213"/>
      <c r="E100" s="52" t="s">
        <v>27</v>
      </c>
      <c r="F100" s="52">
        <v>1</v>
      </c>
      <c r="G100" s="82">
        <f>36480*0.05454</f>
        <v>1989.6191999999999</v>
      </c>
      <c r="H100" s="46">
        <v>38</v>
      </c>
      <c r="I100" s="103">
        <f t="shared" ref="I100" si="6">G100/H100</f>
        <v>52.358399999999996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28.8" customHeight="1">
      <c r="A101" s="212" t="s">
        <v>128</v>
      </c>
      <c r="B101" s="213"/>
      <c r="C101" s="213"/>
      <c r="D101" s="213"/>
      <c r="E101" s="52" t="s">
        <v>27</v>
      </c>
      <c r="F101" s="52">
        <v>1</v>
      </c>
      <c r="G101" s="82">
        <f>(128994.21+85586)*0.05454</f>
        <v>11703.2046534</v>
      </c>
      <c r="H101" s="46">
        <v>38</v>
      </c>
      <c r="I101" s="103">
        <f>G101/H101</f>
        <v>307.97906982631577</v>
      </c>
      <c r="J101" s="11"/>
      <c r="K101" s="186"/>
      <c r="L101" s="178"/>
      <c r="M101" s="186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184</v>
      </c>
      <c r="B102" s="213"/>
      <c r="C102" s="213"/>
      <c r="D102" s="219"/>
      <c r="E102" s="52" t="s">
        <v>27</v>
      </c>
      <c r="F102" s="52">
        <v>1</v>
      </c>
      <c r="G102" s="82">
        <f>3000*0.05454</f>
        <v>163.62</v>
      </c>
      <c r="H102" s="46">
        <v>38</v>
      </c>
      <c r="I102" s="103">
        <f t="shared" ref="I102:I113" si="7">G102/H102</f>
        <v>4.3057894736842108</v>
      </c>
      <c r="J102" s="11"/>
      <c r="K102" s="178"/>
      <c r="L102" s="178"/>
      <c r="M102" s="178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185</v>
      </c>
      <c r="B103" s="213"/>
      <c r="C103" s="213"/>
      <c r="D103" s="219"/>
      <c r="E103" s="52" t="s">
        <v>27</v>
      </c>
      <c r="F103" s="52">
        <v>1</v>
      </c>
      <c r="G103" s="82">
        <f>(24000+37400)*0.05454</f>
        <v>3348.7559999999999</v>
      </c>
      <c r="H103" s="46">
        <v>38</v>
      </c>
      <c r="I103" s="103">
        <f t="shared" si="7"/>
        <v>88.125157894736844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182</v>
      </c>
      <c r="B104" s="213"/>
      <c r="C104" s="213"/>
      <c r="D104" s="219"/>
      <c r="E104" s="52" t="s">
        <v>27</v>
      </c>
      <c r="F104" s="52">
        <v>1</v>
      </c>
      <c r="G104" s="82">
        <f>19350*0.05454</f>
        <v>1055.3489999999999</v>
      </c>
      <c r="H104" s="46">
        <v>38</v>
      </c>
      <c r="I104" s="103">
        <f t="shared" si="7"/>
        <v>27.772342105263156</v>
      </c>
      <c r="J104" s="11"/>
      <c r="K104" s="186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42.6" customHeight="1">
      <c r="A105" s="212" t="s">
        <v>177</v>
      </c>
      <c r="B105" s="213"/>
      <c r="C105" s="213"/>
      <c r="D105" s="213"/>
      <c r="E105" s="52" t="s">
        <v>27</v>
      </c>
      <c r="F105" s="52">
        <v>1</v>
      </c>
      <c r="G105" s="70">
        <f>14328.44*0.05454</f>
        <v>781.47311760000002</v>
      </c>
      <c r="H105" s="46">
        <v>38</v>
      </c>
      <c r="I105" s="103">
        <f t="shared" si="7"/>
        <v>20.565082042105264</v>
      </c>
      <c r="J105" s="11"/>
      <c r="K105" s="178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>
      <c r="A106" s="212" t="s">
        <v>130</v>
      </c>
      <c r="B106" s="213"/>
      <c r="C106" s="213"/>
      <c r="D106" s="213"/>
      <c r="E106" s="52" t="s">
        <v>27</v>
      </c>
      <c r="F106" s="52">
        <v>1</v>
      </c>
      <c r="G106" s="82">
        <f>(113262.84+4600)*0.05454</f>
        <v>6428.2392935999997</v>
      </c>
      <c r="H106" s="46">
        <v>38</v>
      </c>
      <c r="I106" s="103">
        <f t="shared" si="7"/>
        <v>169.16419193684209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178</v>
      </c>
      <c r="B107" s="213"/>
      <c r="C107" s="213"/>
      <c r="D107" s="219"/>
      <c r="E107" s="52" t="s">
        <v>27</v>
      </c>
      <c r="F107" s="52">
        <v>1</v>
      </c>
      <c r="G107" s="82">
        <f>41300*0.05454</f>
        <v>2252.502</v>
      </c>
      <c r="H107" s="46">
        <v>38</v>
      </c>
      <c r="I107" s="103">
        <f t="shared" si="7"/>
        <v>59.276368421052631</v>
      </c>
      <c r="J107" s="11"/>
      <c r="K107" s="190"/>
      <c r="L107" s="190"/>
      <c r="M107" s="191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</row>
    <row r="108" spans="1:32">
      <c r="A108" s="212" t="s">
        <v>183</v>
      </c>
      <c r="B108" s="213"/>
      <c r="C108" s="213"/>
      <c r="D108" s="219"/>
      <c r="E108" s="52" t="s">
        <v>27</v>
      </c>
      <c r="F108" s="52">
        <v>1</v>
      </c>
      <c r="G108" s="82">
        <f>7000*0.05454</f>
        <v>381.78</v>
      </c>
      <c r="H108" s="46">
        <v>38</v>
      </c>
      <c r="I108" s="103">
        <f t="shared" si="7"/>
        <v>10.046842105263158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94" t="s">
        <v>179</v>
      </c>
      <c r="B109" s="295"/>
      <c r="C109" s="295"/>
      <c r="D109" s="296"/>
      <c r="E109" s="52" t="s">
        <v>27</v>
      </c>
      <c r="F109" s="52">
        <v>1</v>
      </c>
      <c r="G109" s="82">
        <f>23130*0.05454</f>
        <v>1261.5101999999999</v>
      </c>
      <c r="H109" s="46">
        <v>38</v>
      </c>
      <c r="I109" s="103">
        <f t="shared" si="7"/>
        <v>33.197636842105261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180</v>
      </c>
      <c r="B110" s="295"/>
      <c r="C110" s="295"/>
      <c r="D110" s="296"/>
      <c r="E110" s="52" t="s">
        <v>27</v>
      </c>
      <c r="F110" s="52">
        <v>1</v>
      </c>
      <c r="G110" s="82">
        <f>21956*0.05454</f>
        <v>1197.4802399999999</v>
      </c>
      <c r="H110" s="46">
        <v>38</v>
      </c>
      <c r="I110" s="103">
        <f t="shared" si="7"/>
        <v>31.512637894736837</v>
      </c>
      <c r="J110" s="11"/>
      <c r="K110" s="190"/>
      <c r="L110" s="190"/>
      <c r="M110" s="191"/>
      <c r="N110" s="179"/>
      <c r="AB110" s="179"/>
      <c r="AC110" s="179"/>
      <c r="AD110" s="179"/>
      <c r="AE110" s="179"/>
      <c r="AF110" s="179"/>
    </row>
    <row r="111" spans="1:32">
      <c r="A111" s="294" t="s">
        <v>181</v>
      </c>
      <c r="B111" s="295"/>
      <c r="C111" s="295"/>
      <c r="D111" s="296"/>
      <c r="E111" s="52" t="s">
        <v>27</v>
      </c>
      <c r="F111" s="52">
        <v>1</v>
      </c>
      <c r="G111" s="82">
        <f>195935.38*0.05454</f>
        <v>10686.315625200001</v>
      </c>
      <c r="H111" s="46">
        <v>38</v>
      </c>
      <c r="I111" s="103">
        <f t="shared" si="7"/>
        <v>281.21883224210529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 ht="18" customHeight="1">
      <c r="A112" s="212" t="s">
        <v>131</v>
      </c>
      <c r="B112" s="213"/>
      <c r="C112" s="213"/>
      <c r="D112" s="213"/>
      <c r="E112" s="52" t="s">
        <v>27</v>
      </c>
      <c r="F112" s="52">
        <v>1</v>
      </c>
      <c r="G112" s="70">
        <f>11196.7*0.05454</f>
        <v>610.66801800000007</v>
      </c>
      <c r="H112" s="46">
        <v>38</v>
      </c>
      <c r="I112" s="103">
        <f t="shared" si="7"/>
        <v>16.070211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46.2" customHeight="1" thickBot="1">
      <c r="A113" s="212" t="s">
        <v>132</v>
      </c>
      <c r="B113" s="213"/>
      <c r="C113" s="213"/>
      <c r="D113" s="213"/>
      <c r="E113" s="52" t="s">
        <v>27</v>
      </c>
      <c r="F113" s="52">
        <v>1</v>
      </c>
      <c r="G113" s="70">
        <f>22460*0.05454</f>
        <v>1224.9684</v>
      </c>
      <c r="H113" s="46">
        <v>38</v>
      </c>
      <c r="I113" s="103">
        <f t="shared" si="7"/>
        <v>32.236010526315788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20.25" customHeight="1" thickBot="1">
      <c r="A114" s="217" t="s">
        <v>53</v>
      </c>
      <c r="B114" s="218"/>
      <c r="C114" s="218"/>
      <c r="D114" s="218"/>
      <c r="E114" s="99"/>
      <c r="F114" s="51"/>
      <c r="G114" s="73">
        <f>SUM(G99:G113)</f>
        <v>43224.413853599995</v>
      </c>
      <c r="H114" s="47"/>
      <c r="I114" s="33">
        <f>SUM(I99:I113)</f>
        <v>1137.4845750947368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s="86" customFormat="1" ht="20.25" customHeight="1">
      <c r="A115" s="87"/>
      <c r="B115" s="87"/>
      <c r="C115" s="87"/>
      <c r="D115" s="87"/>
      <c r="E115" s="87"/>
      <c r="F115" s="87"/>
      <c r="G115" s="87"/>
      <c r="H115" s="87"/>
      <c r="I115" s="83"/>
      <c r="J115" s="84"/>
      <c r="K115" s="85"/>
      <c r="L115" s="85"/>
      <c r="M115" s="88"/>
      <c r="N115"/>
      <c r="O115"/>
      <c r="P115"/>
      <c r="Q115"/>
      <c r="R115"/>
    </row>
    <row r="116" spans="1:32" ht="15" customHeight="1">
      <c r="A116" s="230" t="s">
        <v>89</v>
      </c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</row>
    <row r="117" spans="1:32" ht="42">
      <c r="A117" s="214" t="s">
        <v>28</v>
      </c>
      <c r="B117" s="215"/>
      <c r="C117" s="215"/>
      <c r="D117" s="215"/>
      <c r="E117" s="9" t="s">
        <v>77</v>
      </c>
      <c r="F117" s="9" t="s">
        <v>48</v>
      </c>
      <c r="G117" s="9" t="s">
        <v>76</v>
      </c>
      <c r="H117" s="9" t="s">
        <v>69</v>
      </c>
      <c r="I117" s="11"/>
      <c r="J117" s="11"/>
      <c r="K117" s="11"/>
      <c r="L117" s="11"/>
    </row>
    <row r="118" spans="1:32">
      <c r="A118" s="212" t="s">
        <v>80</v>
      </c>
      <c r="B118" s="213"/>
      <c r="C118" s="213"/>
      <c r="D118" s="213"/>
      <c r="E118" s="52" t="s">
        <v>27</v>
      </c>
      <c r="F118" s="82">
        <f>(1226746.52+13932+69179+41668.5-163.49)*0.05454</f>
        <v>73703.312386199992</v>
      </c>
      <c r="G118" s="46">
        <v>38</v>
      </c>
      <c r="H118" s="103">
        <f t="shared" ref="H118:H125" si="8">F118/G118</f>
        <v>1939.5608522684208</v>
      </c>
      <c r="I118" s="11"/>
      <c r="J118" s="17"/>
      <c r="K118" s="17"/>
      <c r="L118" s="11"/>
    </row>
    <row r="119" spans="1:32">
      <c r="A119" s="212" t="s">
        <v>192</v>
      </c>
      <c r="B119" s="213"/>
      <c r="C119" s="213"/>
      <c r="D119" s="213"/>
      <c r="E119" s="52" t="s">
        <v>27</v>
      </c>
      <c r="F119" s="82">
        <f>99900*0.05454</f>
        <v>5448.5459999999994</v>
      </c>
      <c r="G119" s="46">
        <v>38</v>
      </c>
      <c r="H119" s="103">
        <f t="shared" si="8"/>
        <v>143.3827894736842</v>
      </c>
      <c r="I119" s="11"/>
      <c r="J119" s="17"/>
      <c r="K119" s="17"/>
      <c r="L119" s="11"/>
    </row>
    <row r="120" spans="1:32">
      <c r="A120" s="212" t="s">
        <v>191</v>
      </c>
      <c r="B120" s="213"/>
      <c r="C120" s="213"/>
      <c r="D120" s="213"/>
      <c r="E120" s="52" t="s">
        <v>27</v>
      </c>
      <c r="F120" s="189">
        <f>1773120.88*0.05454</f>
        <v>96706.012795199989</v>
      </c>
      <c r="G120" s="46">
        <v>38</v>
      </c>
      <c r="H120" s="103">
        <f t="shared" si="8"/>
        <v>2544.8950735578946</v>
      </c>
      <c r="I120" s="191"/>
      <c r="J120" s="179"/>
    </row>
    <row r="121" spans="1:32">
      <c r="A121" s="212" t="s">
        <v>188</v>
      </c>
      <c r="B121" s="213"/>
      <c r="C121" s="213"/>
      <c r="D121" s="213"/>
      <c r="E121" s="52" t="s">
        <v>27</v>
      </c>
      <c r="F121" s="193">
        <f>29019.5*0.05454</f>
        <v>1582.72353</v>
      </c>
      <c r="G121" s="46">
        <v>38</v>
      </c>
      <c r="H121" s="103">
        <f t="shared" si="8"/>
        <v>41.650619210526315</v>
      </c>
      <c r="I121" s="191"/>
      <c r="J121" s="179"/>
    </row>
    <row r="122" spans="1:32">
      <c r="A122" s="212" t="s">
        <v>189</v>
      </c>
      <c r="B122" s="213"/>
      <c r="C122" s="213"/>
      <c r="D122" s="213"/>
      <c r="E122" s="52" t="s">
        <v>27</v>
      </c>
      <c r="F122" s="59">
        <f>780*0.05454</f>
        <v>42.541199999999996</v>
      </c>
      <c r="G122" s="46">
        <v>38</v>
      </c>
      <c r="H122" s="103">
        <f>F122/G122</f>
        <v>1.1195052631578946</v>
      </c>
      <c r="I122" s="191"/>
      <c r="J122" s="179"/>
    </row>
    <row r="123" spans="1:32">
      <c r="A123" s="212" t="s">
        <v>193</v>
      </c>
      <c r="B123" s="213"/>
      <c r="C123" s="213"/>
      <c r="D123" s="219"/>
      <c r="E123" s="52" t="s">
        <v>27</v>
      </c>
      <c r="F123" s="59">
        <f>78540*0.05454</f>
        <v>4283.5716000000002</v>
      </c>
      <c r="G123" s="46">
        <v>38</v>
      </c>
      <c r="H123" s="103">
        <f>F123/G123</f>
        <v>112.72556842105264</v>
      </c>
      <c r="I123" s="191"/>
      <c r="J123" s="179"/>
    </row>
    <row r="124" spans="1:32">
      <c r="A124" s="212" t="s">
        <v>194</v>
      </c>
      <c r="B124" s="213"/>
      <c r="C124" s="213"/>
      <c r="D124" s="219"/>
      <c r="E124" s="52" t="s">
        <v>27</v>
      </c>
      <c r="F124" s="59">
        <f>(11720+10155)*0.05454</f>
        <v>1193.0625</v>
      </c>
      <c r="G124" s="46">
        <v>38</v>
      </c>
      <c r="H124" s="103">
        <f>F124/G124</f>
        <v>31.39638157894737</v>
      </c>
      <c r="I124" s="191"/>
      <c r="J124" s="179"/>
    </row>
    <row r="125" spans="1:32" ht="15" thickBot="1">
      <c r="A125" s="212" t="s">
        <v>190</v>
      </c>
      <c r="B125" s="213"/>
      <c r="C125" s="213"/>
      <c r="D125" s="213"/>
      <c r="E125" s="52" t="s">
        <v>27</v>
      </c>
      <c r="F125" s="38">
        <f>(97062.04+10891.11+3449.6)*0.05454</f>
        <v>6075.9059849999994</v>
      </c>
      <c r="G125" s="46">
        <v>38</v>
      </c>
      <c r="H125" s="103">
        <f t="shared" si="8"/>
        <v>159.89226276315787</v>
      </c>
      <c r="I125" s="191"/>
      <c r="J125" s="179"/>
    </row>
    <row r="126" spans="1:32" ht="20.25" customHeight="1" thickBot="1">
      <c r="A126" s="217" t="s">
        <v>53</v>
      </c>
      <c r="B126" s="218"/>
      <c r="C126" s="218"/>
      <c r="D126" s="218"/>
      <c r="E126" s="52" t="s">
        <v>27</v>
      </c>
      <c r="F126" s="194">
        <f>SUM(F118:F125)</f>
        <v>189035.67599639995</v>
      </c>
      <c r="G126" s="114"/>
      <c r="H126" s="195">
        <f>SUM(H118:H118)</f>
        <v>1939.5608522684208</v>
      </c>
      <c r="I126" s="11"/>
      <c r="J126" s="34"/>
      <c r="K126" s="11"/>
      <c r="L126" s="11"/>
    </row>
    <row r="127" spans="1:32" ht="12" customHeight="1">
      <c r="A127" s="89"/>
      <c r="B127" s="89"/>
      <c r="C127" s="89"/>
      <c r="D127" s="89"/>
      <c r="E127" s="90"/>
      <c r="F127" s="91"/>
      <c r="G127" s="92"/>
      <c r="H127" s="91"/>
      <c r="I127" s="93"/>
      <c r="J127" s="71"/>
      <c r="K127" s="94"/>
      <c r="L127" s="94"/>
      <c r="M127" s="50"/>
    </row>
    <row r="128" spans="1:32" ht="15.6">
      <c r="A128" s="273" t="s">
        <v>78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</row>
    <row r="129" spans="1:13" ht="55.8">
      <c r="A129" s="231" t="s">
        <v>3</v>
      </c>
      <c r="B129" s="231"/>
      <c r="C129" s="231"/>
      <c r="D129" s="231"/>
      <c r="E129" s="9" t="s">
        <v>4</v>
      </c>
      <c r="F129" s="10" t="s">
        <v>0</v>
      </c>
      <c r="G129" s="35" t="s">
        <v>52</v>
      </c>
      <c r="H129" s="35" t="s">
        <v>44</v>
      </c>
      <c r="I129" s="9" t="s">
        <v>63</v>
      </c>
      <c r="J129" s="9" t="s">
        <v>69</v>
      </c>
      <c r="K129" s="9" t="s">
        <v>46</v>
      </c>
      <c r="L129" s="28"/>
      <c r="M129" s="28"/>
    </row>
    <row r="130" spans="1:13">
      <c r="A130" s="252">
        <v>1</v>
      </c>
      <c r="B130" s="253"/>
      <c r="C130" s="253"/>
      <c r="D130" s="253"/>
      <c r="E130" s="26">
        <v>2</v>
      </c>
      <c r="F130" s="12">
        <v>3</v>
      </c>
      <c r="G130" s="26">
        <v>4</v>
      </c>
      <c r="H130" s="26" t="s">
        <v>125</v>
      </c>
      <c r="I130" s="27">
        <v>6</v>
      </c>
      <c r="J130" s="36">
        <v>7</v>
      </c>
      <c r="K130" s="37">
        <v>8</v>
      </c>
      <c r="L130" s="153"/>
      <c r="M130" s="28"/>
    </row>
    <row r="131" spans="1:13" ht="33" customHeight="1" thickBot="1">
      <c r="A131" s="236" t="s">
        <v>66</v>
      </c>
      <c r="B131" s="236"/>
      <c r="C131" s="236"/>
      <c r="D131" s="236"/>
      <c r="E131" s="38">
        <f>10239022.09/12/13.75</f>
        <v>62054.679333333333</v>
      </c>
      <c r="F131" s="38">
        <f>13.75*0.05454</f>
        <v>0.74992499999999995</v>
      </c>
      <c r="G131" s="38">
        <f>(7736226.265+127846)*0.05454</f>
        <v>428906.50133309996</v>
      </c>
      <c r="H131" s="38">
        <f>(G131*1.302)</f>
        <v>558436.26473569614</v>
      </c>
      <c r="I131" s="46">
        <v>38</v>
      </c>
      <c r="J131" s="38">
        <f>H131/I131</f>
        <v>14695.691177255161</v>
      </c>
      <c r="K131" s="63">
        <f>H131/(8696900+23460820)*100</f>
        <v>1.7365542853650575</v>
      </c>
      <c r="L131" s="154"/>
      <c r="M131" s="16"/>
    </row>
    <row r="132" spans="1:13" ht="15" hidden="1" customHeight="1" thickBot="1">
      <c r="A132" s="262"/>
      <c r="B132" s="263"/>
      <c r="C132" s="263"/>
      <c r="D132" s="263"/>
      <c r="E132" s="38">
        <v>17865.98</v>
      </c>
      <c r="F132" s="64">
        <v>4</v>
      </c>
      <c r="G132" s="46"/>
      <c r="H132" s="39">
        <f>H5</f>
        <v>0</v>
      </c>
      <c r="I132" s="38" t="e">
        <f t="shared" ref="I132:I153" si="9">F132/G132*H132</f>
        <v>#DIV/0!</v>
      </c>
      <c r="J132" s="38">
        <f t="shared" ref="J132:J153" si="10">E132*F132*12*1.302</f>
        <v>1116552.28608</v>
      </c>
      <c r="K132" s="65" t="s">
        <v>38</v>
      </c>
      <c r="L132" s="155"/>
      <c r="M132" s="32" t="e">
        <f t="shared" ref="M132:M156" si="11">I132*J132</f>
        <v>#DIV/0!</v>
      </c>
    </row>
    <row r="133" spans="1:13" ht="15" hidden="1" customHeight="1" thickBot="1">
      <c r="A133" s="293"/>
      <c r="B133" s="293"/>
      <c r="C133" s="293"/>
      <c r="D133" s="293"/>
      <c r="E133" s="38">
        <v>9544</v>
      </c>
      <c r="F133" s="64">
        <v>1</v>
      </c>
      <c r="G133" s="46"/>
      <c r="H133" s="39">
        <f>H5</f>
        <v>0</v>
      </c>
      <c r="I133" s="38" t="e">
        <f t="shared" si="9"/>
        <v>#DIV/0!</v>
      </c>
      <c r="J133" s="38">
        <f t="shared" si="10"/>
        <v>149115.45600000001</v>
      </c>
      <c r="K133" s="39">
        <f>H133/11277167.39*100</f>
        <v>0</v>
      </c>
      <c r="L133" s="39"/>
      <c r="M133" s="15" t="e">
        <f t="shared" si="11"/>
        <v>#DIV/0!</v>
      </c>
    </row>
    <row r="134" spans="1:13" ht="15" hidden="1" customHeight="1" thickBot="1">
      <c r="A134" s="274"/>
      <c r="B134" s="275"/>
      <c r="C134" s="275"/>
      <c r="D134" s="275"/>
      <c r="E134" s="38">
        <v>11560</v>
      </c>
      <c r="F134" s="64">
        <v>1</v>
      </c>
      <c r="G134" s="46"/>
      <c r="H134" s="39">
        <f>H5</f>
        <v>0</v>
      </c>
      <c r="I134" s="38" t="e">
        <f t="shared" si="9"/>
        <v>#DIV/0!</v>
      </c>
      <c r="J134" s="38">
        <f t="shared" si="10"/>
        <v>180613.44</v>
      </c>
      <c r="K134" s="30"/>
      <c r="L134" s="30"/>
      <c r="M134" s="15" t="e">
        <f t="shared" si="11"/>
        <v>#DIV/0!</v>
      </c>
    </row>
    <row r="135" spans="1:13" ht="15" hidden="1" customHeight="1" thickBot="1">
      <c r="A135" s="236"/>
      <c r="B135" s="236"/>
      <c r="C135" s="236"/>
      <c r="D135" s="236"/>
      <c r="E135" s="38">
        <v>9544</v>
      </c>
      <c r="F135" s="66">
        <v>0.5</v>
      </c>
      <c r="G135" s="46"/>
      <c r="H135" s="39">
        <f>H5</f>
        <v>0</v>
      </c>
      <c r="I135" s="38" t="e">
        <f t="shared" si="9"/>
        <v>#DIV/0!</v>
      </c>
      <c r="J135" s="38">
        <f t="shared" si="10"/>
        <v>74557.728000000003</v>
      </c>
      <c r="K135" s="30"/>
      <c r="L135" s="30"/>
      <c r="M135" s="15" t="e">
        <f t="shared" si="11"/>
        <v>#DIV/0!</v>
      </c>
    </row>
    <row r="136" spans="1:13" ht="15" hidden="1" customHeight="1" thickBot="1">
      <c r="A136" s="236"/>
      <c r="B136" s="236"/>
      <c r="C136" s="236"/>
      <c r="D136" s="236"/>
      <c r="E136" s="38">
        <v>9544</v>
      </c>
      <c r="F136" s="64">
        <v>1</v>
      </c>
      <c r="G136" s="46"/>
      <c r="H136" s="39">
        <f>H5</f>
        <v>0</v>
      </c>
      <c r="I136" s="38" t="e">
        <f t="shared" si="9"/>
        <v>#DIV/0!</v>
      </c>
      <c r="J136" s="38">
        <f t="shared" si="10"/>
        <v>149115.45600000001</v>
      </c>
      <c r="K136" s="38"/>
      <c r="L136" s="38"/>
      <c r="M136" s="15" t="e">
        <f t="shared" si="11"/>
        <v>#DIV/0!</v>
      </c>
    </row>
    <row r="137" spans="1:13" ht="14.25" hidden="1" customHeigh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H5</f>
        <v>0</v>
      </c>
      <c r="I137" s="38" t="e">
        <f t="shared" si="9"/>
        <v>#DIV/0!</v>
      </c>
      <c r="J137" s="38">
        <f t="shared" si="10"/>
        <v>149115.45600000001</v>
      </c>
      <c r="K137" s="47"/>
      <c r="L137" s="47"/>
      <c r="M137" s="15" t="e">
        <f t="shared" si="11"/>
        <v>#DIV/0!</v>
      </c>
    </row>
    <row r="138" spans="1:13" ht="15" hidden="1" customHeight="1" thickBot="1">
      <c r="A138" s="212"/>
      <c r="B138" s="213"/>
      <c r="C138" s="213"/>
      <c r="D138" s="213"/>
      <c r="E138" s="38">
        <v>9544</v>
      </c>
      <c r="F138" s="38"/>
      <c r="G138" s="46"/>
      <c r="H138" s="39">
        <f>H5</f>
        <v>0</v>
      </c>
      <c r="I138" s="38" t="e">
        <f t="shared" si="9"/>
        <v>#DIV/0!</v>
      </c>
      <c r="J138" s="38">
        <f t="shared" si="10"/>
        <v>0</v>
      </c>
      <c r="K138" s="47"/>
      <c r="L138" s="47"/>
      <c r="M138" s="15" t="e">
        <f t="shared" si="11"/>
        <v>#DIV/0!</v>
      </c>
    </row>
    <row r="139" spans="1:13" ht="15" hidden="1" customHeight="1" thickBot="1">
      <c r="A139" s="212"/>
      <c r="B139" s="213"/>
      <c r="C139" s="213"/>
      <c r="D139" s="213"/>
      <c r="E139" s="38">
        <v>9544</v>
      </c>
      <c r="F139" s="67">
        <v>0.25</v>
      </c>
      <c r="G139" s="46"/>
      <c r="H139" s="39">
        <f>H5</f>
        <v>0</v>
      </c>
      <c r="I139" s="38" t="e">
        <f t="shared" si="9"/>
        <v>#DIV/0!</v>
      </c>
      <c r="J139" s="38">
        <f t="shared" si="10"/>
        <v>37278.864000000001</v>
      </c>
      <c r="K139" s="47"/>
      <c r="L139" s="47"/>
      <c r="M139" s="15" t="e">
        <f t="shared" si="11"/>
        <v>#DIV/0!</v>
      </c>
    </row>
    <row r="140" spans="1:13" ht="15" hidden="1" customHeight="1" thickBot="1">
      <c r="A140" s="212"/>
      <c r="B140" s="213"/>
      <c r="C140" s="213"/>
      <c r="D140" s="213"/>
      <c r="E140" s="38">
        <v>9544</v>
      </c>
      <c r="F140" s="38"/>
      <c r="G140" s="46"/>
      <c r="H140" s="39">
        <f>H5</f>
        <v>0</v>
      </c>
      <c r="I140" s="38" t="e">
        <f t="shared" si="9"/>
        <v>#DIV/0!</v>
      </c>
      <c r="J140" s="38">
        <f t="shared" si="10"/>
        <v>0</v>
      </c>
      <c r="K140" s="47"/>
      <c r="L140" s="47"/>
      <c r="M140" s="15" t="e">
        <f t="shared" si="11"/>
        <v>#DIV/0!</v>
      </c>
    </row>
    <row r="141" spans="1:13" ht="15" hidden="1" customHeight="1" thickBot="1">
      <c r="A141" s="212"/>
      <c r="B141" s="213"/>
      <c r="C141" s="213"/>
      <c r="D141" s="213"/>
      <c r="E141" s="38">
        <v>9544</v>
      </c>
      <c r="F141" s="66">
        <v>0.5</v>
      </c>
      <c r="G141" s="46"/>
      <c r="H141" s="39">
        <f>H5</f>
        <v>0</v>
      </c>
      <c r="I141" s="38" t="e">
        <f t="shared" si="9"/>
        <v>#DIV/0!</v>
      </c>
      <c r="J141" s="38">
        <f t="shared" si="10"/>
        <v>74557.728000000003</v>
      </c>
      <c r="K141" s="47"/>
      <c r="L141" s="47"/>
      <c r="M141" s="15" t="e">
        <f t="shared" si="11"/>
        <v>#DIV/0!</v>
      </c>
    </row>
    <row r="142" spans="1:13" ht="15.75" hidden="1" customHeight="1">
      <c r="A142" s="212"/>
      <c r="B142" s="213"/>
      <c r="C142" s="213"/>
      <c r="D142" s="213"/>
      <c r="E142" s="38">
        <v>9544</v>
      </c>
      <c r="F142" s="64">
        <v>1</v>
      </c>
      <c r="G142" s="46"/>
      <c r="H142" s="39">
        <f>H5</f>
        <v>0</v>
      </c>
      <c r="I142" s="38" t="e">
        <f t="shared" si="9"/>
        <v>#DIV/0!</v>
      </c>
      <c r="J142" s="38">
        <f t="shared" si="10"/>
        <v>149115.45600000001</v>
      </c>
      <c r="K142" s="47"/>
      <c r="L142" s="47"/>
      <c r="M142" s="15" t="e">
        <f t="shared" si="11"/>
        <v>#DIV/0!</v>
      </c>
    </row>
    <row r="143" spans="1:13" ht="15" hidden="1" customHeight="1">
      <c r="A143" s="236"/>
      <c r="B143" s="236"/>
      <c r="C143" s="236"/>
      <c r="D143" s="236"/>
      <c r="E143" s="38">
        <v>9544</v>
      </c>
      <c r="F143" s="64">
        <v>1</v>
      </c>
      <c r="G143" s="46"/>
      <c r="H143" s="39">
        <f>H5</f>
        <v>0</v>
      </c>
      <c r="I143" s="38" t="e">
        <f t="shared" si="9"/>
        <v>#DIV/0!</v>
      </c>
      <c r="J143" s="38">
        <f t="shared" si="10"/>
        <v>149115.45600000001</v>
      </c>
      <c r="K143" s="47"/>
      <c r="L143" s="47"/>
      <c r="M143" s="15" t="e">
        <f t="shared" si="11"/>
        <v>#DIV/0!</v>
      </c>
    </row>
    <row r="144" spans="1:13" ht="15" hidden="1" customHeight="1" thickBot="1">
      <c r="A144" s="236"/>
      <c r="B144" s="236"/>
      <c r="C144" s="236"/>
      <c r="D144" s="236"/>
      <c r="E144" s="38">
        <v>9544</v>
      </c>
      <c r="F144" s="66">
        <v>5.5</v>
      </c>
      <c r="G144" s="46"/>
      <c r="H144" s="39">
        <f>H5</f>
        <v>0</v>
      </c>
      <c r="I144" s="38" t="e">
        <f t="shared" si="9"/>
        <v>#DIV/0!</v>
      </c>
      <c r="J144" s="38">
        <f t="shared" si="10"/>
        <v>820135.00800000003</v>
      </c>
      <c r="K144" s="47"/>
      <c r="L144" s="47"/>
      <c r="M144" s="15" t="e">
        <f t="shared" si="11"/>
        <v>#DIV/0!</v>
      </c>
    </row>
    <row r="145" spans="1:13" ht="15" hidden="1" customHeight="1" thickBot="1">
      <c r="A145" s="236"/>
      <c r="B145" s="236"/>
      <c r="C145" s="236"/>
      <c r="D145" s="236"/>
      <c r="E145" s="38">
        <v>9544</v>
      </c>
      <c r="F145" s="64">
        <v>1</v>
      </c>
      <c r="G145" s="46"/>
      <c r="H145" s="39">
        <f>H5</f>
        <v>0</v>
      </c>
      <c r="I145" s="38" t="e">
        <f t="shared" si="9"/>
        <v>#DIV/0!</v>
      </c>
      <c r="J145" s="38">
        <f t="shared" si="10"/>
        <v>149115.45600000001</v>
      </c>
      <c r="K145" s="47"/>
      <c r="L145" s="47"/>
      <c r="M145" s="15" t="e">
        <f t="shared" si="11"/>
        <v>#DIV/0!</v>
      </c>
    </row>
    <row r="146" spans="1:13" ht="15" hidden="1" customHeight="1" thickBot="1">
      <c r="A146" s="236"/>
      <c r="B146" s="236"/>
      <c r="C146" s="236"/>
      <c r="D146" s="236"/>
      <c r="E146" s="38">
        <v>9544</v>
      </c>
      <c r="F146" s="66">
        <v>0.5</v>
      </c>
      <c r="G146" s="46"/>
      <c r="H146" s="39">
        <f>H5</f>
        <v>0</v>
      </c>
      <c r="I146" s="38" t="e">
        <f t="shared" si="9"/>
        <v>#DIV/0!</v>
      </c>
      <c r="J146" s="38">
        <f t="shared" si="10"/>
        <v>74557.728000000003</v>
      </c>
      <c r="K146" s="47"/>
      <c r="L146" s="47"/>
      <c r="M146" s="15" t="e">
        <f t="shared" si="11"/>
        <v>#DIV/0!</v>
      </c>
    </row>
    <row r="147" spans="1:13" ht="15" hidden="1" customHeight="1" thickBo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H5</f>
        <v>0</v>
      </c>
      <c r="I147" s="38" t="e">
        <f t="shared" si="9"/>
        <v>#DIV/0!</v>
      </c>
      <c r="J147" s="38">
        <f t="shared" si="10"/>
        <v>74557.728000000003</v>
      </c>
      <c r="K147" s="47"/>
      <c r="L147" s="47"/>
      <c r="M147" s="15" t="e">
        <f t="shared" si="11"/>
        <v>#DIV/0!</v>
      </c>
    </row>
    <row r="148" spans="1:13" ht="15" hidden="1" customHeight="1" thickBot="1">
      <c r="A148" s="236"/>
      <c r="B148" s="236"/>
      <c r="C148" s="236"/>
      <c r="D148" s="236"/>
      <c r="E148" s="38">
        <v>9544</v>
      </c>
      <c r="F148" s="64">
        <v>1</v>
      </c>
      <c r="G148" s="46"/>
      <c r="H148" s="39">
        <f>H5</f>
        <v>0</v>
      </c>
      <c r="I148" s="38" t="e">
        <f t="shared" si="9"/>
        <v>#DIV/0!</v>
      </c>
      <c r="J148" s="38">
        <f t="shared" si="10"/>
        <v>149115.45600000001</v>
      </c>
      <c r="K148" s="47"/>
      <c r="L148" s="47"/>
      <c r="M148" s="15" t="e">
        <f t="shared" si="11"/>
        <v>#DIV/0!</v>
      </c>
    </row>
    <row r="149" spans="1:13" ht="15.75" hidden="1" customHeight="1" thickBot="1">
      <c r="A149" s="236"/>
      <c r="B149" s="236"/>
      <c r="C149" s="236"/>
      <c r="D149" s="236"/>
      <c r="E149" s="38">
        <v>9544</v>
      </c>
      <c r="F149" s="64">
        <v>4</v>
      </c>
      <c r="G149" s="46"/>
      <c r="H149" s="39">
        <f>H5</f>
        <v>0</v>
      </c>
      <c r="I149" s="38" t="e">
        <f t="shared" si="9"/>
        <v>#DIV/0!</v>
      </c>
      <c r="J149" s="38">
        <f t="shared" si="10"/>
        <v>596461.82400000002</v>
      </c>
      <c r="K149" s="47"/>
      <c r="L149" s="47"/>
      <c r="M149" s="15" t="e">
        <f t="shared" si="11"/>
        <v>#DIV/0!</v>
      </c>
    </row>
    <row r="150" spans="1:13" ht="16.5" hidden="1" customHeight="1" thickBot="1">
      <c r="A150" s="212"/>
      <c r="B150" s="213"/>
      <c r="C150" s="213"/>
      <c r="D150" s="213"/>
      <c r="E150" s="38">
        <v>9544</v>
      </c>
      <c r="F150" s="64">
        <v>1</v>
      </c>
      <c r="G150" s="46"/>
      <c r="H150" s="39">
        <f>H5</f>
        <v>0</v>
      </c>
      <c r="I150" s="38" t="e">
        <f t="shared" si="9"/>
        <v>#DIV/0!</v>
      </c>
      <c r="J150" s="38">
        <f t="shared" si="10"/>
        <v>149115.45600000001</v>
      </c>
      <c r="K150" s="47"/>
      <c r="L150" s="47"/>
      <c r="M150" s="15" t="e">
        <f t="shared" si="11"/>
        <v>#DIV/0!</v>
      </c>
    </row>
    <row r="151" spans="1:13" ht="16.5" hidden="1" customHeight="1">
      <c r="A151" s="212"/>
      <c r="B151" s="213"/>
      <c r="C151" s="213"/>
      <c r="D151" s="213"/>
      <c r="E151" s="38">
        <v>9544</v>
      </c>
      <c r="F151" s="67">
        <v>1.75</v>
      </c>
      <c r="G151" s="46"/>
      <c r="H151" s="39">
        <f>H5</f>
        <v>0</v>
      </c>
      <c r="I151" s="38" t="e">
        <f t="shared" si="9"/>
        <v>#DIV/0!</v>
      </c>
      <c r="J151" s="38">
        <f t="shared" si="10"/>
        <v>260952.04800000001</v>
      </c>
      <c r="K151" s="47"/>
      <c r="L151" s="47"/>
      <c r="M151" s="15" t="e">
        <f t="shared" si="11"/>
        <v>#DIV/0!</v>
      </c>
    </row>
    <row r="152" spans="1:13" ht="16.5" hidden="1" customHeight="1">
      <c r="A152" s="212"/>
      <c r="B152" s="213"/>
      <c r="C152" s="213"/>
      <c r="D152" s="213"/>
      <c r="E152" s="38">
        <v>9544</v>
      </c>
      <c r="F152" s="39"/>
      <c r="G152" s="46"/>
      <c r="H152" s="39">
        <f>H5</f>
        <v>0</v>
      </c>
      <c r="I152" s="38" t="e">
        <f t="shared" si="9"/>
        <v>#DIV/0!</v>
      </c>
      <c r="J152" s="38">
        <f t="shared" si="10"/>
        <v>0</v>
      </c>
      <c r="K152" s="47"/>
      <c r="L152" s="47"/>
      <c r="M152" s="15" t="e">
        <f t="shared" si="11"/>
        <v>#DIV/0!</v>
      </c>
    </row>
    <row r="153" spans="1:13" ht="16.5" hidden="1" customHeight="1">
      <c r="A153" s="212"/>
      <c r="B153" s="213"/>
      <c r="C153" s="213"/>
      <c r="D153" s="213"/>
      <c r="E153" s="38">
        <v>9544</v>
      </c>
      <c r="F153" s="66">
        <v>0.5</v>
      </c>
      <c r="G153" s="46"/>
      <c r="H153" s="39">
        <f>H5</f>
        <v>0</v>
      </c>
      <c r="I153" s="38" t="e">
        <f t="shared" si="9"/>
        <v>#DIV/0!</v>
      </c>
      <c r="J153" s="38">
        <f t="shared" si="10"/>
        <v>74557.728000000003</v>
      </c>
      <c r="K153" s="47"/>
      <c r="L153" s="47"/>
      <c r="M153" s="15" t="e">
        <f t="shared" si="11"/>
        <v>#DIV/0!</v>
      </c>
    </row>
    <row r="154" spans="1:13" ht="15" hidden="1" customHeight="1">
      <c r="A154" s="212"/>
      <c r="B154" s="213"/>
      <c r="C154" s="213"/>
      <c r="D154" s="213"/>
      <c r="E154" s="38"/>
      <c r="F154" s="38"/>
      <c r="G154" s="38"/>
      <c r="H154" s="38"/>
      <c r="I154" s="38"/>
      <c r="J154" s="38"/>
      <c r="K154" s="47"/>
      <c r="L154" s="47"/>
      <c r="M154" s="15">
        <f t="shared" si="11"/>
        <v>0</v>
      </c>
    </row>
    <row r="155" spans="1:13" ht="15.75" hidden="1" customHeight="1" thickBo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>
        <f t="shared" si="11"/>
        <v>0</v>
      </c>
    </row>
    <row r="156" spans="1:13" ht="14.25" hidden="1" customHeight="1" thickBot="1">
      <c r="A156" s="212"/>
      <c r="B156" s="213"/>
      <c r="C156" s="213"/>
      <c r="D156" s="213"/>
      <c r="E156" s="38"/>
      <c r="F156" s="38"/>
      <c r="G156" s="38"/>
      <c r="H156" s="38"/>
      <c r="I156" s="46">
        <v>105</v>
      </c>
      <c r="J156" s="48">
        <f>H156/I156</f>
        <v>0</v>
      </c>
      <c r="K156" s="47"/>
      <c r="L156" s="47"/>
      <c r="M156" s="31">
        <f t="shared" si="11"/>
        <v>0</v>
      </c>
    </row>
    <row r="157" spans="1:13" ht="15" thickBot="1">
      <c r="A157" s="216" t="s">
        <v>47</v>
      </c>
      <c r="B157" s="216"/>
      <c r="C157" s="216"/>
      <c r="D157" s="216"/>
      <c r="E157" s="68"/>
      <c r="F157" s="167"/>
      <c r="G157" s="167"/>
      <c r="H157" s="73">
        <f>H131</f>
        <v>558436.26473569614</v>
      </c>
      <c r="I157" s="49"/>
      <c r="J157" s="69">
        <f>J131</f>
        <v>14695.691177255161</v>
      </c>
      <c r="K157" s="47"/>
      <c r="L157" s="47"/>
      <c r="M157" s="16"/>
    </row>
    <row r="158" spans="1:13" ht="12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7"/>
      <c r="L158" s="17"/>
      <c r="M158" s="17"/>
    </row>
    <row r="159" spans="1:13" ht="15.6">
      <c r="A159" s="273" t="s">
        <v>68</v>
      </c>
      <c r="B159" s="273"/>
      <c r="C159" s="273"/>
      <c r="D159" s="273"/>
      <c r="E159" s="273"/>
      <c r="F159" s="273"/>
      <c r="G159" s="273"/>
      <c r="H159" s="273"/>
      <c r="I159" s="273"/>
      <c r="J159" s="273"/>
      <c r="K159" s="273"/>
      <c r="L159" s="273"/>
      <c r="M159" s="273"/>
    </row>
    <row r="160" spans="1:13" ht="55.8">
      <c r="A160" s="231" t="s">
        <v>3</v>
      </c>
      <c r="B160" s="231"/>
      <c r="C160" s="231"/>
      <c r="D160" s="231"/>
      <c r="E160" s="9" t="s">
        <v>4</v>
      </c>
      <c r="F160" s="10" t="s">
        <v>0</v>
      </c>
      <c r="G160" s="35" t="s">
        <v>52</v>
      </c>
      <c r="H160" s="35" t="s">
        <v>44</v>
      </c>
      <c r="I160" s="9" t="s">
        <v>63</v>
      </c>
      <c r="J160" s="9" t="s">
        <v>69</v>
      </c>
      <c r="K160" s="9" t="s">
        <v>46</v>
      </c>
      <c r="L160" s="28"/>
      <c r="M160" s="28"/>
    </row>
    <row r="161" spans="1:14">
      <c r="A161" s="252">
        <v>1</v>
      </c>
      <c r="B161" s="253"/>
      <c r="C161" s="253"/>
      <c r="D161" s="253"/>
      <c r="E161" s="26">
        <v>2</v>
      </c>
      <c r="F161" s="12">
        <v>3</v>
      </c>
      <c r="G161" s="26">
        <v>4</v>
      </c>
      <c r="H161" s="26">
        <v>5</v>
      </c>
      <c r="I161" s="27">
        <v>6</v>
      </c>
      <c r="J161" s="36">
        <v>7</v>
      </c>
      <c r="K161" s="37">
        <v>8</v>
      </c>
      <c r="L161" s="153"/>
      <c r="M161" s="28"/>
    </row>
    <row r="162" spans="1:14" ht="32.4" customHeight="1" thickBot="1">
      <c r="A162" s="236" t="s">
        <v>67</v>
      </c>
      <c r="B162" s="236"/>
      <c r="C162" s="236"/>
      <c r="D162" s="236"/>
      <c r="E162" s="38">
        <f>20865999.58/12/55.25</f>
        <v>31472.095897435895</v>
      </c>
      <c r="F162" s="38">
        <f>55.25*0.05454</f>
        <v>3.0133350000000001</v>
      </c>
      <c r="G162" s="38">
        <f>(15957574.159+68539.1903)*0.05454</f>
        <v>874064.22207082203</v>
      </c>
      <c r="H162" s="38">
        <f>G162*1.302</f>
        <v>1138031.6171362102</v>
      </c>
      <c r="I162" s="46">
        <v>38</v>
      </c>
      <c r="J162" s="38">
        <f>H162/I162</f>
        <v>29948.2004509529</v>
      </c>
      <c r="K162" s="63">
        <f>H162/(8696900+23460820)*100</f>
        <v>3.5389064185402765</v>
      </c>
      <c r="L162" s="154"/>
      <c r="M162" s="16"/>
      <c r="N162" s="196"/>
    </row>
    <row r="163" spans="1:14" ht="15" hidden="1" customHeight="1" thickBot="1">
      <c r="A163" s="262"/>
      <c r="B163" s="263"/>
      <c r="C163" s="263"/>
      <c r="D163" s="263"/>
      <c r="E163" s="38">
        <v>17865.98</v>
      </c>
      <c r="F163" s="64">
        <v>4</v>
      </c>
      <c r="G163" s="46"/>
      <c r="H163" s="39">
        <f>H38</f>
        <v>0</v>
      </c>
      <c r="I163" s="38" t="e">
        <f t="shared" ref="I163:I184" si="12">F163/G163*H163</f>
        <v>#DIV/0!</v>
      </c>
      <c r="J163" s="38">
        <f t="shared" ref="J163:J184" si="13">E163*F163*12*1.302</f>
        <v>1116552.28608</v>
      </c>
      <c r="K163" s="65" t="s">
        <v>38</v>
      </c>
      <c r="L163" s="155"/>
      <c r="M163" s="32" t="e">
        <f t="shared" ref="M163:M187" si="14">I163*J163</f>
        <v>#DIV/0!</v>
      </c>
    </row>
    <row r="164" spans="1:14" ht="15" hidden="1" customHeight="1" thickBot="1">
      <c r="A164" s="293"/>
      <c r="B164" s="293"/>
      <c r="C164" s="293"/>
      <c r="D164" s="293"/>
      <c r="E164" s="38">
        <v>9544</v>
      </c>
      <c r="F164" s="64">
        <v>1</v>
      </c>
      <c r="G164" s="46"/>
      <c r="H164" s="39">
        <f>H38</f>
        <v>0</v>
      </c>
      <c r="I164" s="38" t="e">
        <f t="shared" si="12"/>
        <v>#DIV/0!</v>
      </c>
      <c r="J164" s="38">
        <f t="shared" si="13"/>
        <v>149115.45600000001</v>
      </c>
      <c r="K164" s="39">
        <f>H164/11277167.39*100</f>
        <v>0</v>
      </c>
      <c r="L164" s="39"/>
      <c r="M164" s="15" t="e">
        <f t="shared" si="14"/>
        <v>#DIV/0!</v>
      </c>
    </row>
    <row r="165" spans="1:14" ht="15" hidden="1" customHeight="1" thickBot="1">
      <c r="A165" s="274"/>
      <c r="B165" s="275"/>
      <c r="C165" s="275"/>
      <c r="D165" s="275"/>
      <c r="E165" s="38">
        <v>11560</v>
      </c>
      <c r="F165" s="64">
        <v>1</v>
      </c>
      <c r="G165" s="46"/>
      <c r="H165" s="39">
        <f>H38</f>
        <v>0</v>
      </c>
      <c r="I165" s="38" t="e">
        <f t="shared" si="12"/>
        <v>#DIV/0!</v>
      </c>
      <c r="J165" s="38">
        <f t="shared" si="13"/>
        <v>180613.44</v>
      </c>
      <c r="K165" s="30"/>
      <c r="L165" s="30"/>
      <c r="M165" s="15" t="e">
        <f t="shared" si="14"/>
        <v>#DIV/0!</v>
      </c>
    </row>
    <row r="166" spans="1:14" ht="15" hidden="1" customHeight="1" thickBot="1">
      <c r="A166" s="236"/>
      <c r="B166" s="236"/>
      <c r="C166" s="236"/>
      <c r="D166" s="236"/>
      <c r="E166" s="38">
        <v>9544</v>
      </c>
      <c r="F166" s="66">
        <v>0.5</v>
      </c>
      <c r="G166" s="46"/>
      <c r="H166" s="39">
        <f>H38</f>
        <v>0</v>
      </c>
      <c r="I166" s="38" t="e">
        <f t="shared" si="12"/>
        <v>#DIV/0!</v>
      </c>
      <c r="J166" s="38">
        <f t="shared" si="13"/>
        <v>74557.728000000003</v>
      </c>
      <c r="K166" s="30"/>
      <c r="L166" s="30"/>
      <c r="M166" s="15" t="e">
        <f t="shared" si="14"/>
        <v>#DIV/0!</v>
      </c>
    </row>
    <row r="167" spans="1:14" ht="15" hidden="1" customHeight="1" thickBot="1">
      <c r="A167" s="236"/>
      <c r="B167" s="236"/>
      <c r="C167" s="236"/>
      <c r="D167" s="236"/>
      <c r="E167" s="38">
        <v>9544</v>
      </c>
      <c r="F167" s="64">
        <v>1</v>
      </c>
      <c r="G167" s="46"/>
      <c r="H167" s="39">
        <f>H38</f>
        <v>0</v>
      </c>
      <c r="I167" s="38" t="e">
        <f t="shared" si="12"/>
        <v>#DIV/0!</v>
      </c>
      <c r="J167" s="38">
        <f t="shared" si="13"/>
        <v>149115.45600000001</v>
      </c>
      <c r="K167" s="38"/>
      <c r="L167" s="38"/>
      <c r="M167" s="15" t="e">
        <f t="shared" si="14"/>
        <v>#DIV/0!</v>
      </c>
    </row>
    <row r="168" spans="1:14" ht="14.25" hidden="1" customHeight="1" thickBo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H38</f>
        <v>0</v>
      </c>
      <c r="I168" s="38" t="e">
        <f t="shared" si="12"/>
        <v>#DIV/0!</v>
      </c>
      <c r="J168" s="38">
        <f t="shared" si="13"/>
        <v>149115.45600000001</v>
      </c>
      <c r="K168" s="47"/>
      <c r="L168" s="47"/>
      <c r="M168" s="15" t="e">
        <f t="shared" si="14"/>
        <v>#DIV/0!</v>
      </c>
    </row>
    <row r="169" spans="1:14" ht="15" hidden="1" customHeight="1" thickBot="1">
      <c r="A169" s="212"/>
      <c r="B169" s="213"/>
      <c r="C169" s="213"/>
      <c r="D169" s="213"/>
      <c r="E169" s="38">
        <v>9544</v>
      </c>
      <c r="F169" s="38"/>
      <c r="G169" s="46"/>
      <c r="H169" s="39">
        <f>H38</f>
        <v>0</v>
      </c>
      <c r="I169" s="38" t="e">
        <f t="shared" si="12"/>
        <v>#DIV/0!</v>
      </c>
      <c r="J169" s="38">
        <f t="shared" si="13"/>
        <v>0</v>
      </c>
      <c r="K169" s="47"/>
      <c r="L169" s="47"/>
      <c r="M169" s="15" t="e">
        <f t="shared" si="14"/>
        <v>#DIV/0!</v>
      </c>
    </row>
    <row r="170" spans="1:14" ht="15" hidden="1" customHeight="1" thickBot="1">
      <c r="A170" s="212"/>
      <c r="B170" s="213"/>
      <c r="C170" s="213"/>
      <c r="D170" s="213"/>
      <c r="E170" s="38">
        <v>9544</v>
      </c>
      <c r="F170" s="67">
        <v>0.25</v>
      </c>
      <c r="G170" s="46"/>
      <c r="H170" s="39">
        <f>H38</f>
        <v>0</v>
      </c>
      <c r="I170" s="38" t="e">
        <f t="shared" si="12"/>
        <v>#DIV/0!</v>
      </c>
      <c r="J170" s="38">
        <f t="shared" si="13"/>
        <v>37278.864000000001</v>
      </c>
      <c r="K170" s="47"/>
      <c r="L170" s="47"/>
      <c r="M170" s="15" t="e">
        <f t="shared" si="14"/>
        <v>#DIV/0!</v>
      </c>
    </row>
    <row r="171" spans="1:14" ht="15" hidden="1" customHeight="1" thickBot="1">
      <c r="A171" s="212"/>
      <c r="B171" s="213"/>
      <c r="C171" s="213"/>
      <c r="D171" s="213"/>
      <c r="E171" s="38">
        <v>9544</v>
      </c>
      <c r="F171" s="38"/>
      <c r="G171" s="46"/>
      <c r="H171" s="39">
        <f>H38</f>
        <v>0</v>
      </c>
      <c r="I171" s="38" t="e">
        <f t="shared" si="12"/>
        <v>#DIV/0!</v>
      </c>
      <c r="J171" s="38">
        <f t="shared" si="13"/>
        <v>0</v>
      </c>
      <c r="K171" s="47"/>
      <c r="L171" s="47"/>
      <c r="M171" s="15" t="e">
        <f t="shared" si="14"/>
        <v>#DIV/0!</v>
      </c>
    </row>
    <row r="172" spans="1:14" ht="15" hidden="1" customHeight="1" thickBot="1">
      <c r="A172" s="212"/>
      <c r="B172" s="213"/>
      <c r="C172" s="213"/>
      <c r="D172" s="213"/>
      <c r="E172" s="38">
        <v>9544</v>
      </c>
      <c r="F172" s="66">
        <v>0.5</v>
      </c>
      <c r="G172" s="46"/>
      <c r="H172" s="39">
        <f>H38</f>
        <v>0</v>
      </c>
      <c r="I172" s="38" t="e">
        <f t="shared" si="12"/>
        <v>#DIV/0!</v>
      </c>
      <c r="J172" s="38">
        <f t="shared" si="13"/>
        <v>74557.728000000003</v>
      </c>
      <c r="K172" s="47"/>
      <c r="L172" s="47"/>
      <c r="M172" s="15" t="e">
        <f t="shared" si="14"/>
        <v>#DIV/0!</v>
      </c>
    </row>
    <row r="173" spans="1:14" ht="15.75" hidden="1" customHeight="1">
      <c r="A173" s="212"/>
      <c r="B173" s="213"/>
      <c r="C173" s="213"/>
      <c r="D173" s="213"/>
      <c r="E173" s="38">
        <v>9544</v>
      </c>
      <c r="F173" s="64">
        <v>1</v>
      </c>
      <c r="G173" s="46"/>
      <c r="H173" s="39">
        <f>H38</f>
        <v>0</v>
      </c>
      <c r="I173" s="38" t="e">
        <f t="shared" si="12"/>
        <v>#DIV/0!</v>
      </c>
      <c r="J173" s="38">
        <f t="shared" si="13"/>
        <v>149115.45600000001</v>
      </c>
      <c r="K173" s="47"/>
      <c r="L173" s="47"/>
      <c r="M173" s="15" t="e">
        <f t="shared" si="14"/>
        <v>#DIV/0!</v>
      </c>
    </row>
    <row r="174" spans="1:14" ht="15" hidden="1" customHeight="1">
      <c r="A174" s="236"/>
      <c r="B174" s="236"/>
      <c r="C174" s="236"/>
      <c r="D174" s="236"/>
      <c r="E174" s="38">
        <v>9544</v>
      </c>
      <c r="F174" s="64">
        <v>1</v>
      </c>
      <c r="G174" s="46"/>
      <c r="H174" s="39">
        <f>H38</f>
        <v>0</v>
      </c>
      <c r="I174" s="38" t="e">
        <f t="shared" si="12"/>
        <v>#DIV/0!</v>
      </c>
      <c r="J174" s="38">
        <f t="shared" si="13"/>
        <v>149115.45600000001</v>
      </c>
      <c r="K174" s="47"/>
      <c r="L174" s="47"/>
      <c r="M174" s="15" t="e">
        <f t="shared" si="14"/>
        <v>#DIV/0!</v>
      </c>
    </row>
    <row r="175" spans="1:14" ht="15" hidden="1" customHeight="1" thickBot="1">
      <c r="A175" s="236"/>
      <c r="B175" s="236"/>
      <c r="C175" s="236"/>
      <c r="D175" s="236"/>
      <c r="E175" s="38">
        <v>9544</v>
      </c>
      <c r="F175" s="66">
        <v>5.5</v>
      </c>
      <c r="G175" s="46"/>
      <c r="H175" s="39">
        <f>H38</f>
        <v>0</v>
      </c>
      <c r="I175" s="38" t="e">
        <f t="shared" si="12"/>
        <v>#DIV/0!</v>
      </c>
      <c r="J175" s="38">
        <f t="shared" si="13"/>
        <v>820135.00800000003</v>
      </c>
      <c r="K175" s="47"/>
      <c r="L175" s="47"/>
      <c r="M175" s="15" t="e">
        <f t="shared" si="14"/>
        <v>#DIV/0!</v>
      </c>
    </row>
    <row r="176" spans="1:14" ht="15" hidden="1" customHeight="1" thickBot="1">
      <c r="A176" s="236"/>
      <c r="B176" s="236"/>
      <c r="C176" s="236"/>
      <c r="D176" s="236"/>
      <c r="E176" s="38">
        <v>9544</v>
      </c>
      <c r="F176" s="64">
        <v>1</v>
      </c>
      <c r="G176" s="46"/>
      <c r="H176" s="39">
        <f>H38</f>
        <v>0</v>
      </c>
      <c r="I176" s="38" t="e">
        <f t="shared" si="12"/>
        <v>#DIV/0!</v>
      </c>
      <c r="J176" s="38">
        <f t="shared" si="13"/>
        <v>149115.45600000001</v>
      </c>
      <c r="K176" s="47"/>
      <c r="L176" s="47"/>
      <c r="M176" s="15" t="e">
        <f t="shared" si="14"/>
        <v>#DIV/0!</v>
      </c>
    </row>
    <row r="177" spans="1:13" ht="15" hidden="1" customHeight="1" thickBot="1">
      <c r="A177" s="236"/>
      <c r="B177" s="236"/>
      <c r="C177" s="236"/>
      <c r="D177" s="236"/>
      <c r="E177" s="38">
        <v>9544</v>
      </c>
      <c r="F177" s="66">
        <v>0.5</v>
      </c>
      <c r="G177" s="46"/>
      <c r="H177" s="39">
        <f>H38</f>
        <v>0</v>
      </c>
      <c r="I177" s="38" t="e">
        <f t="shared" si="12"/>
        <v>#DIV/0!</v>
      </c>
      <c r="J177" s="38">
        <f t="shared" si="13"/>
        <v>74557.728000000003</v>
      </c>
      <c r="K177" s="47"/>
      <c r="L177" s="47"/>
      <c r="M177" s="15" t="e">
        <f t="shared" si="14"/>
        <v>#DIV/0!</v>
      </c>
    </row>
    <row r="178" spans="1:13" ht="15" hidden="1" customHeight="1" thickBo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H38</f>
        <v>0</v>
      </c>
      <c r="I178" s="38" t="e">
        <f t="shared" si="12"/>
        <v>#DIV/0!</v>
      </c>
      <c r="J178" s="38">
        <f t="shared" si="13"/>
        <v>74557.728000000003</v>
      </c>
      <c r="K178" s="47"/>
      <c r="L178" s="47"/>
      <c r="M178" s="15" t="e">
        <f t="shared" si="14"/>
        <v>#DIV/0!</v>
      </c>
    </row>
    <row r="179" spans="1:13" ht="15" hidden="1" customHeight="1" thickBot="1">
      <c r="A179" s="236"/>
      <c r="B179" s="236"/>
      <c r="C179" s="236"/>
      <c r="D179" s="236"/>
      <c r="E179" s="38">
        <v>9544</v>
      </c>
      <c r="F179" s="64">
        <v>1</v>
      </c>
      <c r="G179" s="46"/>
      <c r="H179" s="39">
        <f>H38</f>
        <v>0</v>
      </c>
      <c r="I179" s="38" t="e">
        <f t="shared" si="12"/>
        <v>#DIV/0!</v>
      </c>
      <c r="J179" s="38">
        <f t="shared" si="13"/>
        <v>149115.45600000001</v>
      </c>
      <c r="K179" s="47"/>
      <c r="L179" s="47"/>
      <c r="M179" s="15" t="e">
        <f t="shared" si="14"/>
        <v>#DIV/0!</v>
      </c>
    </row>
    <row r="180" spans="1:13" ht="15.75" hidden="1" customHeight="1" thickBot="1">
      <c r="A180" s="236"/>
      <c r="B180" s="236"/>
      <c r="C180" s="236"/>
      <c r="D180" s="236"/>
      <c r="E180" s="38">
        <v>9544</v>
      </c>
      <c r="F180" s="64">
        <v>4</v>
      </c>
      <c r="G180" s="46"/>
      <c r="H180" s="39">
        <f>H38</f>
        <v>0</v>
      </c>
      <c r="I180" s="38" t="e">
        <f t="shared" si="12"/>
        <v>#DIV/0!</v>
      </c>
      <c r="J180" s="38">
        <f t="shared" si="13"/>
        <v>596461.82400000002</v>
      </c>
      <c r="K180" s="47"/>
      <c r="L180" s="47"/>
      <c r="M180" s="15" t="e">
        <f t="shared" si="14"/>
        <v>#DIV/0!</v>
      </c>
    </row>
    <row r="181" spans="1:13" ht="16.5" hidden="1" customHeight="1" thickBot="1">
      <c r="A181" s="212"/>
      <c r="B181" s="213"/>
      <c r="C181" s="213"/>
      <c r="D181" s="213"/>
      <c r="E181" s="38">
        <v>9544</v>
      </c>
      <c r="F181" s="64">
        <v>1</v>
      </c>
      <c r="G181" s="46"/>
      <c r="H181" s="39">
        <f>H38</f>
        <v>0</v>
      </c>
      <c r="I181" s="38" t="e">
        <f t="shared" si="12"/>
        <v>#DIV/0!</v>
      </c>
      <c r="J181" s="38">
        <f t="shared" si="13"/>
        <v>149115.45600000001</v>
      </c>
      <c r="K181" s="47"/>
      <c r="L181" s="47"/>
      <c r="M181" s="15" t="e">
        <f t="shared" si="14"/>
        <v>#DIV/0!</v>
      </c>
    </row>
    <row r="182" spans="1:13" ht="16.5" hidden="1" customHeight="1">
      <c r="A182" s="212"/>
      <c r="B182" s="213"/>
      <c r="C182" s="213"/>
      <c r="D182" s="213"/>
      <c r="E182" s="38">
        <v>9544</v>
      </c>
      <c r="F182" s="67">
        <v>1.75</v>
      </c>
      <c r="G182" s="46"/>
      <c r="H182" s="39">
        <f>H38</f>
        <v>0</v>
      </c>
      <c r="I182" s="38" t="e">
        <f t="shared" si="12"/>
        <v>#DIV/0!</v>
      </c>
      <c r="J182" s="38">
        <f t="shared" si="13"/>
        <v>260952.04800000001</v>
      </c>
      <c r="K182" s="47"/>
      <c r="L182" s="47"/>
      <c r="M182" s="15" t="e">
        <f t="shared" si="14"/>
        <v>#DIV/0!</v>
      </c>
    </row>
    <row r="183" spans="1:13" ht="16.5" hidden="1" customHeight="1">
      <c r="A183" s="212"/>
      <c r="B183" s="213"/>
      <c r="C183" s="213"/>
      <c r="D183" s="213"/>
      <c r="E183" s="38">
        <v>9544</v>
      </c>
      <c r="F183" s="39"/>
      <c r="G183" s="46"/>
      <c r="H183" s="39">
        <f>H38</f>
        <v>0</v>
      </c>
      <c r="I183" s="38" t="e">
        <f t="shared" si="12"/>
        <v>#DIV/0!</v>
      </c>
      <c r="J183" s="38">
        <f t="shared" si="13"/>
        <v>0</v>
      </c>
      <c r="K183" s="47"/>
      <c r="L183" s="47"/>
      <c r="M183" s="15" t="e">
        <f t="shared" si="14"/>
        <v>#DIV/0!</v>
      </c>
    </row>
    <row r="184" spans="1:13" ht="16.5" hidden="1" customHeight="1">
      <c r="A184" s="212"/>
      <c r="B184" s="213"/>
      <c r="C184" s="213"/>
      <c r="D184" s="213"/>
      <c r="E184" s="38">
        <v>9544</v>
      </c>
      <c r="F184" s="66">
        <v>0.5</v>
      </c>
      <c r="G184" s="46"/>
      <c r="H184" s="39">
        <f>H38</f>
        <v>0</v>
      </c>
      <c r="I184" s="38" t="e">
        <f t="shared" si="12"/>
        <v>#DIV/0!</v>
      </c>
      <c r="J184" s="38">
        <f t="shared" si="13"/>
        <v>74557.728000000003</v>
      </c>
      <c r="K184" s="47"/>
      <c r="L184" s="47"/>
      <c r="M184" s="15" t="e">
        <f t="shared" si="14"/>
        <v>#DIV/0!</v>
      </c>
    </row>
    <row r="185" spans="1:13" ht="15" hidden="1" customHeight="1">
      <c r="A185" s="212"/>
      <c r="B185" s="213"/>
      <c r="C185" s="213"/>
      <c r="D185" s="213"/>
      <c r="E185" s="38"/>
      <c r="F185" s="38"/>
      <c r="G185" s="38"/>
      <c r="H185" s="38"/>
      <c r="I185" s="38"/>
      <c r="J185" s="38"/>
      <c r="K185" s="47"/>
      <c r="L185" s="47"/>
      <c r="M185" s="15">
        <f t="shared" si="14"/>
        <v>0</v>
      </c>
    </row>
    <row r="186" spans="1:13" ht="15.75" hidden="1" customHeight="1" thickBo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4"/>
        <v>0</v>
      </c>
    </row>
    <row r="187" spans="1:13" ht="14.2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46">
        <v>105</v>
      </c>
      <c r="J187" s="48">
        <f>H187/I187</f>
        <v>0</v>
      </c>
      <c r="K187" s="47"/>
      <c r="L187" s="47"/>
      <c r="M187" s="31">
        <f t="shared" si="14"/>
        <v>0</v>
      </c>
    </row>
    <row r="188" spans="1:13" ht="15" thickBot="1">
      <c r="A188" s="216" t="s">
        <v>47</v>
      </c>
      <c r="B188" s="216"/>
      <c r="C188" s="216"/>
      <c r="D188" s="216"/>
      <c r="E188" s="68"/>
      <c r="F188" s="167"/>
      <c r="G188" s="167"/>
      <c r="H188" s="73">
        <f>H162</f>
        <v>1138031.6171362102</v>
      </c>
      <c r="I188" s="49"/>
      <c r="J188" s="69">
        <f>J162</f>
        <v>29948.2004509529</v>
      </c>
      <c r="K188" s="47"/>
      <c r="L188" s="47"/>
      <c r="M188" s="16"/>
    </row>
    <row r="189" spans="1:13">
      <c r="A189" s="11"/>
      <c r="B189" s="11"/>
      <c r="C189" s="11"/>
      <c r="D189" s="11"/>
      <c r="E189" s="11"/>
      <c r="F189" s="11"/>
      <c r="G189" s="11"/>
      <c r="H189" s="13"/>
      <c r="I189" s="13"/>
      <c r="J189" s="13"/>
      <c r="K189" s="11"/>
      <c r="L189" s="11"/>
      <c r="M189" s="11"/>
    </row>
    <row r="190" spans="1:13">
      <c r="A190" s="208" t="s">
        <v>61</v>
      </c>
      <c r="B190" s="208"/>
      <c r="C190" s="208"/>
      <c r="D190" s="208"/>
      <c r="E190" s="208"/>
      <c r="F190" s="208"/>
      <c r="G190" s="208"/>
      <c r="H190" s="208"/>
      <c r="I190" s="208"/>
      <c r="J190" s="208"/>
      <c r="K190" s="208"/>
      <c r="L190" s="165"/>
      <c r="M190" s="11"/>
    </row>
    <row r="191" spans="1:13" ht="55.8">
      <c r="A191" s="214" t="s">
        <v>62</v>
      </c>
      <c r="B191" s="215"/>
      <c r="C191" s="215"/>
      <c r="D191" s="284"/>
      <c r="E191" s="171" t="s">
        <v>7</v>
      </c>
      <c r="F191" s="171" t="s">
        <v>55</v>
      </c>
      <c r="G191" s="171" t="s">
        <v>42</v>
      </c>
      <c r="H191" s="171" t="s">
        <v>48</v>
      </c>
      <c r="I191" s="9" t="s">
        <v>63</v>
      </c>
      <c r="J191" s="9" t="s">
        <v>69</v>
      </c>
      <c r="K191" s="199"/>
      <c r="L191" s="28"/>
      <c r="M191" s="11"/>
    </row>
    <row r="192" spans="1:13" ht="36.75" customHeight="1">
      <c r="A192" s="212" t="s">
        <v>133</v>
      </c>
      <c r="B192" s="213"/>
      <c r="C192" s="213"/>
      <c r="D192" s="219"/>
      <c r="E192" s="171"/>
      <c r="F192" s="171"/>
      <c r="G192" s="171"/>
      <c r="H192" s="100">
        <f>632128.1*0.05454</f>
        <v>34476.266574000001</v>
      </c>
      <c r="I192" s="46">
        <v>38</v>
      </c>
      <c r="J192" s="104">
        <f>H192/I192</f>
        <v>907.270173</v>
      </c>
      <c r="K192" s="40"/>
      <c r="L192" s="28"/>
      <c r="M192" s="11"/>
    </row>
    <row r="193" spans="1:17" ht="34.5" customHeight="1" thickBot="1">
      <c r="A193" s="212" t="s">
        <v>134</v>
      </c>
      <c r="B193" s="213"/>
      <c r="C193" s="213"/>
      <c r="D193" s="219"/>
      <c r="E193" s="171"/>
      <c r="F193" s="171"/>
      <c r="G193" s="171"/>
      <c r="H193" s="100">
        <f>214539.18*0.05454</f>
        <v>11700.966877199999</v>
      </c>
      <c r="I193" s="46">
        <v>38</v>
      </c>
      <c r="J193" s="104">
        <f>H193/I193</f>
        <v>307.92018097894731</v>
      </c>
      <c r="K193" s="40"/>
      <c r="L193" s="28"/>
      <c r="M193" s="11"/>
    </row>
    <row r="194" spans="1:17" ht="15" thickBot="1">
      <c r="A194" s="285" t="s">
        <v>57</v>
      </c>
      <c r="B194" s="286"/>
      <c r="C194" s="286"/>
      <c r="D194" s="286"/>
      <c r="E194" s="286"/>
      <c r="F194" s="286"/>
      <c r="G194" s="287"/>
      <c r="H194" s="62">
        <f>H193+H192</f>
        <v>46177.233451200002</v>
      </c>
      <c r="I194" s="58"/>
      <c r="J194" s="33">
        <f>SUM(J192:J193)</f>
        <v>1215.1903539789473</v>
      </c>
      <c r="K194" s="50"/>
      <c r="L194" s="11"/>
      <c r="M194" s="11"/>
    </row>
    <row r="195" spans="1:17" ht="6.75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7" ht="55.8">
      <c r="A196" s="214" t="s">
        <v>62</v>
      </c>
      <c r="B196" s="215"/>
      <c r="C196" s="215"/>
      <c r="D196" s="284"/>
      <c r="E196" s="162" t="s">
        <v>135</v>
      </c>
      <c r="F196" s="162" t="s">
        <v>55</v>
      </c>
      <c r="G196" s="162" t="s">
        <v>42</v>
      </c>
      <c r="H196" s="162" t="s">
        <v>48</v>
      </c>
      <c r="I196" s="9" t="s">
        <v>63</v>
      </c>
      <c r="J196" s="9" t="s">
        <v>69</v>
      </c>
      <c r="K196" s="40"/>
      <c r="L196" s="28"/>
      <c r="M196" s="11"/>
    </row>
    <row r="197" spans="1:17">
      <c r="A197" s="212" t="s">
        <v>187</v>
      </c>
      <c r="B197" s="213"/>
      <c r="C197" s="213"/>
      <c r="D197" s="219"/>
      <c r="E197" s="162">
        <v>120</v>
      </c>
      <c r="F197" s="162"/>
      <c r="G197" s="162"/>
      <c r="H197" s="100">
        <f>156649.69*0.05454</f>
        <v>8543.6740926000002</v>
      </c>
      <c r="I197" s="46">
        <v>38</v>
      </c>
      <c r="J197" s="104">
        <f>H197/I197</f>
        <v>224.83352875263159</v>
      </c>
      <c r="K197" s="40"/>
      <c r="L197" s="28"/>
      <c r="M197" s="11"/>
    </row>
    <row r="198" spans="1:17" ht="15" thickBot="1">
      <c r="A198" s="212" t="s">
        <v>186</v>
      </c>
      <c r="B198" s="213"/>
      <c r="C198" s="213"/>
      <c r="D198" s="219"/>
      <c r="E198" s="162">
        <v>640</v>
      </c>
      <c r="F198" s="162"/>
      <c r="G198" s="162"/>
      <c r="H198" s="100">
        <f>74369.3*0.05454</f>
        <v>4056.1016220000001</v>
      </c>
      <c r="I198" s="46">
        <v>38</v>
      </c>
      <c r="J198" s="104">
        <f t="shared" ref="J198:J199" si="15">H198/I198</f>
        <v>106.73951636842105</v>
      </c>
      <c r="K198" s="40"/>
      <c r="L198" s="28"/>
      <c r="M198" s="11"/>
    </row>
    <row r="199" spans="1:17" ht="18" customHeight="1" thickBot="1">
      <c r="A199" s="212" t="s">
        <v>83</v>
      </c>
      <c r="B199" s="213"/>
      <c r="C199" s="213"/>
      <c r="D199" s="219"/>
      <c r="E199" s="162">
        <v>200</v>
      </c>
      <c r="F199" s="162"/>
      <c r="G199" s="162"/>
      <c r="H199" s="100">
        <f>32266.2*0.05454</f>
        <v>1759.798548</v>
      </c>
      <c r="I199" s="46">
        <v>38</v>
      </c>
      <c r="J199" s="104">
        <f t="shared" si="15"/>
        <v>46.310488105263154</v>
      </c>
      <c r="K199" s="40"/>
      <c r="L199" s="28"/>
      <c r="M199" s="11"/>
      <c r="Q199" s="101"/>
    </row>
    <row r="200" spans="1:17" ht="15" thickBot="1">
      <c r="A200" s="285" t="s">
        <v>57</v>
      </c>
      <c r="B200" s="286"/>
      <c r="C200" s="286"/>
      <c r="D200" s="286"/>
      <c r="E200" s="286"/>
      <c r="F200" s="286"/>
      <c r="G200" s="287"/>
      <c r="H200" s="62">
        <f>SUM(H197:H199)</f>
        <v>14359.574262600001</v>
      </c>
      <c r="I200" s="58"/>
      <c r="J200" s="33">
        <f>SUM(J197:J199)</f>
        <v>377.88353322631582</v>
      </c>
      <c r="K200" s="11"/>
      <c r="L200" s="11"/>
      <c r="M200" s="11"/>
    </row>
    <row r="201" spans="1:17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7">
      <c r="A202" s="230" t="s">
        <v>29</v>
      </c>
      <c r="B202" s="230"/>
      <c r="C202" s="230"/>
      <c r="D202" s="230"/>
      <c r="E202" s="230"/>
      <c r="F202" s="230"/>
      <c r="G202" s="230"/>
      <c r="H202" s="230"/>
      <c r="I202" s="230"/>
      <c r="J202" s="230"/>
      <c r="K202" s="230"/>
      <c r="L202" s="230"/>
      <c r="M202" s="230"/>
    </row>
    <row r="203" spans="1:17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7" ht="47.25" customHeight="1">
      <c r="A204" s="290" t="s">
        <v>30</v>
      </c>
      <c r="B204" s="291"/>
      <c r="C204" s="292"/>
      <c r="D204" s="214" t="s">
        <v>31</v>
      </c>
      <c r="E204" s="288"/>
      <c r="F204" s="288"/>
      <c r="G204" s="288"/>
      <c r="H204" s="288"/>
      <c r="I204" s="288"/>
      <c r="J204" s="289"/>
      <c r="K204" s="282" t="s">
        <v>35</v>
      </c>
      <c r="L204" s="156"/>
    </row>
    <row r="205" spans="1:17" ht="24" customHeight="1">
      <c r="A205" s="10" t="s">
        <v>32</v>
      </c>
      <c r="B205" s="125" t="s">
        <v>33</v>
      </c>
      <c r="C205" s="10" t="s">
        <v>34</v>
      </c>
      <c r="D205" s="9" t="s">
        <v>141</v>
      </c>
      <c r="E205" s="9" t="s">
        <v>142</v>
      </c>
      <c r="F205" s="9" t="s">
        <v>143</v>
      </c>
      <c r="G205" s="9" t="s">
        <v>144</v>
      </c>
      <c r="H205" s="9" t="s">
        <v>145</v>
      </c>
      <c r="I205" s="35" t="s">
        <v>146</v>
      </c>
      <c r="J205" s="162" t="s">
        <v>144</v>
      </c>
      <c r="K205" s="283"/>
      <c r="L205" s="156"/>
    </row>
    <row r="206" spans="1:17">
      <c r="A206" s="15">
        <f>J157</f>
        <v>14695.691177255161</v>
      </c>
      <c r="B206" s="15"/>
      <c r="C206" s="15"/>
      <c r="D206" s="15">
        <f>J71</f>
        <v>140.09124306315789</v>
      </c>
      <c r="E206" s="15">
        <f>J80</f>
        <v>3737.1910569157894</v>
      </c>
      <c r="F206" s="15">
        <f>I95</f>
        <v>733.12350806842119</v>
      </c>
      <c r="G206" s="15">
        <f>I114</f>
        <v>1137.4845750947368</v>
      </c>
      <c r="H206" s="15">
        <f>H126</f>
        <v>1939.5608522684208</v>
      </c>
      <c r="I206" s="106">
        <f>J188</f>
        <v>29948.2004509529</v>
      </c>
      <c r="J206" s="105">
        <f>J194+J200</f>
        <v>1593.0738872052632</v>
      </c>
      <c r="K206" s="105">
        <f>SUM(D206:J206)+A206</f>
        <v>53924.416750823846</v>
      </c>
      <c r="L206" s="157"/>
    </row>
    <row r="207" spans="1:17" ht="15" thickBo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7" ht="15" thickBot="1">
      <c r="A208" s="14" t="s">
        <v>64</v>
      </c>
      <c r="B208" s="14"/>
      <c r="C208" s="14"/>
      <c r="D208" s="11"/>
      <c r="E208" s="11"/>
      <c r="F208" s="11"/>
      <c r="G208" s="11"/>
      <c r="H208" s="11"/>
      <c r="I208" s="11"/>
      <c r="J208" s="72">
        <f>H71+H80+G95+G114+F126+H157+H188+H194+H200</f>
        <v>2164460.2001415063</v>
      </c>
      <c r="K208" s="11"/>
      <c r="L208" s="11"/>
      <c r="M208" s="11"/>
    </row>
    <row r="209" spans="1:14" ht="26.25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84"/>
      <c r="K209" s="11"/>
      <c r="L209" s="11"/>
      <c r="M209" s="11"/>
    </row>
    <row r="210" spans="1:14" ht="17.25" customHeight="1">
      <c r="A210" s="3" t="s">
        <v>136</v>
      </c>
      <c r="B210" s="3"/>
      <c r="C210" s="3"/>
      <c r="I210" s="3" t="s">
        <v>137</v>
      </c>
      <c r="N210" s="196"/>
    </row>
    <row r="211" spans="1:14" ht="9.75" customHeight="1"/>
    <row r="212" spans="1:14" ht="15.6">
      <c r="A212" s="118" t="s">
        <v>43</v>
      </c>
      <c r="B212" s="7"/>
      <c r="M212" s="196"/>
    </row>
    <row r="213" spans="1:14" ht="15.6">
      <c r="A213" s="147" t="s">
        <v>196</v>
      </c>
      <c r="B213" s="7"/>
    </row>
    <row r="214" spans="1:14" ht="15.6">
      <c r="A214" s="118" t="s">
        <v>85</v>
      </c>
      <c r="C214" s="7"/>
    </row>
    <row r="215" spans="1:14" ht="15.6">
      <c r="A215" s="2"/>
      <c r="B215" s="2"/>
      <c r="C215" s="2"/>
    </row>
  </sheetData>
  <mergeCells count="210">
    <mergeCell ref="A193:D193"/>
    <mergeCell ref="A194:G194"/>
    <mergeCell ref="A196:D196"/>
    <mergeCell ref="A197:D197"/>
    <mergeCell ref="A198:D198"/>
    <mergeCell ref="A199:D199"/>
    <mergeCell ref="A200:G200"/>
    <mergeCell ref="A202:M202"/>
    <mergeCell ref="A204:C204"/>
    <mergeCell ref="D204:J204"/>
    <mergeCell ref="K204:K205"/>
    <mergeCell ref="A128:M128"/>
    <mergeCell ref="A151:D151"/>
    <mergeCell ref="A152:D152"/>
    <mergeCell ref="A159:M159"/>
    <mergeCell ref="A182:D182"/>
    <mergeCell ref="A183:D183"/>
    <mergeCell ref="A187:D187"/>
    <mergeCell ref="A188:D188"/>
    <mergeCell ref="A190:K190"/>
    <mergeCell ref="A178:D178"/>
    <mergeCell ref="A179:D179"/>
    <mergeCell ref="A180:D180"/>
    <mergeCell ref="A181:D181"/>
    <mergeCell ref="A173:D173"/>
    <mergeCell ref="A174:D174"/>
    <mergeCell ref="A175:D175"/>
    <mergeCell ref="A176:D176"/>
    <mergeCell ref="A177:D177"/>
    <mergeCell ref="A134:D134"/>
    <mergeCell ref="A135:D135"/>
    <mergeCell ref="A169:D169"/>
    <mergeCell ref="A170:D170"/>
    <mergeCell ref="A171:D171"/>
    <mergeCell ref="A172:D172"/>
    <mergeCell ref="A131:D131"/>
    <mergeCell ref="A139:D139"/>
    <mergeCell ref="A140:D140"/>
    <mergeCell ref="A141:D141"/>
    <mergeCell ref="A144:D144"/>
    <mergeCell ref="A145:D145"/>
    <mergeCell ref="A146:D146"/>
    <mergeCell ref="A147:D147"/>
    <mergeCell ref="A148:D148"/>
    <mergeCell ref="A138:D138"/>
    <mergeCell ref="A142:D142"/>
    <mergeCell ref="A143:D143"/>
    <mergeCell ref="A136:D136"/>
    <mergeCell ref="A191:D191"/>
    <mergeCell ref="A192:D192"/>
    <mergeCell ref="A186:D186"/>
    <mergeCell ref="A132:D132"/>
    <mergeCell ref="A133:D133"/>
    <mergeCell ref="A137:D137"/>
    <mergeCell ref="A167:D167"/>
    <mergeCell ref="A168:D168"/>
    <mergeCell ref="A165:D165"/>
    <mergeCell ref="A166:D166"/>
    <mergeCell ref="A149:D149"/>
    <mergeCell ref="A150:D150"/>
    <mergeCell ref="A153:D153"/>
    <mergeCell ref="A154:D154"/>
    <mergeCell ref="A156:D156"/>
    <mergeCell ref="A157:D157"/>
    <mergeCell ref="A160:D160"/>
    <mergeCell ref="A161:D161"/>
    <mergeCell ref="A162:D162"/>
    <mergeCell ref="A163:D163"/>
    <mergeCell ref="A164:D164"/>
    <mergeCell ref="A155:D155"/>
    <mergeCell ref="A184:D184"/>
    <mergeCell ref="A185:D185"/>
    <mergeCell ref="G35:K35"/>
    <mergeCell ref="A36:E36"/>
    <mergeCell ref="G36:K36"/>
    <mergeCell ref="A39:E39"/>
    <mergeCell ref="G39:K39"/>
    <mergeCell ref="A84:D84"/>
    <mergeCell ref="A85:D85"/>
    <mergeCell ref="A86:D86"/>
    <mergeCell ref="A87:D87"/>
    <mergeCell ref="A43:D43"/>
    <mergeCell ref="A44:D44"/>
    <mergeCell ref="A45:D45"/>
    <mergeCell ref="A46:D46"/>
    <mergeCell ref="A67:D67"/>
    <mergeCell ref="A68:D68"/>
    <mergeCell ref="A69:D69"/>
    <mergeCell ref="A70:D70"/>
    <mergeCell ref="A71:D71"/>
    <mergeCell ref="A47:D47"/>
    <mergeCell ref="A48:D48"/>
    <mergeCell ref="A49:D49"/>
    <mergeCell ref="A40:D40"/>
    <mergeCell ref="G40:N40"/>
    <mergeCell ref="A41:M41"/>
    <mergeCell ref="A7:M7"/>
    <mergeCell ref="A2:D2"/>
    <mergeCell ref="A3:B3"/>
    <mergeCell ref="E2:G2"/>
    <mergeCell ref="A6:M6"/>
    <mergeCell ref="A11:M11"/>
    <mergeCell ref="A129:D129"/>
    <mergeCell ref="A130:D130"/>
    <mergeCell ref="A37:E37"/>
    <mergeCell ref="G37:K37"/>
    <mergeCell ref="A38:E38"/>
    <mergeCell ref="G38:K38"/>
    <mergeCell ref="A28:E28"/>
    <mergeCell ref="G28:K28"/>
    <mergeCell ref="A29:E29"/>
    <mergeCell ref="G29:K29"/>
    <mergeCell ref="A30:E30"/>
    <mergeCell ref="G30:K30"/>
    <mergeCell ref="A33:E33"/>
    <mergeCell ref="G33:K33"/>
    <mergeCell ref="A34:E34"/>
    <mergeCell ref="G34:K34"/>
    <mergeCell ref="A35:E35"/>
    <mergeCell ref="A15:E15"/>
    <mergeCell ref="G15:K1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26:E26"/>
    <mergeCell ref="G26:K26"/>
    <mergeCell ref="A31:E31"/>
    <mergeCell ref="G31:K31"/>
    <mergeCell ref="A32:E32"/>
    <mergeCell ref="G32:K32"/>
    <mergeCell ref="A27:E27"/>
    <mergeCell ref="G27:K27"/>
    <mergeCell ref="A77:D77"/>
    <mergeCell ref="A78:D78"/>
    <mergeCell ref="A79:D79"/>
    <mergeCell ref="A80:D80"/>
    <mergeCell ref="A82:M82"/>
    <mergeCell ref="A50:D50"/>
    <mergeCell ref="A51:D51"/>
    <mergeCell ref="A52:D52"/>
    <mergeCell ref="A53:D53"/>
    <mergeCell ref="A54:D54"/>
    <mergeCell ref="A55:D55"/>
    <mergeCell ref="A56:D56"/>
    <mergeCell ref="A57:D57"/>
    <mergeCell ref="A58:D58"/>
    <mergeCell ref="A59:D59"/>
    <mergeCell ref="A60:D60"/>
    <mergeCell ref="A61:D61"/>
    <mergeCell ref="A62:D62"/>
    <mergeCell ref="A63:D63"/>
    <mergeCell ref="A64:K64"/>
    <mergeCell ref="A66:M66"/>
    <mergeCell ref="A76:D76"/>
    <mergeCell ref="A73:M73"/>
    <mergeCell ref="A74:D74"/>
    <mergeCell ref="A75:D75"/>
    <mergeCell ref="A83:D83"/>
    <mergeCell ref="A88:D88"/>
    <mergeCell ref="A89:D89"/>
    <mergeCell ref="A93:D93"/>
    <mergeCell ref="A90:D90"/>
    <mergeCell ref="A120:D120"/>
    <mergeCell ref="A121:D121"/>
    <mergeCell ref="A98:D98"/>
    <mergeCell ref="A99:D99"/>
    <mergeCell ref="A100:D100"/>
    <mergeCell ref="A101:D101"/>
    <mergeCell ref="A102:D102"/>
    <mergeCell ref="A103:D103"/>
    <mergeCell ref="A104:D104"/>
    <mergeCell ref="A105:D105"/>
    <mergeCell ref="A109:D109"/>
    <mergeCell ref="A110:D110"/>
    <mergeCell ref="A94:D94"/>
    <mergeCell ref="A97:M97"/>
    <mergeCell ref="A91:D91"/>
    <mergeCell ref="A106:D106"/>
    <mergeCell ref="A107:D107"/>
    <mergeCell ref="A111:D111"/>
    <mergeCell ref="A112:D112"/>
    <mergeCell ref="A125:D125"/>
    <mergeCell ref="A126:D126"/>
    <mergeCell ref="A113:D113"/>
    <mergeCell ref="A114:D114"/>
    <mergeCell ref="A117:D117"/>
    <mergeCell ref="A108:D108"/>
    <mergeCell ref="A118:D118"/>
    <mergeCell ref="A119:D119"/>
    <mergeCell ref="A122:D122"/>
    <mergeCell ref="A123:D123"/>
    <mergeCell ref="A124:D124"/>
    <mergeCell ref="A116:M116"/>
  </mergeCells>
  <pageMargins left="0.70866141732283472" right="0.31496062992125984" top="0.15748031496062992" bottom="0.23622047244094491" header="0.15748031496062992" footer="0.15748031496062992"/>
  <pageSetup paperSize="9" scale="6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217"/>
  <sheetViews>
    <sheetView topLeftCell="A197" zoomScale="70" zoomScaleNormal="70" workbookViewId="0">
      <selection activeCell="A215" sqref="A215"/>
    </sheetView>
  </sheetViews>
  <sheetFormatPr defaultRowHeight="14.4"/>
  <cols>
    <col min="1" max="1" width="9.109375" customWidth="1"/>
    <col min="2" max="3" width="5.6640625" customWidth="1"/>
    <col min="4" max="4" width="15.5546875" customWidth="1"/>
    <col min="5" max="6" width="13" customWidth="1"/>
    <col min="7" max="7" width="11.6640625" customWidth="1"/>
    <col min="8" max="8" width="16" customWidth="1"/>
    <col min="9" max="9" width="15.109375" customWidth="1"/>
    <col min="10" max="10" width="13.88671875" customWidth="1"/>
    <col min="11" max="11" width="12.5546875" customWidth="1"/>
    <col min="12" max="12" width="10.33203125" hidden="1" customWidth="1"/>
    <col min="13" max="13" width="14.33203125" customWidth="1"/>
    <col min="14" max="14" width="18.21875" customWidth="1"/>
    <col min="17" max="17" width="15.6640625" customWidth="1"/>
  </cols>
  <sheetData>
    <row r="1" spans="1:13" ht="14.4" hidden="1" customHeight="1"/>
    <row r="2" spans="1:13" ht="15.6" hidden="1" customHeight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169"/>
      <c r="F3" s="43"/>
      <c r="G3" s="43"/>
    </row>
    <row r="4" spans="1:13" ht="27.75" customHeight="1">
      <c r="A4" s="4"/>
      <c r="B4" s="4"/>
      <c r="C4" s="4"/>
      <c r="D4" s="176"/>
      <c r="E4" s="4"/>
      <c r="F4" s="4"/>
      <c r="G4" s="176"/>
    </row>
    <row r="5" spans="1:13" ht="7.5" customHeight="1">
      <c r="A5" s="166"/>
      <c r="B5" s="166"/>
      <c r="C5" s="166"/>
      <c r="D5" s="166"/>
      <c r="E5" s="166"/>
      <c r="F5" s="166"/>
      <c r="G5" s="166"/>
    </row>
    <row r="6" spans="1:13" ht="15.6">
      <c r="A6" s="209" t="s">
        <v>138</v>
      </c>
      <c r="B6" s="210"/>
      <c r="C6" s="210"/>
      <c r="D6" s="210"/>
      <c r="E6" s="210"/>
      <c r="F6" s="210"/>
      <c r="G6" s="211"/>
      <c r="H6" s="211"/>
      <c r="I6" s="211"/>
      <c r="J6" s="211"/>
      <c r="K6" s="211"/>
      <c r="L6" s="211"/>
      <c r="M6" s="211"/>
    </row>
    <row r="7" spans="1:13" ht="15.6">
      <c r="A7" s="209" t="s">
        <v>139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9" spans="1:13" ht="6.7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15.6">
      <c r="A10" s="8" t="s">
        <v>173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>
      <c r="A11" s="249" t="s">
        <v>86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</row>
    <row r="12" spans="1:13" ht="17.25" customHeight="1">
      <c r="A12" s="8" t="s">
        <v>58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15.6">
      <c r="A13" s="8" t="s">
        <v>111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110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2">
      <c r="A15" s="261" t="s">
        <v>66</v>
      </c>
      <c r="B15" s="261"/>
      <c r="C15" s="261"/>
      <c r="D15" s="261"/>
      <c r="E15" s="261"/>
      <c r="F15" s="9" t="s">
        <v>65</v>
      </c>
      <c r="G15" s="261" t="s">
        <v>67</v>
      </c>
      <c r="H15" s="261"/>
      <c r="I15" s="261"/>
      <c r="J15" s="261"/>
      <c r="K15" s="261"/>
      <c r="L15" s="171"/>
      <c r="M15" s="9" t="s">
        <v>65</v>
      </c>
    </row>
    <row r="16" spans="1:13" ht="51.75" customHeight="1">
      <c r="A16" s="234" t="s">
        <v>90</v>
      </c>
      <c r="B16" s="234"/>
      <c r="C16" s="234"/>
      <c r="D16" s="234"/>
      <c r="E16" s="234"/>
      <c r="F16" s="152">
        <f>4.92*0.59397</f>
        <v>2.9223324000000002</v>
      </c>
      <c r="G16" s="235" t="s">
        <v>1</v>
      </c>
      <c r="H16" s="235"/>
      <c r="I16" s="235"/>
      <c r="J16" s="235"/>
      <c r="K16" s="235"/>
      <c r="L16" s="112">
        <v>1</v>
      </c>
      <c r="M16" s="200">
        <f t="shared" ref="M16:M23" si="0">L16*0.59397</f>
        <v>0.59397</v>
      </c>
    </row>
    <row r="17" spans="1:13">
      <c r="A17" s="234" t="s">
        <v>91</v>
      </c>
      <c r="B17" s="234"/>
      <c r="C17" s="234"/>
      <c r="D17" s="234"/>
      <c r="E17" s="234"/>
      <c r="F17" s="152">
        <f>8.83*0.59397</f>
        <v>5.2447550999999999</v>
      </c>
      <c r="G17" s="224" t="s">
        <v>92</v>
      </c>
      <c r="H17" s="225"/>
      <c r="I17" s="225"/>
      <c r="J17" s="225"/>
      <c r="K17" s="237"/>
      <c r="L17" s="112">
        <v>4</v>
      </c>
      <c r="M17" s="152">
        <f t="shared" si="0"/>
        <v>2.37588</v>
      </c>
    </row>
    <row r="18" spans="1:13">
      <c r="A18" s="234"/>
      <c r="B18" s="234"/>
      <c r="C18" s="234"/>
      <c r="D18" s="234"/>
      <c r="E18" s="234"/>
      <c r="F18" s="152"/>
      <c r="G18" s="234" t="s">
        <v>93</v>
      </c>
      <c r="H18" s="234"/>
      <c r="I18" s="234"/>
      <c r="J18" s="234"/>
      <c r="K18" s="234"/>
      <c r="L18" s="112">
        <v>1</v>
      </c>
      <c r="M18" s="152">
        <f t="shared" si="0"/>
        <v>0.59397</v>
      </c>
    </row>
    <row r="19" spans="1:13">
      <c r="A19" s="234"/>
      <c r="B19" s="234"/>
      <c r="C19" s="234"/>
      <c r="D19" s="234"/>
      <c r="E19" s="234"/>
      <c r="F19" s="152"/>
      <c r="G19" s="241" t="s">
        <v>72</v>
      </c>
      <c r="H19" s="242"/>
      <c r="I19" s="242"/>
      <c r="J19" s="242"/>
      <c r="K19" s="243"/>
      <c r="L19" s="112">
        <v>1</v>
      </c>
      <c r="M19" s="152">
        <f t="shared" si="0"/>
        <v>0.59397</v>
      </c>
    </row>
    <row r="20" spans="1:13">
      <c r="A20" s="234"/>
      <c r="B20" s="234"/>
      <c r="C20" s="234"/>
      <c r="D20" s="234"/>
      <c r="E20" s="234"/>
      <c r="F20" s="152"/>
      <c r="G20" s="235" t="s">
        <v>94</v>
      </c>
      <c r="H20" s="235"/>
      <c r="I20" s="235"/>
      <c r="J20" s="235"/>
      <c r="K20" s="235"/>
      <c r="L20" s="112">
        <v>0.5</v>
      </c>
      <c r="M20" s="152">
        <f t="shared" si="0"/>
        <v>0.296985</v>
      </c>
    </row>
    <row r="21" spans="1:13" ht="15" customHeight="1">
      <c r="A21" s="234"/>
      <c r="B21" s="234"/>
      <c r="C21" s="234"/>
      <c r="D21" s="234"/>
      <c r="E21" s="234"/>
      <c r="F21" s="152"/>
      <c r="G21" s="235" t="s">
        <v>70</v>
      </c>
      <c r="H21" s="235"/>
      <c r="I21" s="235"/>
      <c r="J21" s="235"/>
      <c r="K21" s="235"/>
      <c r="L21" s="113">
        <v>1</v>
      </c>
      <c r="M21" s="152">
        <f t="shared" si="0"/>
        <v>0.59397</v>
      </c>
    </row>
    <row r="22" spans="1:13" ht="15" customHeight="1">
      <c r="A22" s="234"/>
      <c r="B22" s="234"/>
      <c r="C22" s="234"/>
      <c r="D22" s="234"/>
      <c r="E22" s="234"/>
      <c r="F22" s="152"/>
      <c r="G22" s="236" t="s">
        <v>95</v>
      </c>
      <c r="H22" s="236"/>
      <c r="I22" s="236"/>
      <c r="J22" s="236"/>
      <c r="K22" s="236"/>
      <c r="L22" s="113">
        <v>0.5</v>
      </c>
      <c r="M22" s="152">
        <f t="shared" si="0"/>
        <v>0.296985</v>
      </c>
    </row>
    <row r="23" spans="1:13" ht="15.75" customHeight="1">
      <c r="A23" s="224"/>
      <c r="B23" s="225"/>
      <c r="C23" s="225"/>
      <c r="D23" s="225"/>
      <c r="E23" s="237"/>
      <c r="F23" s="152"/>
      <c r="G23" s="238"/>
      <c r="H23" s="239"/>
      <c r="I23" s="239"/>
      <c r="J23" s="239"/>
      <c r="K23" s="240"/>
      <c r="L23" s="113"/>
      <c r="M23" s="152">
        <f t="shared" si="0"/>
        <v>0</v>
      </c>
    </row>
    <row r="24" spans="1:13" ht="15.75" hidden="1" customHeight="1">
      <c r="A24" s="224"/>
      <c r="B24" s="225"/>
      <c r="C24" s="225"/>
      <c r="D24" s="225"/>
      <c r="E24" s="237"/>
      <c r="F24" s="152"/>
      <c r="G24" s="238" t="s">
        <v>96</v>
      </c>
      <c r="H24" s="239"/>
      <c r="I24" s="239"/>
      <c r="J24" s="239"/>
      <c r="K24" s="240"/>
      <c r="L24" s="113">
        <v>1</v>
      </c>
      <c r="M24" s="152">
        <f>L24*0.05454</f>
        <v>5.4539999999999998E-2</v>
      </c>
    </row>
    <row r="25" spans="1:13" ht="15.75" customHeight="1">
      <c r="A25" s="224"/>
      <c r="B25" s="225"/>
      <c r="C25" s="225"/>
      <c r="D25" s="225"/>
      <c r="E25" s="237"/>
      <c r="F25" s="159"/>
      <c r="G25" s="238"/>
      <c r="H25" s="239"/>
      <c r="I25" s="239"/>
      <c r="J25" s="239"/>
      <c r="K25" s="240"/>
      <c r="L25" s="115"/>
      <c r="M25" s="152">
        <f>L25*0.59397</f>
        <v>0</v>
      </c>
    </row>
    <row r="26" spans="1:13" ht="15.75" hidden="1" customHeight="1">
      <c r="A26" s="224"/>
      <c r="B26" s="225"/>
      <c r="C26" s="225"/>
      <c r="D26" s="225"/>
      <c r="E26" s="237"/>
      <c r="F26" s="159"/>
      <c r="G26" s="258" t="s">
        <v>97</v>
      </c>
      <c r="H26" s="259"/>
      <c r="I26" s="259"/>
      <c r="J26" s="259"/>
      <c r="K26" s="260"/>
      <c r="L26" s="115">
        <v>2</v>
      </c>
      <c r="M26" s="152">
        <f>L26*0.05454</f>
        <v>0.10908</v>
      </c>
    </row>
    <row r="27" spans="1:13" ht="15.75" customHeight="1">
      <c r="A27" s="224"/>
      <c r="B27" s="225"/>
      <c r="C27" s="225"/>
      <c r="D27" s="225"/>
      <c r="E27" s="237"/>
      <c r="F27" s="159"/>
      <c r="G27" s="238" t="s">
        <v>71</v>
      </c>
      <c r="H27" s="239"/>
      <c r="I27" s="239"/>
      <c r="J27" s="239"/>
      <c r="K27" s="240"/>
      <c r="L27" s="115">
        <v>1</v>
      </c>
      <c r="M27" s="152">
        <f t="shared" ref="M27:M39" si="1">L27*0.59397</f>
        <v>0.59397</v>
      </c>
    </row>
    <row r="28" spans="1:13" ht="15.75" customHeight="1">
      <c r="A28" s="257"/>
      <c r="B28" s="257"/>
      <c r="C28" s="257"/>
      <c r="D28" s="257"/>
      <c r="E28" s="257"/>
      <c r="F28" s="159"/>
      <c r="G28" s="236" t="s">
        <v>98</v>
      </c>
      <c r="H28" s="236"/>
      <c r="I28" s="236"/>
      <c r="J28" s="236"/>
      <c r="K28" s="236"/>
      <c r="L28" s="115">
        <v>4.75</v>
      </c>
      <c r="M28" s="152">
        <f t="shared" si="1"/>
        <v>2.8213575</v>
      </c>
    </row>
    <row r="29" spans="1:13" ht="15" customHeight="1">
      <c r="A29" s="257"/>
      <c r="B29" s="257"/>
      <c r="C29" s="257"/>
      <c r="D29" s="257"/>
      <c r="E29" s="257"/>
      <c r="F29" s="159"/>
      <c r="G29" s="236" t="s">
        <v>99</v>
      </c>
      <c r="H29" s="236"/>
      <c r="I29" s="236"/>
      <c r="J29" s="236"/>
      <c r="K29" s="236"/>
      <c r="L29" s="115">
        <v>3.5</v>
      </c>
      <c r="M29" s="152">
        <f t="shared" si="1"/>
        <v>2.0788950000000002</v>
      </c>
    </row>
    <row r="30" spans="1:13" ht="15.75" customHeight="1">
      <c r="A30" s="254"/>
      <c r="B30" s="254"/>
      <c r="C30" s="254"/>
      <c r="D30" s="254"/>
      <c r="E30" s="254"/>
      <c r="F30" s="160"/>
      <c r="G30" s="236" t="s">
        <v>100</v>
      </c>
      <c r="H30" s="236"/>
      <c r="I30" s="236"/>
      <c r="J30" s="236"/>
      <c r="K30" s="236"/>
      <c r="L30" s="115">
        <v>2</v>
      </c>
      <c r="M30" s="152">
        <f t="shared" si="1"/>
        <v>1.18794</v>
      </c>
    </row>
    <row r="31" spans="1:13">
      <c r="A31" s="254"/>
      <c r="B31" s="254"/>
      <c r="C31" s="254"/>
      <c r="D31" s="254"/>
      <c r="E31" s="254"/>
      <c r="F31" s="160"/>
      <c r="G31" s="236" t="s">
        <v>101</v>
      </c>
      <c r="H31" s="236"/>
      <c r="I31" s="236"/>
      <c r="J31" s="236"/>
      <c r="K31" s="236"/>
      <c r="L31" s="115">
        <v>1</v>
      </c>
      <c r="M31" s="152">
        <f t="shared" si="1"/>
        <v>0.59397</v>
      </c>
    </row>
    <row r="32" spans="1:13" ht="27.75" customHeight="1">
      <c r="A32" s="254"/>
      <c r="B32" s="254"/>
      <c r="C32" s="254"/>
      <c r="D32" s="254"/>
      <c r="E32" s="254"/>
      <c r="F32" s="160"/>
      <c r="G32" s="236" t="s">
        <v>102</v>
      </c>
      <c r="H32" s="236"/>
      <c r="I32" s="236"/>
      <c r="J32" s="236"/>
      <c r="K32" s="236"/>
      <c r="L32" s="115">
        <v>0.5</v>
      </c>
      <c r="M32" s="152">
        <f t="shared" si="1"/>
        <v>0.296985</v>
      </c>
    </row>
    <row r="33" spans="1:15" ht="14.4" customHeight="1">
      <c r="A33" s="254"/>
      <c r="B33" s="254"/>
      <c r="C33" s="254"/>
      <c r="D33" s="254"/>
      <c r="E33" s="254"/>
      <c r="F33" s="160"/>
      <c r="G33" s="212" t="s">
        <v>103</v>
      </c>
      <c r="H33" s="213"/>
      <c r="I33" s="213"/>
      <c r="J33" s="213"/>
      <c r="K33" s="219"/>
      <c r="L33" s="115">
        <v>0.5</v>
      </c>
      <c r="M33" s="152">
        <f t="shared" si="1"/>
        <v>0.296985</v>
      </c>
    </row>
    <row r="34" spans="1:15" ht="12.75" customHeight="1">
      <c r="A34" s="254"/>
      <c r="B34" s="254"/>
      <c r="C34" s="254"/>
      <c r="D34" s="254"/>
      <c r="E34" s="254"/>
      <c r="F34" s="160"/>
      <c r="G34" s="212" t="s">
        <v>104</v>
      </c>
      <c r="H34" s="213"/>
      <c r="I34" s="213"/>
      <c r="J34" s="213"/>
      <c r="K34" s="219"/>
      <c r="L34" s="115">
        <v>16</v>
      </c>
      <c r="M34" s="152">
        <f t="shared" si="1"/>
        <v>9.50352</v>
      </c>
    </row>
    <row r="35" spans="1:15" ht="15" customHeight="1">
      <c r="A35" s="264"/>
      <c r="B35" s="265"/>
      <c r="C35" s="265"/>
      <c r="D35" s="265"/>
      <c r="E35" s="266"/>
      <c r="F35" s="160"/>
      <c r="G35" s="224" t="s">
        <v>105</v>
      </c>
      <c r="H35" s="225"/>
      <c r="I35" s="225"/>
      <c r="J35" s="225"/>
      <c r="K35" s="226"/>
      <c r="L35" s="112">
        <v>2</v>
      </c>
      <c r="M35" s="152">
        <f t="shared" si="1"/>
        <v>1.18794</v>
      </c>
    </row>
    <row r="36" spans="1:15">
      <c r="A36" s="264"/>
      <c r="B36" s="265"/>
      <c r="C36" s="265"/>
      <c r="D36" s="265"/>
      <c r="E36" s="266"/>
      <c r="F36" s="160"/>
      <c r="G36" s="224" t="s">
        <v>106</v>
      </c>
      <c r="H36" s="225"/>
      <c r="I36" s="225"/>
      <c r="J36" s="225"/>
      <c r="K36" s="226"/>
      <c r="L36" s="112">
        <v>1</v>
      </c>
      <c r="M36" s="152">
        <f t="shared" si="1"/>
        <v>0.59397</v>
      </c>
    </row>
    <row r="37" spans="1:15" ht="15" customHeight="1">
      <c r="A37" s="264"/>
      <c r="B37" s="265"/>
      <c r="C37" s="265"/>
      <c r="D37" s="265"/>
      <c r="E37" s="266"/>
      <c r="F37" s="160"/>
      <c r="G37" s="224" t="s">
        <v>107</v>
      </c>
      <c r="H37" s="225"/>
      <c r="I37" s="225"/>
      <c r="J37" s="225"/>
      <c r="K37" s="226"/>
      <c r="L37" s="112">
        <v>1</v>
      </c>
      <c r="M37" s="152">
        <f t="shared" si="1"/>
        <v>0.59397</v>
      </c>
    </row>
    <row r="38" spans="1:15" ht="15" customHeight="1">
      <c r="A38" s="264"/>
      <c r="B38" s="265"/>
      <c r="C38" s="265"/>
      <c r="D38" s="265"/>
      <c r="E38" s="266"/>
      <c r="F38" s="160"/>
      <c r="G38" s="224" t="s">
        <v>108</v>
      </c>
      <c r="H38" s="225"/>
      <c r="I38" s="225"/>
      <c r="J38" s="225"/>
      <c r="K38" s="226"/>
      <c r="L38" s="115">
        <v>10</v>
      </c>
      <c r="M38" s="152">
        <f t="shared" si="1"/>
        <v>5.9397000000000002</v>
      </c>
    </row>
    <row r="39" spans="1:15" ht="15" customHeight="1">
      <c r="A39" s="248" t="s">
        <v>2</v>
      </c>
      <c r="B39" s="248"/>
      <c r="C39" s="248"/>
      <c r="D39" s="248"/>
      <c r="E39" s="248"/>
      <c r="F39" s="161">
        <f>SUM(F16:F34)</f>
        <v>8.1670875000000009</v>
      </c>
      <c r="G39" s="244" t="s">
        <v>2</v>
      </c>
      <c r="H39" s="244"/>
      <c r="I39" s="244"/>
      <c r="J39" s="244"/>
      <c r="K39" s="244"/>
      <c r="L39" s="117">
        <f>SUM(L16:L38)</f>
        <v>55.25</v>
      </c>
      <c r="M39" s="161">
        <f t="shared" si="1"/>
        <v>32.8168425</v>
      </c>
    </row>
    <row r="40" spans="1:15" ht="15" customHeight="1">
      <c r="A40" s="248" t="s">
        <v>2</v>
      </c>
      <c r="B40" s="248"/>
      <c r="C40" s="248"/>
      <c r="D40" s="248"/>
      <c r="E40" s="78">
        <f>SUM(E16:E28)</f>
        <v>0</v>
      </c>
      <c r="F40" s="173"/>
      <c r="G40" s="280" t="s">
        <v>2</v>
      </c>
      <c r="H40" s="280"/>
      <c r="I40" s="280"/>
      <c r="J40" s="280"/>
      <c r="K40" s="280"/>
      <c r="L40" s="280"/>
      <c r="M40" s="280"/>
      <c r="N40" s="280"/>
      <c r="O40" s="173"/>
    </row>
    <row r="41" spans="1:15" ht="98.25" hidden="1" customHeight="1">
      <c r="A41" s="208" t="s">
        <v>15</v>
      </c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</row>
    <row r="42" spans="1:15" ht="14.4" hidden="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5" ht="14.4" hidden="1" customHeight="1">
      <c r="A43" s="277" t="s">
        <v>6</v>
      </c>
      <c r="B43" s="277"/>
      <c r="C43" s="277"/>
      <c r="D43" s="277"/>
      <c r="E43" s="19" t="s">
        <v>7</v>
      </c>
      <c r="F43" s="19" t="s">
        <v>8</v>
      </c>
      <c r="G43" s="19" t="s">
        <v>9</v>
      </c>
      <c r="H43" s="19" t="s">
        <v>10</v>
      </c>
      <c r="I43" s="19"/>
      <c r="J43" s="19" t="s">
        <v>11</v>
      </c>
      <c r="K43" s="19" t="s">
        <v>12</v>
      </c>
      <c r="L43" s="19"/>
      <c r="M43" s="19" t="s">
        <v>5</v>
      </c>
    </row>
    <row r="44" spans="1:15" ht="80.25" hidden="1" customHeight="1">
      <c r="A44" s="278">
        <v>1</v>
      </c>
      <c r="B44" s="279"/>
      <c r="C44" s="279"/>
      <c r="D44" s="279"/>
      <c r="E44" s="19">
        <v>2</v>
      </c>
      <c r="F44" s="19">
        <v>3</v>
      </c>
      <c r="G44" s="19">
        <v>4</v>
      </c>
      <c r="H44" s="19" t="s">
        <v>36</v>
      </c>
      <c r="I44" s="19"/>
      <c r="J44" s="19">
        <v>6</v>
      </c>
      <c r="K44" s="19">
        <v>7</v>
      </c>
      <c r="L44" s="19"/>
      <c r="M44" s="19" t="s">
        <v>37</v>
      </c>
    </row>
    <row r="45" spans="1:15" ht="15" hidden="1" customHeight="1">
      <c r="A45" s="227" t="s">
        <v>39</v>
      </c>
      <c r="B45" s="227"/>
      <c r="C45" s="227"/>
      <c r="D45" s="227"/>
      <c r="E45" s="20" t="s">
        <v>13</v>
      </c>
      <c r="F45" s="19">
        <v>7</v>
      </c>
      <c r="G45" s="20">
        <v>10</v>
      </c>
      <c r="H45" s="21">
        <f>F45/G45</f>
        <v>0.7</v>
      </c>
      <c r="I45" s="21"/>
      <c r="J45" s="19">
        <v>20</v>
      </c>
      <c r="K45" s="22">
        <v>7100</v>
      </c>
      <c r="L45" s="22"/>
      <c r="M45" s="22">
        <f>H45*K45</f>
        <v>4970</v>
      </c>
    </row>
    <row r="46" spans="1:15" ht="15" hidden="1" customHeight="1">
      <c r="A46" s="227" t="s">
        <v>40</v>
      </c>
      <c r="B46" s="227"/>
      <c r="C46" s="227"/>
      <c r="D46" s="227"/>
      <c r="E46" s="20" t="s">
        <v>13</v>
      </c>
      <c r="F46" s="19">
        <v>1</v>
      </c>
      <c r="G46" s="20">
        <v>10</v>
      </c>
      <c r="H46" s="21">
        <f t="shared" ref="H46:H62" si="2">F46/G46</f>
        <v>0.1</v>
      </c>
      <c r="I46" s="21"/>
      <c r="J46" s="19">
        <v>20</v>
      </c>
      <c r="K46" s="22">
        <v>538700</v>
      </c>
      <c r="L46" s="22"/>
      <c r="M46" s="22">
        <f t="shared" ref="M46:M63" si="3">H46*K46</f>
        <v>53870</v>
      </c>
    </row>
    <row r="47" spans="1:15" ht="15" hidden="1" customHeight="1">
      <c r="A47" s="227" t="s">
        <v>41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si="2"/>
        <v>0.1</v>
      </c>
      <c r="I47" s="21"/>
      <c r="J47" s="19">
        <v>20</v>
      </c>
      <c r="K47" s="22">
        <v>380000</v>
      </c>
      <c r="L47" s="22"/>
      <c r="M47" s="22">
        <f t="shared" si="3"/>
        <v>38000</v>
      </c>
    </row>
    <row r="48" spans="1:15" ht="15" hidden="1" customHeight="1">
      <c r="A48" s="227"/>
      <c r="B48" s="227"/>
      <c r="C48" s="227"/>
      <c r="D48" s="227"/>
      <c r="E48" s="20" t="s">
        <v>13</v>
      </c>
      <c r="F48" s="19"/>
      <c r="G48" s="20">
        <v>10</v>
      </c>
      <c r="H48" s="21">
        <f t="shared" si="2"/>
        <v>0</v>
      </c>
      <c r="I48" s="21"/>
      <c r="J48" s="19"/>
      <c r="K48" s="22"/>
      <c r="L48" s="22"/>
      <c r="M48" s="22">
        <f t="shared" si="3"/>
        <v>0</v>
      </c>
    </row>
    <row r="49" spans="1:13" ht="12.7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2"/>
        <v>0</v>
      </c>
      <c r="I49" s="21"/>
      <c r="J49" s="19"/>
      <c r="K49" s="22"/>
      <c r="L49" s="22"/>
      <c r="M49" s="22">
        <f t="shared" si="3"/>
        <v>0</v>
      </c>
    </row>
    <row r="50" spans="1:13" ht="15" hidden="1" customHeight="1">
      <c r="A50" s="228"/>
      <c r="B50" s="229"/>
      <c r="C50" s="229"/>
      <c r="D50" s="229"/>
      <c r="E50" s="20" t="s">
        <v>13</v>
      </c>
      <c r="F50" s="19"/>
      <c r="G50" s="20">
        <v>10</v>
      </c>
      <c r="H50" s="21">
        <f t="shared" si="2"/>
        <v>0</v>
      </c>
      <c r="I50" s="21"/>
      <c r="J50" s="19"/>
      <c r="K50" s="22"/>
      <c r="L50" s="22"/>
      <c r="M50" s="22">
        <f t="shared" si="3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2"/>
        <v>0</v>
      </c>
      <c r="I51" s="21"/>
      <c r="J51" s="19"/>
      <c r="K51" s="22"/>
      <c r="L51" s="22"/>
      <c r="M51" s="22">
        <f t="shared" si="3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2"/>
        <v>0</v>
      </c>
      <c r="I52" s="21"/>
      <c r="J52" s="19"/>
      <c r="K52" s="22"/>
      <c r="L52" s="22"/>
      <c r="M52" s="22">
        <f t="shared" si="3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2"/>
        <v>0</v>
      </c>
      <c r="I53" s="21"/>
      <c r="J53" s="19"/>
      <c r="K53" s="22"/>
      <c r="L53" s="22"/>
      <c r="M53" s="22">
        <f t="shared" si="3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2"/>
        <v>0</v>
      </c>
      <c r="I54" s="21"/>
      <c r="J54" s="19"/>
      <c r="K54" s="22"/>
      <c r="L54" s="22"/>
      <c r="M54" s="22">
        <f t="shared" si="3"/>
        <v>0</v>
      </c>
    </row>
    <row r="55" spans="1:13" ht="15" hidden="1" customHeight="1">
      <c r="A55" s="232"/>
      <c r="B55" s="233"/>
      <c r="C55" s="233"/>
      <c r="D55" s="233"/>
      <c r="E55" s="20" t="s">
        <v>13</v>
      </c>
      <c r="F55" s="20"/>
      <c r="G55" s="20">
        <v>10</v>
      </c>
      <c r="H55" s="21">
        <f t="shared" si="2"/>
        <v>0</v>
      </c>
      <c r="I55" s="21"/>
      <c r="J55" s="20"/>
      <c r="K55" s="23"/>
      <c r="L55" s="23"/>
      <c r="M55" s="22">
        <f t="shared" si="3"/>
        <v>0</v>
      </c>
    </row>
    <row r="56" spans="1:13" ht="14.4" hidden="1" customHeight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2"/>
        <v>0</v>
      </c>
      <c r="I56" s="21"/>
      <c r="J56" s="20"/>
      <c r="K56" s="23"/>
      <c r="L56" s="23"/>
      <c r="M56" s="22">
        <f t="shared" si="3"/>
        <v>0</v>
      </c>
    </row>
    <row r="57" spans="1:13" ht="14.4" hidden="1" customHeight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2"/>
        <v>0</v>
      </c>
      <c r="I57" s="21"/>
      <c r="J57" s="20"/>
      <c r="K57" s="23"/>
      <c r="L57" s="23"/>
      <c r="M57" s="22">
        <f t="shared" si="3"/>
        <v>0</v>
      </c>
    </row>
    <row r="58" spans="1:13" ht="14.4" hidden="1" customHeight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2"/>
        <v>0</v>
      </c>
      <c r="I58" s="21"/>
      <c r="J58" s="20"/>
      <c r="K58" s="23"/>
      <c r="L58" s="23"/>
      <c r="M58" s="22">
        <f t="shared" si="3"/>
        <v>0</v>
      </c>
    </row>
    <row r="59" spans="1:13" ht="14.4" hidden="1" customHeight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2"/>
        <v>0</v>
      </c>
      <c r="I59" s="21"/>
      <c r="J59" s="20"/>
      <c r="K59" s="23"/>
      <c r="L59" s="23"/>
      <c r="M59" s="22">
        <f t="shared" si="3"/>
        <v>0</v>
      </c>
    </row>
    <row r="60" spans="1:13" ht="14.4" hidden="1" customHeight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2"/>
        <v>0</v>
      </c>
      <c r="I60" s="21"/>
      <c r="J60" s="20"/>
      <c r="K60" s="23"/>
      <c r="L60" s="23"/>
      <c r="M60" s="22">
        <f t="shared" si="3"/>
        <v>0</v>
      </c>
    </row>
    <row r="61" spans="1:13" ht="14.4" hidden="1" customHeight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2"/>
        <v>0</v>
      </c>
      <c r="I61" s="21"/>
      <c r="J61" s="20"/>
      <c r="K61" s="23"/>
      <c r="L61" s="23"/>
      <c r="M61" s="22">
        <f t="shared" si="3"/>
        <v>0</v>
      </c>
    </row>
    <row r="62" spans="1:13" ht="14.4" hidden="1" customHeight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2"/>
        <v>0</v>
      </c>
      <c r="I62" s="21"/>
      <c r="J62" s="20"/>
      <c r="K62" s="23"/>
      <c r="L62" s="23"/>
      <c r="M62" s="22">
        <f t="shared" si="3"/>
        <v>0</v>
      </c>
    </row>
    <row r="63" spans="1:13" ht="14.4" hidden="1" customHeight="1">
      <c r="A63" s="267" t="s">
        <v>59</v>
      </c>
      <c r="B63" s="267"/>
      <c r="C63" s="267"/>
      <c r="D63" s="267"/>
      <c r="E63" s="20"/>
      <c r="F63" s="20"/>
      <c r="G63" s="20"/>
      <c r="H63" s="24"/>
      <c r="I63" s="24"/>
      <c r="J63" s="20"/>
      <c r="K63" s="23"/>
      <c r="L63" s="23"/>
      <c r="M63" s="23">
        <f t="shared" si="3"/>
        <v>0</v>
      </c>
    </row>
    <row r="64" spans="1:13" ht="14.4" hidden="1" customHeight="1">
      <c r="A64" s="268" t="s">
        <v>14</v>
      </c>
      <c r="B64" s="269"/>
      <c r="C64" s="269"/>
      <c r="D64" s="269"/>
      <c r="E64" s="269"/>
      <c r="F64" s="269"/>
      <c r="G64" s="269"/>
      <c r="H64" s="269"/>
      <c r="I64" s="269"/>
      <c r="J64" s="269"/>
      <c r="K64" s="270"/>
      <c r="L64" s="172"/>
      <c r="M64" s="23">
        <f>M63+M47+M46+M45</f>
        <v>96840</v>
      </c>
    </row>
    <row r="65" spans="1:13" ht="9" hidden="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ht="18" customHeight="1">
      <c r="A66" s="230" t="s">
        <v>88</v>
      </c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</row>
    <row r="67" spans="1:13" ht="55.8">
      <c r="A67" s="231" t="s">
        <v>17</v>
      </c>
      <c r="B67" s="231"/>
      <c r="C67" s="231"/>
      <c r="D67" s="231"/>
      <c r="E67" s="9" t="s">
        <v>79</v>
      </c>
      <c r="F67" s="25" t="s">
        <v>55</v>
      </c>
      <c r="G67" s="9" t="s">
        <v>42</v>
      </c>
      <c r="H67" s="9" t="s">
        <v>48</v>
      </c>
      <c r="I67" s="9" t="s">
        <v>63</v>
      </c>
      <c r="J67" s="9" t="s">
        <v>69</v>
      </c>
      <c r="K67" s="11"/>
      <c r="L67" s="11"/>
      <c r="M67" s="11"/>
    </row>
    <row r="68" spans="1:13" ht="73.5" customHeight="1">
      <c r="A68" s="271">
        <v>1</v>
      </c>
      <c r="B68" s="272"/>
      <c r="C68" s="272"/>
      <c r="D68" s="272"/>
      <c r="E68" s="9">
        <v>2</v>
      </c>
      <c r="F68" s="9">
        <v>3</v>
      </c>
      <c r="G68" s="26">
        <v>4</v>
      </c>
      <c r="H68" s="26">
        <v>5</v>
      </c>
      <c r="I68" s="27">
        <v>6</v>
      </c>
      <c r="J68" s="27" t="s">
        <v>45</v>
      </c>
      <c r="K68" s="11"/>
      <c r="L68" s="11"/>
      <c r="M68" s="28"/>
    </row>
    <row r="69" spans="1:13" ht="18.75" customHeight="1">
      <c r="A69" s="220" t="s">
        <v>51</v>
      </c>
      <c r="B69" s="220"/>
      <c r="C69" s="220"/>
      <c r="D69" s="220"/>
      <c r="E69" s="30">
        <v>5</v>
      </c>
      <c r="F69" s="29">
        <v>12</v>
      </c>
      <c r="G69" s="38">
        <v>687.02</v>
      </c>
      <c r="H69" s="38">
        <f>45691.3*0.59397</f>
        <v>27139.261461000002</v>
      </c>
      <c r="I69" s="46">
        <v>414</v>
      </c>
      <c r="J69" s="38">
        <f>H69/I69</f>
        <v>65.553771644927536</v>
      </c>
      <c r="K69" s="11"/>
      <c r="L69" s="11"/>
      <c r="M69" s="17"/>
    </row>
    <row r="70" spans="1:13" ht="15" thickBot="1">
      <c r="A70" s="220" t="s">
        <v>60</v>
      </c>
      <c r="B70" s="220"/>
      <c r="C70" s="220"/>
      <c r="D70" s="220"/>
      <c r="E70" s="30">
        <v>1</v>
      </c>
      <c r="F70" s="30">
        <v>12</v>
      </c>
      <c r="G70" s="38">
        <v>3743.23</v>
      </c>
      <c r="H70" s="38">
        <f>51915.36*0.59397</f>
        <v>30836.1663792</v>
      </c>
      <c r="I70" s="46">
        <v>414</v>
      </c>
      <c r="J70" s="38">
        <f>H70/I70</f>
        <v>74.48349366956522</v>
      </c>
      <c r="K70" s="11"/>
      <c r="L70" s="11"/>
      <c r="M70" s="11"/>
    </row>
    <row r="71" spans="1:13" ht="15" thickBot="1">
      <c r="A71" s="222" t="s">
        <v>25</v>
      </c>
      <c r="B71" s="223"/>
      <c r="C71" s="223"/>
      <c r="D71" s="223"/>
      <c r="E71" s="56"/>
      <c r="F71" s="56"/>
      <c r="G71" s="56"/>
      <c r="H71" s="73">
        <f>SUM(H69:H70)</f>
        <v>57975.427840200005</v>
      </c>
      <c r="I71" s="49"/>
      <c r="J71" s="57">
        <f>SUM(J69:J70)</f>
        <v>140.03726531449274</v>
      </c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ht="30" customHeight="1">
      <c r="A73" s="230" t="s">
        <v>16</v>
      </c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</row>
    <row r="74" spans="1:13" ht="55.8">
      <c r="A74" s="231" t="s">
        <v>17</v>
      </c>
      <c r="B74" s="231"/>
      <c r="C74" s="231"/>
      <c r="D74" s="231"/>
      <c r="E74" s="9" t="s">
        <v>7</v>
      </c>
      <c r="F74" s="25" t="s">
        <v>55</v>
      </c>
      <c r="G74" s="9" t="s">
        <v>42</v>
      </c>
      <c r="H74" s="9" t="s">
        <v>48</v>
      </c>
      <c r="I74" s="9" t="s">
        <v>63</v>
      </c>
      <c r="J74" s="9" t="s">
        <v>69</v>
      </c>
      <c r="K74" s="11"/>
      <c r="L74" s="11"/>
      <c r="M74" s="11"/>
    </row>
    <row r="75" spans="1:13" ht="73.5" customHeight="1">
      <c r="A75" s="271">
        <v>1</v>
      </c>
      <c r="B75" s="272"/>
      <c r="C75" s="272"/>
      <c r="D75" s="272"/>
      <c r="E75" s="9">
        <v>2</v>
      </c>
      <c r="F75" s="9">
        <v>3</v>
      </c>
      <c r="G75" s="26">
        <v>4</v>
      </c>
      <c r="H75" s="26">
        <v>5</v>
      </c>
      <c r="I75" s="27">
        <v>6</v>
      </c>
      <c r="J75" s="27" t="s">
        <v>45</v>
      </c>
      <c r="K75" s="11"/>
      <c r="L75" s="11"/>
      <c r="M75" s="28"/>
    </row>
    <row r="76" spans="1:13" ht="18.75" customHeight="1">
      <c r="A76" s="220" t="s">
        <v>19</v>
      </c>
      <c r="B76" s="220"/>
      <c r="C76" s="220"/>
      <c r="D76" s="220"/>
      <c r="E76" s="30" t="s">
        <v>22</v>
      </c>
      <c r="F76" s="29">
        <v>200200</v>
      </c>
      <c r="G76" s="38">
        <v>6.62</v>
      </c>
      <c r="H76" s="38">
        <f>934862.1*0.59397</f>
        <v>555280.04153699998</v>
      </c>
      <c r="I76" s="46">
        <v>414</v>
      </c>
      <c r="J76" s="38">
        <f>H76/I76</f>
        <v>1341.2561389782609</v>
      </c>
      <c r="K76" s="11"/>
      <c r="L76" s="11"/>
      <c r="M76" s="17"/>
    </row>
    <row r="77" spans="1:13">
      <c r="A77" s="220" t="s">
        <v>20</v>
      </c>
      <c r="B77" s="220"/>
      <c r="C77" s="220"/>
      <c r="D77" s="220"/>
      <c r="E77" s="30" t="s">
        <v>23</v>
      </c>
      <c r="F77" s="30">
        <v>1620</v>
      </c>
      <c r="G77" s="38">
        <v>1618.59</v>
      </c>
      <c r="H77" s="38">
        <f>1320356.53*0.59397</f>
        <v>784252.16812409996</v>
      </c>
      <c r="I77" s="46">
        <v>414</v>
      </c>
      <c r="J77" s="38">
        <f>H77/I77</f>
        <v>1894.3289085123188</v>
      </c>
      <c r="K77" s="11"/>
      <c r="L77" s="11"/>
      <c r="M77" s="11"/>
    </row>
    <row r="78" spans="1:13">
      <c r="A78" s="220" t="s">
        <v>49</v>
      </c>
      <c r="B78" s="220"/>
      <c r="C78" s="220"/>
      <c r="D78" s="220"/>
      <c r="E78" s="30" t="s">
        <v>24</v>
      </c>
      <c r="F78" s="30">
        <v>5000</v>
      </c>
      <c r="G78" s="38">
        <v>39.22</v>
      </c>
      <c r="H78" s="38">
        <f>156878.18*0.59397</f>
        <v>93180.932574599996</v>
      </c>
      <c r="I78" s="46">
        <v>414</v>
      </c>
      <c r="J78" s="38">
        <f>H78/I78</f>
        <v>225.07471636376812</v>
      </c>
      <c r="K78" s="11"/>
      <c r="L78" s="11"/>
      <c r="M78" s="11"/>
    </row>
    <row r="79" spans="1:13" ht="15" thickBot="1">
      <c r="A79" s="221" t="s">
        <v>21</v>
      </c>
      <c r="B79" s="221"/>
      <c r="C79" s="221"/>
      <c r="D79" s="221"/>
      <c r="E79" s="55" t="s">
        <v>24</v>
      </c>
      <c r="F79" s="30">
        <v>5500</v>
      </c>
      <c r="G79" s="48">
        <v>53.32</v>
      </c>
      <c r="H79" s="48">
        <f>191740.01*0.59397</f>
        <v>113887.81373970001</v>
      </c>
      <c r="I79" s="46">
        <v>414</v>
      </c>
      <c r="J79" s="48">
        <f>H79/I79</f>
        <v>275.09133753550725</v>
      </c>
      <c r="K79" s="11"/>
      <c r="L79" s="11"/>
      <c r="M79" s="11"/>
    </row>
    <row r="80" spans="1:13" ht="15" thickBot="1">
      <c r="A80" s="222" t="s">
        <v>25</v>
      </c>
      <c r="B80" s="223"/>
      <c r="C80" s="223"/>
      <c r="D80" s="223"/>
      <c r="E80" s="56"/>
      <c r="F80" s="56"/>
      <c r="G80" s="56"/>
      <c r="H80" s="73">
        <f>SUM(H76:H79)</f>
        <v>1546600.9559754001</v>
      </c>
      <c r="I80" s="49"/>
      <c r="J80" s="57">
        <f>SUM(J76:J79)</f>
        <v>3735.7511013898547</v>
      </c>
      <c r="K80" s="11"/>
      <c r="L80" s="11"/>
      <c r="M80" s="11"/>
    </row>
    <row r="81" spans="1:1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11"/>
      <c r="L81" s="11"/>
      <c r="M81" s="11"/>
    </row>
    <row r="82" spans="1:15" ht="16.5" customHeight="1">
      <c r="A82" s="230" t="s">
        <v>26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</row>
    <row r="83" spans="1:15" ht="42">
      <c r="A83" s="281" t="s">
        <v>28</v>
      </c>
      <c r="B83" s="281"/>
      <c r="C83" s="281"/>
      <c r="D83" s="281"/>
      <c r="E83" s="26" t="s">
        <v>7</v>
      </c>
      <c r="F83" s="26" t="s">
        <v>18</v>
      </c>
      <c r="G83" s="9" t="s">
        <v>48</v>
      </c>
      <c r="H83" s="9" t="s">
        <v>76</v>
      </c>
      <c r="I83" s="9" t="s">
        <v>69</v>
      </c>
      <c r="J83" s="11"/>
      <c r="K83" s="177"/>
      <c r="L83" s="177"/>
      <c r="M83" s="178"/>
      <c r="N83" s="179"/>
    </row>
    <row r="84" spans="1:15">
      <c r="A84" s="245" t="s">
        <v>115</v>
      </c>
      <c r="B84" s="246"/>
      <c r="C84" s="246"/>
      <c r="D84" s="247"/>
      <c r="E84" s="52" t="s">
        <v>27</v>
      </c>
      <c r="F84" s="26">
        <v>1</v>
      </c>
      <c r="G84" s="102">
        <f>(38400+27924.16)*0.59397</f>
        <v>39394.561315200001</v>
      </c>
      <c r="H84" s="46">
        <v>414</v>
      </c>
      <c r="I84" s="102">
        <f>G84/H84</f>
        <v>95.155945205797096</v>
      </c>
      <c r="J84" s="11"/>
      <c r="K84" s="185"/>
      <c r="L84" s="185"/>
      <c r="M84" s="186"/>
      <c r="N84" s="179"/>
      <c r="O84" s="1"/>
    </row>
    <row r="85" spans="1:15" ht="15" customHeight="1">
      <c r="A85" s="245" t="s">
        <v>116</v>
      </c>
      <c r="B85" s="246"/>
      <c r="C85" s="246"/>
      <c r="D85" s="247"/>
      <c r="E85" s="52" t="s">
        <v>27</v>
      </c>
      <c r="F85" s="52">
        <v>1</v>
      </c>
      <c r="G85" s="82">
        <f>157335.63*0.59397</f>
        <v>93452.644151100001</v>
      </c>
      <c r="H85" s="46">
        <v>414</v>
      </c>
      <c r="I85" s="102">
        <f>G85/H85</f>
        <v>225.73102451956521</v>
      </c>
      <c r="J85" s="11"/>
      <c r="K85" s="185"/>
      <c r="L85" s="185"/>
      <c r="M85" s="186"/>
      <c r="N85" s="179"/>
    </row>
    <row r="86" spans="1:15" ht="15" customHeight="1">
      <c r="A86" s="245" t="s">
        <v>117</v>
      </c>
      <c r="B86" s="246"/>
      <c r="C86" s="246"/>
      <c r="D86" s="247"/>
      <c r="E86" s="52" t="s">
        <v>27</v>
      </c>
      <c r="F86" s="52">
        <v>1</v>
      </c>
      <c r="G86" s="82">
        <f>118800*0.59397</f>
        <v>70563.635999999999</v>
      </c>
      <c r="H86" s="46">
        <v>414</v>
      </c>
      <c r="I86" s="102">
        <f t="shared" ref="I86:I94" si="4">G86/H86</f>
        <v>170.4435652173913</v>
      </c>
      <c r="J86" s="11"/>
      <c r="K86" s="185"/>
      <c r="L86" s="185"/>
      <c r="M86" s="186"/>
      <c r="N86" s="179"/>
    </row>
    <row r="87" spans="1:15" ht="15" customHeight="1">
      <c r="A87" s="245" t="s">
        <v>118</v>
      </c>
      <c r="B87" s="246"/>
      <c r="C87" s="246"/>
      <c r="D87" s="247"/>
      <c r="E87" s="52" t="s">
        <v>27</v>
      </c>
      <c r="F87" s="52">
        <v>1</v>
      </c>
      <c r="G87" s="82">
        <f>9600*0.59397</f>
        <v>5702.1120000000001</v>
      </c>
      <c r="H87" s="46">
        <v>414</v>
      </c>
      <c r="I87" s="102">
        <f t="shared" si="4"/>
        <v>13.773217391304348</v>
      </c>
      <c r="J87" s="11"/>
      <c r="K87" s="185"/>
      <c r="L87" s="185"/>
      <c r="M87" s="186"/>
      <c r="N87" s="179"/>
    </row>
    <row r="88" spans="1:15" ht="15" customHeight="1">
      <c r="A88" s="245" t="s">
        <v>176</v>
      </c>
      <c r="B88" s="246"/>
      <c r="C88" s="246"/>
      <c r="D88" s="247"/>
      <c r="E88" s="52" t="s">
        <v>27</v>
      </c>
      <c r="F88" s="52">
        <v>1</v>
      </c>
      <c r="G88" s="82">
        <f>2000*0.59397</f>
        <v>1187.94</v>
      </c>
      <c r="H88" s="46">
        <v>414</v>
      </c>
      <c r="I88" s="102">
        <f>G88/H88</f>
        <v>2.8694202898550727</v>
      </c>
      <c r="J88" s="11"/>
      <c r="K88" s="177"/>
      <c r="L88" s="177"/>
      <c r="M88" s="186"/>
      <c r="N88" s="179"/>
    </row>
    <row r="89" spans="1:15" ht="15" customHeight="1">
      <c r="A89" s="245" t="s">
        <v>75</v>
      </c>
      <c r="B89" s="246"/>
      <c r="C89" s="246"/>
      <c r="D89" s="247"/>
      <c r="E89" s="52" t="s">
        <v>27</v>
      </c>
      <c r="F89" s="52">
        <v>1</v>
      </c>
      <c r="G89" s="82">
        <f>(3300+7434)*0.59397</f>
        <v>6375.6739799999996</v>
      </c>
      <c r="H89" s="46">
        <v>414</v>
      </c>
      <c r="I89" s="102">
        <f t="shared" si="4"/>
        <v>15.400178695652173</v>
      </c>
      <c r="J89" s="11"/>
      <c r="K89" s="177"/>
      <c r="L89" s="177"/>
      <c r="M89" s="178"/>
      <c r="N89" s="179"/>
    </row>
    <row r="90" spans="1:15" ht="15" customHeight="1">
      <c r="A90" s="274" t="s">
        <v>119</v>
      </c>
      <c r="B90" s="275"/>
      <c r="C90" s="275"/>
      <c r="D90" s="276"/>
      <c r="E90" s="52" t="s">
        <v>27</v>
      </c>
      <c r="F90" s="52">
        <v>1</v>
      </c>
      <c r="G90" s="38">
        <f>32500*0.59397</f>
        <v>19304.025000000001</v>
      </c>
      <c r="H90" s="46">
        <v>414</v>
      </c>
      <c r="I90" s="102">
        <f t="shared" si="4"/>
        <v>46.628079710144931</v>
      </c>
      <c r="J90" s="11"/>
      <c r="K90" s="177"/>
      <c r="L90" s="177"/>
      <c r="M90" s="178"/>
      <c r="N90" s="179"/>
    </row>
    <row r="91" spans="1:15" ht="28.5" customHeight="1">
      <c r="A91" s="245" t="s">
        <v>120</v>
      </c>
      <c r="B91" s="246"/>
      <c r="C91" s="246"/>
      <c r="D91" s="247"/>
      <c r="E91" s="52" t="s">
        <v>27</v>
      </c>
      <c r="F91" s="52">
        <v>1</v>
      </c>
      <c r="G91" s="70">
        <f>52300*0.59397</f>
        <v>31064.631000000001</v>
      </c>
      <c r="H91" s="46">
        <v>414</v>
      </c>
      <c r="I91" s="102">
        <f t="shared" si="4"/>
        <v>75.035340579710152</v>
      </c>
      <c r="J91" s="11"/>
      <c r="K91" s="177"/>
      <c r="L91" s="177"/>
      <c r="M91" s="178"/>
      <c r="N91" s="187"/>
    </row>
    <row r="92" spans="1:15" ht="16.5" customHeight="1">
      <c r="A92" s="80" t="s">
        <v>121</v>
      </c>
      <c r="B92" s="81"/>
      <c r="C92" s="81"/>
      <c r="D92" s="81"/>
      <c r="E92" s="52" t="s">
        <v>27</v>
      </c>
      <c r="F92" s="52">
        <v>1</v>
      </c>
      <c r="G92" s="38">
        <f>13200*0.59397</f>
        <v>7840.4039999999995</v>
      </c>
      <c r="H92" s="46">
        <v>414</v>
      </c>
      <c r="I92" s="102">
        <f t="shared" si="4"/>
        <v>18.938173913043478</v>
      </c>
      <c r="J92" s="11"/>
      <c r="K92" s="177"/>
      <c r="L92" s="177"/>
      <c r="M92" s="178"/>
      <c r="N92" s="179"/>
    </row>
    <row r="93" spans="1:15" ht="15" customHeight="1">
      <c r="A93" s="274" t="s">
        <v>123</v>
      </c>
      <c r="B93" s="275"/>
      <c r="C93" s="275"/>
      <c r="D93" s="276"/>
      <c r="E93" s="52" t="s">
        <v>27</v>
      </c>
      <c r="F93" s="52">
        <v>1</v>
      </c>
      <c r="G93" s="48">
        <f>24000*0.59397</f>
        <v>14255.28</v>
      </c>
      <c r="H93" s="46">
        <v>414</v>
      </c>
      <c r="I93" s="102">
        <f t="shared" si="4"/>
        <v>34.433043478260871</v>
      </c>
      <c r="J93" s="11"/>
      <c r="K93" s="177"/>
      <c r="L93" s="177"/>
      <c r="M93" s="178"/>
      <c r="N93" s="179"/>
    </row>
    <row r="94" spans="1:15" s="1" customFormat="1" ht="15" customHeight="1" thickBot="1">
      <c r="A94" s="274" t="s">
        <v>175</v>
      </c>
      <c r="B94" s="275"/>
      <c r="C94" s="275"/>
      <c r="D94" s="276"/>
      <c r="E94" s="52" t="s">
        <v>27</v>
      </c>
      <c r="F94" s="52">
        <v>1</v>
      </c>
      <c r="G94" s="48">
        <f>24000*0.59397</f>
        <v>14255.28</v>
      </c>
      <c r="H94" s="46">
        <v>414</v>
      </c>
      <c r="I94" s="102">
        <f t="shared" si="4"/>
        <v>34.433043478260871</v>
      </c>
      <c r="J94" s="13"/>
      <c r="K94" s="42"/>
      <c r="L94" s="42"/>
      <c r="M94" s="180"/>
      <c r="N94" s="179"/>
      <c r="O94"/>
    </row>
    <row r="95" spans="1:15" ht="15" customHeight="1" thickBot="1">
      <c r="A95" s="174" t="s">
        <v>54</v>
      </c>
      <c r="B95" s="175"/>
      <c r="C95" s="175"/>
      <c r="D95" s="175"/>
      <c r="E95" s="175"/>
      <c r="F95" s="175"/>
      <c r="G95" s="181">
        <f>SUM(G84:G94)</f>
        <v>303396.18744630006</v>
      </c>
      <c r="H95" s="183"/>
      <c r="I95" s="182">
        <f>SUM(I84:I94)</f>
        <v>732.84103247898543</v>
      </c>
      <c r="K95" s="188"/>
      <c r="L95" s="17"/>
      <c r="M95" s="17"/>
      <c r="N95" s="179"/>
    </row>
    <row r="96" spans="1:15" ht="1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32" ht="15" customHeight="1">
      <c r="A97" s="230" t="s">
        <v>50</v>
      </c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</row>
    <row r="98" spans="1:32" ht="42">
      <c r="A98" s="214" t="s">
        <v>28</v>
      </c>
      <c r="B98" s="215"/>
      <c r="C98" s="215"/>
      <c r="D98" s="215"/>
      <c r="E98" s="26" t="s">
        <v>7</v>
      </c>
      <c r="F98" s="9" t="s">
        <v>56</v>
      </c>
      <c r="G98" s="9" t="s">
        <v>48</v>
      </c>
      <c r="H98" s="9" t="s">
        <v>76</v>
      </c>
      <c r="I98" s="9" t="s">
        <v>69</v>
      </c>
      <c r="J98" s="11"/>
      <c r="K98" s="11"/>
      <c r="L98" s="11"/>
      <c r="M98" s="11"/>
      <c r="AB98" s="179"/>
      <c r="AC98" s="179"/>
      <c r="AD98" s="179"/>
      <c r="AE98" s="179"/>
      <c r="AF98" s="179"/>
    </row>
    <row r="99" spans="1:32" ht="43.8" customHeight="1">
      <c r="A99" s="212" t="s">
        <v>126</v>
      </c>
      <c r="B99" s="213"/>
      <c r="C99" s="213"/>
      <c r="D99" s="213"/>
      <c r="E99" s="52" t="s">
        <v>27</v>
      </c>
      <c r="F99" s="52">
        <v>1</v>
      </c>
      <c r="G99" s="82">
        <f>2547.27*0.59397</f>
        <v>1513.0019619</v>
      </c>
      <c r="H99" s="46">
        <v>414</v>
      </c>
      <c r="I99" s="103">
        <f>G99/H99</f>
        <v>3.654594110869565</v>
      </c>
      <c r="J99" s="11"/>
      <c r="K99" s="186"/>
      <c r="L99" s="178"/>
      <c r="M99" s="186"/>
      <c r="N99" s="192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79"/>
    </row>
    <row r="100" spans="1:32" ht="15" customHeight="1">
      <c r="A100" s="212" t="s">
        <v>127</v>
      </c>
      <c r="B100" s="213"/>
      <c r="C100" s="213"/>
      <c r="D100" s="213"/>
      <c r="E100" s="52" t="s">
        <v>27</v>
      </c>
      <c r="F100" s="52">
        <v>1</v>
      </c>
      <c r="G100" s="82">
        <f>36480*0.59397</f>
        <v>21668.025600000001</v>
      </c>
      <c r="H100" s="46">
        <v>414</v>
      </c>
      <c r="I100" s="103">
        <f t="shared" ref="I100" si="5">G100/H100</f>
        <v>52.338226086956524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28.8" customHeight="1">
      <c r="A101" s="212" t="s">
        <v>128</v>
      </c>
      <c r="B101" s="213"/>
      <c r="C101" s="213"/>
      <c r="D101" s="213"/>
      <c r="E101" s="52" t="s">
        <v>27</v>
      </c>
      <c r="F101" s="52">
        <v>1</v>
      </c>
      <c r="G101" s="82">
        <f>(128994.21+85586)*0.59397</f>
        <v>127454.20733370002</v>
      </c>
      <c r="H101" s="46">
        <v>414</v>
      </c>
      <c r="I101" s="103">
        <f>G101/H101</f>
        <v>307.86040418768118</v>
      </c>
      <c r="J101" s="11"/>
      <c r="K101" s="186"/>
      <c r="L101" s="178"/>
      <c r="M101" s="186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184</v>
      </c>
      <c r="B102" s="213"/>
      <c r="C102" s="213"/>
      <c r="D102" s="219"/>
      <c r="E102" s="52" t="s">
        <v>27</v>
      </c>
      <c r="F102" s="52">
        <v>1</v>
      </c>
      <c r="G102" s="82">
        <f>3000*0.59397</f>
        <v>1781.91</v>
      </c>
      <c r="H102" s="46">
        <v>414</v>
      </c>
      <c r="I102" s="103">
        <f t="shared" ref="I102:I113" si="6">G102/H102</f>
        <v>4.3041304347826088</v>
      </c>
      <c r="J102" s="11"/>
      <c r="K102" s="178"/>
      <c r="L102" s="178"/>
      <c r="M102" s="178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185</v>
      </c>
      <c r="B103" s="213"/>
      <c r="C103" s="213"/>
      <c r="D103" s="219"/>
      <c r="E103" s="52" t="s">
        <v>27</v>
      </c>
      <c r="F103" s="52">
        <v>1</v>
      </c>
      <c r="G103" s="82">
        <f>(24000+37400)*0.59397</f>
        <v>36469.758000000002</v>
      </c>
      <c r="H103" s="46">
        <v>414</v>
      </c>
      <c r="I103" s="103">
        <f t="shared" si="6"/>
        <v>88.091202898550733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182</v>
      </c>
      <c r="B104" s="213"/>
      <c r="C104" s="213"/>
      <c r="D104" s="219"/>
      <c r="E104" s="52" t="s">
        <v>27</v>
      </c>
      <c r="F104" s="52">
        <v>1</v>
      </c>
      <c r="G104" s="82">
        <f>19350*0.59397</f>
        <v>11493.3195</v>
      </c>
      <c r="H104" s="46">
        <v>414</v>
      </c>
      <c r="I104" s="103">
        <f t="shared" si="6"/>
        <v>27.761641304347826</v>
      </c>
      <c r="J104" s="11"/>
      <c r="K104" s="186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42.6" customHeight="1">
      <c r="A105" s="212" t="s">
        <v>177</v>
      </c>
      <c r="B105" s="213"/>
      <c r="C105" s="213"/>
      <c r="D105" s="213"/>
      <c r="E105" s="52" t="s">
        <v>27</v>
      </c>
      <c r="F105" s="52">
        <v>1</v>
      </c>
      <c r="G105" s="70">
        <f>14328.44*0.59397</f>
        <v>8510.6635067999996</v>
      </c>
      <c r="H105" s="46">
        <v>414</v>
      </c>
      <c r="I105" s="103">
        <f t="shared" si="6"/>
        <v>20.557158228985507</v>
      </c>
      <c r="J105" s="11"/>
      <c r="K105" s="178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>
      <c r="A106" s="212" t="s">
        <v>130</v>
      </c>
      <c r="B106" s="213"/>
      <c r="C106" s="213"/>
      <c r="D106" s="213"/>
      <c r="E106" s="52" t="s">
        <v>27</v>
      </c>
      <c r="F106" s="52">
        <v>1</v>
      </c>
      <c r="G106" s="82">
        <f>(113262.84+4600)*0.59397</f>
        <v>70006.991074799997</v>
      </c>
      <c r="H106" s="46">
        <v>414</v>
      </c>
      <c r="I106" s="103">
        <f t="shared" si="6"/>
        <v>169.099012257971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178</v>
      </c>
      <c r="B107" s="213"/>
      <c r="C107" s="213"/>
      <c r="D107" s="219"/>
      <c r="E107" s="52" t="s">
        <v>27</v>
      </c>
      <c r="F107" s="52">
        <v>1</v>
      </c>
      <c r="G107" s="82">
        <f>41300*0.59397</f>
        <v>24530.960999999999</v>
      </c>
      <c r="H107" s="46">
        <v>414</v>
      </c>
      <c r="I107" s="103">
        <f t="shared" si="6"/>
        <v>59.253528985507245</v>
      </c>
      <c r="J107" s="11"/>
      <c r="K107" s="190"/>
      <c r="L107" s="190"/>
      <c r="M107" s="191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</row>
    <row r="108" spans="1:32">
      <c r="A108" s="212" t="s">
        <v>183</v>
      </c>
      <c r="B108" s="213"/>
      <c r="C108" s="213"/>
      <c r="D108" s="219"/>
      <c r="E108" s="52" t="s">
        <v>27</v>
      </c>
      <c r="F108" s="52">
        <v>1</v>
      </c>
      <c r="G108" s="82">
        <f>7000*0.59397</f>
        <v>4157.79</v>
      </c>
      <c r="H108" s="46">
        <v>414</v>
      </c>
      <c r="I108" s="103">
        <f t="shared" si="6"/>
        <v>10.042971014492753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94" t="s">
        <v>179</v>
      </c>
      <c r="B109" s="295"/>
      <c r="C109" s="295"/>
      <c r="D109" s="296"/>
      <c r="E109" s="52" t="s">
        <v>27</v>
      </c>
      <c r="F109" s="52">
        <v>1</v>
      </c>
      <c r="G109" s="82">
        <f>23130*0.59397</f>
        <v>13738.526099999999</v>
      </c>
      <c r="H109" s="46">
        <v>414</v>
      </c>
      <c r="I109" s="103">
        <f t="shared" si="6"/>
        <v>33.184845652173912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180</v>
      </c>
      <c r="B110" s="295"/>
      <c r="C110" s="295"/>
      <c r="D110" s="296"/>
      <c r="E110" s="52" t="s">
        <v>27</v>
      </c>
      <c r="F110" s="52">
        <v>1</v>
      </c>
      <c r="G110" s="82">
        <f>21956*0.59397</f>
        <v>13041.205319999999</v>
      </c>
      <c r="H110" s="46">
        <v>414</v>
      </c>
      <c r="I110" s="103">
        <f t="shared" si="6"/>
        <v>31.500495942028984</v>
      </c>
      <c r="J110" s="11"/>
      <c r="K110" s="190"/>
      <c r="L110" s="190"/>
      <c r="M110" s="191"/>
      <c r="N110" s="179"/>
      <c r="AB110" s="179"/>
      <c r="AC110" s="179"/>
      <c r="AD110" s="179"/>
      <c r="AE110" s="179"/>
      <c r="AF110" s="179"/>
    </row>
    <row r="111" spans="1:32">
      <c r="A111" s="294" t="s">
        <v>181</v>
      </c>
      <c r="B111" s="295"/>
      <c r="C111" s="295"/>
      <c r="D111" s="296"/>
      <c r="E111" s="52" t="s">
        <v>27</v>
      </c>
      <c r="F111" s="52">
        <v>1</v>
      </c>
      <c r="G111" s="82">
        <f>195935.38*0.59397</f>
        <v>116379.7376586</v>
      </c>
      <c r="H111" s="46">
        <v>414</v>
      </c>
      <c r="I111" s="103">
        <f t="shared" si="6"/>
        <v>281.11047743623192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 ht="18" customHeight="1">
      <c r="A112" s="212" t="s">
        <v>131</v>
      </c>
      <c r="B112" s="213"/>
      <c r="C112" s="213"/>
      <c r="D112" s="213"/>
      <c r="E112" s="52" t="s">
        <v>27</v>
      </c>
      <c r="F112" s="52">
        <v>1</v>
      </c>
      <c r="G112" s="70">
        <f>11196.7*0.59397</f>
        <v>6650.5038990000003</v>
      </c>
      <c r="H112" s="46">
        <v>414</v>
      </c>
      <c r="I112" s="103">
        <f t="shared" si="6"/>
        <v>16.064019079710146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46.2" customHeight="1" thickBot="1">
      <c r="A113" s="212" t="s">
        <v>132</v>
      </c>
      <c r="B113" s="213"/>
      <c r="C113" s="213"/>
      <c r="D113" s="213"/>
      <c r="E113" s="52" t="s">
        <v>27</v>
      </c>
      <c r="F113" s="52">
        <v>1</v>
      </c>
      <c r="G113" s="70">
        <f>22460*0.59397</f>
        <v>13340.566199999999</v>
      </c>
      <c r="H113" s="46">
        <v>414</v>
      </c>
      <c r="I113" s="103">
        <f t="shared" si="6"/>
        <v>32.223589855072461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20.25" customHeight="1" thickBot="1">
      <c r="A114" s="217" t="s">
        <v>53</v>
      </c>
      <c r="B114" s="218"/>
      <c r="C114" s="218"/>
      <c r="D114" s="218"/>
      <c r="E114" s="99"/>
      <c r="F114" s="51"/>
      <c r="G114" s="73">
        <f>SUM(G99:G113)</f>
        <v>470737.16715480003</v>
      </c>
      <c r="H114" s="47"/>
      <c r="I114" s="33">
        <f>SUM(I99:I113)</f>
        <v>1137.0462974753625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s="86" customFormat="1" ht="20.25" customHeight="1">
      <c r="A115" s="87"/>
      <c r="B115" s="87"/>
      <c r="C115" s="87"/>
      <c r="D115" s="87"/>
      <c r="E115" s="87"/>
      <c r="F115" s="87"/>
      <c r="G115" s="87"/>
      <c r="H115" s="87"/>
      <c r="I115" s="83"/>
      <c r="J115" s="84"/>
      <c r="K115" s="85"/>
      <c r="L115" s="85"/>
      <c r="M115" s="88"/>
      <c r="N115"/>
      <c r="O115"/>
      <c r="P115"/>
      <c r="Q115"/>
      <c r="R115"/>
    </row>
    <row r="116" spans="1:32" ht="15" customHeight="1">
      <c r="A116" s="230" t="s">
        <v>89</v>
      </c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</row>
    <row r="117" spans="1:32" ht="42">
      <c r="A117" s="214" t="s">
        <v>28</v>
      </c>
      <c r="B117" s="215"/>
      <c r="C117" s="215"/>
      <c r="D117" s="215"/>
      <c r="E117" s="9" t="s">
        <v>77</v>
      </c>
      <c r="F117" s="9" t="s">
        <v>48</v>
      </c>
      <c r="G117" s="9" t="s">
        <v>76</v>
      </c>
      <c r="H117" s="9" t="s">
        <v>69</v>
      </c>
      <c r="I117" s="11"/>
      <c r="J117" s="11"/>
      <c r="K117" s="11"/>
      <c r="L117" s="11"/>
    </row>
    <row r="118" spans="1:32">
      <c r="A118" s="212" t="s">
        <v>80</v>
      </c>
      <c r="B118" s="213"/>
      <c r="C118" s="213"/>
      <c r="D118" s="213"/>
      <c r="E118" s="52" t="s">
        <v>27</v>
      </c>
      <c r="F118" s="82">
        <f>(1226746.52+13932+69179+41668.5-163.49)*0.59397</f>
        <v>802668.80194410007</v>
      </c>
      <c r="G118" s="46">
        <v>414</v>
      </c>
      <c r="H118" s="103">
        <f t="shared" ref="H118:H125" si="7">F118/G118</f>
        <v>1938.8135312659422</v>
      </c>
      <c r="I118" s="11"/>
      <c r="J118" s="17"/>
      <c r="K118" s="17"/>
      <c r="L118" s="11"/>
    </row>
    <row r="119" spans="1:32">
      <c r="A119" s="212" t="s">
        <v>192</v>
      </c>
      <c r="B119" s="213"/>
      <c r="C119" s="213"/>
      <c r="D119" s="213"/>
      <c r="E119" s="52" t="s">
        <v>27</v>
      </c>
      <c r="F119" s="82">
        <f>99900*0.59397</f>
        <v>59337.603000000003</v>
      </c>
      <c r="G119" s="46">
        <v>414</v>
      </c>
      <c r="H119" s="103">
        <f t="shared" si="7"/>
        <v>143.32754347826088</v>
      </c>
      <c r="I119" s="11"/>
      <c r="J119" s="17"/>
      <c r="K119" s="17"/>
      <c r="L119" s="11"/>
    </row>
    <row r="120" spans="1:32">
      <c r="A120" s="212" t="s">
        <v>191</v>
      </c>
      <c r="B120" s="213"/>
      <c r="C120" s="213"/>
      <c r="D120" s="213"/>
      <c r="E120" s="52" t="s">
        <v>27</v>
      </c>
      <c r="F120" s="189">
        <f>1773120.88*0.59397</f>
        <v>1053180.6090936</v>
      </c>
      <c r="G120" s="46">
        <v>414</v>
      </c>
      <c r="H120" s="103">
        <f t="shared" si="7"/>
        <v>2543.9145147188406</v>
      </c>
      <c r="I120" s="191"/>
      <c r="J120" s="179"/>
    </row>
    <row r="121" spans="1:32">
      <c r="A121" s="212" t="s">
        <v>188</v>
      </c>
      <c r="B121" s="213"/>
      <c r="C121" s="213"/>
      <c r="D121" s="213"/>
      <c r="E121" s="52" t="s">
        <v>27</v>
      </c>
      <c r="F121" s="193">
        <f>29019.5*0.59397</f>
        <v>17236.712414999998</v>
      </c>
      <c r="G121" s="46">
        <v>414</v>
      </c>
      <c r="H121" s="103">
        <f t="shared" si="7"/>
        <v>41.634571050724631</v>
      </c>
      <c r="I121" s="191"/>
      <c r="J121" s="179"/>
    </row>
    <row r="122" spans="1:32">
      <c r="A122" s="212" t="s">
        <v>189</v>
      </c>
      <c r="B122" s="213"/>
      <c r="C122" s="213"/>
      <c r="D122" s="213"/>
      <c r="E122" s="52" t="s">
        <v>27</v>
      </c>
      <c r="F122" s="59">
        <f>780*0.59397</f>
        <v>463.29660000000001</v>
      </c>
      <c r="G122" s="46">
        <v>414</v>
      </c>
      <c r="H122" s="103">
        <f>F122/G122</f>
        <v>1.1190739130434784</v>
      </c>
      <c r="I122" s="191"/>
      <c r="J122" s="179"/>
    </row>
    <row r="123" spans="1:32">
      <c r="A123" s="212" t="s">
        <v>193</v>
      </c>
      <c r="B123" s="213"/>
      <c r="C123" s="213"/>
      <c r="D123" s="219"/>
      <c r="E123" s="52" t="s">
        <v>27</v>
      </c>
      <c r="F123" s="59">
        <f>78540*0.59397</f>
        <v>46650.4038</v>
      </c>
      <c r="G123" s="46">
        <v>414</v>
      </c>
      <c r="H123" s="103">
        <f>F123/G123</f>
        <v>112.6821347826087</v>
      </c>
      <c r="I123" s="191"/>
      <c r="J123" s="179"/>
    </row>
    <row r="124" spans="1:32">
      <c r="A124" s="212" t="s">
        <v>194</v>
      </c>
      <c r="B124" s="213"/>
      <c r="C124" s="213"/>
      <c r="D124" s="219"/>
      <c r="E124" s="52" t="s">
        <v>27</v>
      </c>
      <c r="F124" s="59">
        <f>(11720+10155)*0.59397</f>
        <v>12993.09375</v>
      </c>
      <c r="G124" s="46">
        <v>414</v>
      </c>
      <c r="H124" s="103">
        <f>F124/G124</f>
        <v>31.384284420289855</v>
      </c>
      <c r="I124" s="191"/>
      <c r="J124" s="179"/>
    </row>
    <row r="125" spans="1:32" ht="15" thickBot="1">
      <c r="A125" s="212" t="s">
        <v>190</v>
      </c>
      <c r="B125" s="213"/>
      <c r="C125" s="213"/>
      <c r="D125" s="213"/>
      <c r="E125" s="52" t="s">
        <v>27</v>
      </c>
      <c r="F125" s="38">
        <f>(97062.04+10891.11+3449.6)*0.59397</f>
        <v>66169.891417499995</v>
      </c>
      <c r="G125" s="46">
        <v>414</v>
      </c>
      <c r="H125" s="103">
        <f t="shared" si="7"/>
        <v>159.83065559782608</v>
      </c>
      <c r="I125" s="191"/>
      <c r="J125" s="179"/>
    </row>
    <row r="126" spans="1:32" ht="20.25" customHeight="1" thickBot="1">
      <c r="A126" s="217" t="s">
        <v>53</v>
      </c>
      <c r="B126" s="218"/>
      <c r="C126" s="218"/>
      <c r="D126" s="218"/>
      <c r="E126" s="52" t="s">
        <v>27</v>
      </c>
      <c r="F126" s="194">
        <f>SUM(F118:F125)</f>
        <v>2058700.4120201999</v>
      </c>
      <c r="G126" s="114"/>
      <c r="H126" s="195">
        <f>SUM(H118:H118)</f>
        <v>1938.8135312659422</v>
      </c>
      <c r="I126" s="11"/>
      <c r="J126" s="34"/>
      <c r="K126" s="11"/>
      <c r="L126" s="11"/>
    </row>
    <row r="127" spans="1:32" ht="12" customHeight="1">
      <c r="A127" s="89"/>
      <c r="B127" s="89"/>
      <c r="C127" s="89"/>
      <c r="D127" s="89"/>
      <c r="E127" s="90"/>
      <c r="F127" s="91"/>
      <c r="G127" s="92"/>
      <c r="H127" s="91"/>
      <c r="I127" s="93"/>
      <c r="J127" s="71"/>
      <c r="K127" s="94"/>
      <c r="L127" s="94"/>
      <c r="M127" s="50"/>
    </row>
    <row r="128" spans="1:32" ht="15.6">
      <c r="A128" s="273" t="s">
        <v>78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</row>
    <row r="129" spans="1:13" ht="55.8">
      <c r="A129" s="231" t="s">
        <v>3</v>
      </c>
      <c r="B129" s="231"/>
      <c r="C129" s="231"/>
      <c r="D129" s="231"/>
      <c r="E129" s="9" t="s">
        <v>4</v>
      </c>
      <c r="F129" s="10" t="s">
        <v>0</v>
      </c>
      <c r="G129" s="35" t="s">
        <v>52</v>
      </c>
      <c r="H129" s="35" t="s">
        <v>44</v>
      </c>
      <c r="I129" s="9" t="s">
        <v>63</v>
      </c>
      <c r="J129" s="9" t="s">
        <v>69</v>
      </c>
      <c r="K129" s="9" t="s">
        <v>46</v>
      </c>
      <c r="L129" s="28"/>
      <c r="M129" s="28"/>
    </row>
    <row r="130" spans="1:13">
      <c r="A130" s="252">
        <v>1</v>
      </c>
      <c r="B130" s="253"/>
      <c r="C130" s="253"/>
      <c r="D130" s="253"/>
      <c r="E130" s="26">
        <v>2</v>
      </c>
      <c r="F130" s="12">
        <v>3</v>
      </c>
      <c r="G130" s="26">
        <v>4</v>
      </c>
      <c r="H130" s="26" t="s">
        <v>125</v>
      </c>
      <c r="I130" s="27">
        <v>6</v>
      </c>
      <c r="J130" s="36">
        <v>7</v>
      </c>
      <c r="K130" s="37">
        <v>8</v>
      </c>
      <c r="L130" s="153"/>
      <c r="M130" s="28"/>
    </row>
    <row r="131" spans="1:13" ht="33" customHeight="1" thickBot="1">
      <c r="A131" s="236" t="s">
        <v>66</v>
      </c>
      <c r="B131" s="236"/>
      <c r="C131" s="236"/>
      <c r="D131" s="236"/>
      <c r="E131" s="38">
        <f>10239022.09/12/13.75</f>
        <v>62054.679333333333</v>
      </c>
      <c r="F131" s="38">
        <f>13.75*0.59397</f>
        <v>8.1670874999999992</v>
      </c>
      <c r="G131" s="38">
        <f>(7736226.265+127846)*0.59397</f>
        <v>4671023.0032420494</v>
      </c>
      <c r="H131" s="38">
        <f>(G131*1.302)</f>
        <v>6081671.9502211483</v>
      </c>
      <c r="I131" s="46">
        <v>414</v>
      </c>
      <c r="J131" s="38">
        <f>H131/I131</f>
        <v>14690.028865268474</v>
      </c>
      <c r="K131" s="63">
        <f>H131/(8696900+23460820)*100</f>
        <v>18.912012263994924</v>
      </c>
      <c r="L131" s="154"/>
      <c r="M131" s="16"/>
    </row>
    <row r="132" spans="1:13" ht="15" hidden="1" customHeight="1" thickBot="1">
      <c r="A132" s="262"/>
      <c r="B132" s="263"/>
      <c r="C132" s="263"/>
      <c r="D132" s="263"/>
      <c r="E132" s="38">
        <v>17865.98</v>
      </c>
      <c r="F132" s="64">
        <v>4</v>
      </c>
      <c r="G132" s="46"/>
      <c r="H132" s="39">
        <f>H5</f>
        <v>0</v>
      </c>
      <c r="I132" s="38" t="e">
        <f t="shared" ref="I132:I153" si="8">F132/G132*H132</f>
        <v>#DIV/0!</v>
      </c>
      <c r="J132" s="38">
        <f t="shared" ref="J132:J153" si="9">E132*F132*12*1.302</f>
        <v>1116552.28608</v>
      </c>
      <c r="K132" s="65" t="s">
        <v>38</v>
      </c>
      <c r="L132" s="155"/>
      <c r="M132" s="32" t="e">
        <f t="shared" ref="M132:M156" si="10">I132*J132</f>
        <v>#DIV/0!</v>
      </c>
    </row>
    <row r="133" spans="1:13" ht="15" hidden="1" customHeight="1" thickBot="1">
      <c r="A133" s="293"/>
      <c r="B133" s="293"/>
      <c r="C133" s="293"/>
      <c r="D133" s="293"/>
      <c r="E133" s="38">
        <v>9544</v>
      </c>
      <c r="F133" s="64">
        <v>1</v>
      </c>
      <c r="G133" s="46"/>
      <c r="H133" s="39">
        <f>H5</f>
        <v>0</v>
      </c>
      <c r="I133" s="38" t="e">
        <f t="shared" si="8"/>
        <v>#DIV/0!</v>
      </c>
      <c r="J133" s="38">
        <f t="shared" si="9"/>
        <v>149115.45600000001</v>
      </c>
      <c r="K133" s="39">
        <f>H133/11277167.39*100</f>
        <v>0</v>
      </c>
      <c r="L133" s="39"/>
      <c r="M133" s="15" t="e">
        <f t="shared" si="10"/>
        <v>#DIV/0!</v>
      </c>
    </row>
    <row r="134" spans="1:13" ht="15" hidden="1" customHeight="1" thickBot="1">
      <c r="A134" s="274"/>
      <c r="B134" s="275"/>
      <c r="C134" s="275"/>
      <c r="D134" s="275"/>
      <c r="E134" s="38">
        <v>11560</v>
      </c>
      <c r="F134" s="64">
        <v>1</v>
      </c>
      <c r="G134" s="46"/>
      <c r="H134" s="39">
        <f>H5</f>
        <v>0</v>
      </c>
      <c r="I134" s="38" t="e">
        <f t="shared" si="8"/>
        <v>#DIV/0!</v>
      </c>
      <c r="J134" s="38">
        <f t="shared" si="9"/>
        <v>180613.44</v>
      </c>
      <c r="K134" s="30"/>
      <c r="L134" s="30"/>
      <c r="M134" s="15" t="e">
        <f t="shared" si="10"/>
        <v>#DIV/0!</v>
      </c>
    </row>
    <row r="135" spans="1:13" ht="15" hidden="1" customHeight="1" thickBot="1">
      <c r="A135" s="236"/>
      <c r="B135" s="236"/>
      <c r="C135" s="236"/>
      <c r="D135" s="236"/>
      <c r="E135" s="38">
        <v>9544</v>
      </c>
      <c r="F135" s="66">
        <v>0.5</v>
      </c>
      <c r="G135" s="46"/>
      <c r="H135" s="39">
        <f>H5</f>
        <v>0</v>
      </c>
      <c r="I135" s="38" t="e">
        <f t="shared" si="8"/>
        <v>#DIV/0!</v>
      </c>
      <c r="J135" s="38">
        <f t="shared" si="9"/>
        <v>74557.728000000003</v>
      </c>
      <c r="K135" s="30"/>
      <c r="L135" s="30"/>
      <c r="M135" s="15" t="e">
        <f t="shared" si="10"/>
        <v>#DIV/0!</v>
      </c>
    </row>
    <row r="136" spans="1:13" ht="15" hidden="1" customHeight="1">
      <c r="A136" s="236"/>
      <c r="B136" s="236"/>
      <c r="C136" s="236"/>
      <c r="D136" s="236"/>
      <c r="E136" s="38">
        <v>9544</v>
      </c>
      <c r="F136" s="64">
        <v>1</v>
      </c>
      <c r="G136" s="46"/>
      <c r="H136" s="39">
        <f>H5</f>
        <v>0</v>
      </c>
      <c r="I136" s="38" t="e">
        <f t="shared" si="8"/>
        <v>#DIV/0!</v>
      </c>
      <c r="J136" s="38">
        <f t="shared" si="9"/>
        <v>149115.45600000001</v>
      </c>
      <c r="K136" s="38"/>
      <c r="L136" s="38"/>
      <c r="M136" s="15" t="e">
        <f t="shared" si="10"/>
        <v>#DIV/0!</v>
      </c>
    </row>
    <row r="137" spans="1:13" ht="14.25" hidden="1" customHeight="1" thickBo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H5</f>
        <v>0</v>
      </c>
      <c r="I137" s="38" t="e">
        <f t="shared" si="8"/>
        <v>#DIV/0!</v>
      </c>
      <c r="J137" s="38">
        <f t="shared" si="9"/>
        <v>149115.45600000001</v>
      </c>
      <c r="K137" s="47"/>
      <c r="L137" s="47"/>
      <c r="M137" s="15" t="e">
        <f t="shared" si="10"/>
        <v>#DIV/0!</v>
      </c>
    </row>
    <row r="138" spans="1:13" ht="15" hidden="1" customHeight="1">
      <c r="A138" s="212"/>
      <c r="B138" s="213"/>
      <c r="C138" s="213"/>
      <c r="D138" s="213"/>
      <c r="E138" s="38">
        <v>9544</v>
      </c>
      <c r="F138" s="38"/>
      <c r="G138" s="46"/>
      <c r="H138" s="39">
        <f>H5</f>
        <v>0</v>
      </c>
      <c r="I138" s="38" t="e">
        <f t="shared" si="8"/>
        <v>#DIV/0!</v>
      </c>
      <c r="J138" s="38">
        <f t="shared" si="9"/>
        <v>0</v>
      </c>
      <c r="K138" s="47"/>
      <c r="L138" s="47"/>
      <c r="M138" s="15" t="e">
        <f t="shared" si="10"/>
        <v>#DIV/0!</v>
      </c>
    </row>
    <row r="139" spans="1:13" ht="15" hidden="1" customHeight="1" thickBot="1">
      <c r="A139" s="212"/>
      <c r="B139" s="213"/>
      <c r="C139" s="213"/>
      <c r="D139" s="213"/>
      <c r="E139" s="38">
        <v>9544</v>
      </c>
      <c r="F139" s="67">
        <v>0.25</v>
      </c>
      <c r="G139" s="46"/>
      <c r="H139" s="39">
        <f>H5</f>
        <v>0</v>
      </c>
      <c r="I139" s="38" t="e">
        <f t="shared" si="8"/>
        <v>#DIV/0!</v>
      </c>
      <c r="J139" s="38">
        <f t="shared" si="9"/>
        <v>37278.864000000001</v>
      </c>
      <c r="K139" s="47"/>
      <c r="L139" s="47"/>
      <c r="M139" s="15" t="e">
        <f t="shared" si="10"/>
        <v>#DIV/0!</v>
      </c>
    </row>
    <row r="140" spans="1:13" ht="15" hidden="1" customHeight="1">
      <c r="A140" s="212"/>
      <c r="B140" s="213"/>
      <c r="C140" s="213"/>
      <c r="D140" s="213"/>
      <c r="E140" s="38">
        <v>9544</v>
      </c>
      <c r="F140" s="38"/>
      <c r="G140" s="46"/>
      <c r="H140" s="39">
        <f>H5</f>
        <v>0</v>
      </c>
      <c r="I140" s="38" t="e">
        <f t="shared" si="8"/>
        <v>#DIV/0!</v>
      </c>
      <c r="J140" s="38">
        <f t="shared" si="9"/>
        <v>0</v>
      </c>
      <c r="K140" s="47"/>
      <c r="L140" s="47"/>
      <c r="M140" s="15" t="e">
        <f t="shared" si="10"/>
        <v>#DIV/0!</v>
      </c>
    </row>
    <row r="141" spans="1:13" ht="15" hidden="1" customHeight="1">
      <c r="A141" s="212"/>
      <c r="B141" s="213"/>
      <c r="C141" s="213"/>
      <c r="D141" s="213"/>
      <c r="E141" s="38">
        <v>9544</v>
      </c>
      <c r="F141" s="66">
        <v>0.5</v>
      </c>
      <c r="G141" s="46"/>
      <c r="H141" s="39">
        <f>H5</f>
        <v>0</v>
      </c>
      <c r="I141" s="38" t="e">
        <f t="shared" si="8"/>
        <v>#DIV/0!</v>
      </c>
      <c r="J141" s="38">
        <f t="shared" si="9"/>
        <v>74557.728000000003</v>
      </c>
      <c r="K141" s="47"/>
      <c r="L141" s="47"/>
      <c r="M141" s="15" t="e">
        <f t="shared" si="10"/>
        <v>#DIV/0!</v>
      </c>
    </row>
    <row r="142" spans="1:13" ht="15.75" hidden="1" customHeight="1" thickBot="1">
      <c r="A142" s="212"/>
      <c r="B142" s="213"/>
      <c r="C142" s="213"/>
      <c r="D142" s="213"/>
      <c r="E142" s="38">
        <v>9544</v>
      </c>
      <c r="F142" s="64">
        <v>1</v>
      </c>
      <c r="G142" s="46"/>
      <c r="H142" s="39">
        <f>H5</f>
        <v>0</v>
      </c>
      <c r="I142" s="38" t="e">
        <f t="shared" si="8"/>
        <v>#DIV/0!</v>
      </c>
      <c r="J142" s="38">
        <f t="shared" si="9"/>
        <v>149115.45600000001</v>
      </c>
      <c r="K142" s="47"/>
      <c r="L142" s="47"/>
      <c r="M142" s="15" t="e">
        <f t="shared" si="10"/>
        <v>#DIV/0!</v>
      </c>
    </row>
    <row r="143" spans="1:13" ht="15" hidden="1" customHeight="1">
      <c r="A143" s="236"/>
      <c r="B143" s="236"/>
      <c r="C143" s="236"/>
      <c r="D143" s="236"/>
      <c r="E143" s="38">
        <v>9544</v>
      </c>
      <c r="F143" s="64">
        <v>1</v>
      </c>
      <c r="G143" s="46"/>
      <c r="H143" s="39">
        <f>H5</f>
        <v>0</v>
      </c>
      <c r="I143" s="38" t="e">
        <f t="shared" si="8"/>
        <v>#DIV/0!</v>
      </c>
      <c r="J143" s="38">
        <f t="shared" si="9"/>
        <v>149115.45600000001</v>
      </c>
      <c r="K143" s="47"/>
      <c r="L143" s="47"/>
      <c r="M143" s="15" t="e">
        <f t="shared" si="10"/>
        <v>#DIV/0!</v>
      </c>
    </row>
    <row r="144" spans="1:13" ht="15" hidden="1" customHeight="1">
      <c r="A144" s="236"/>
      <c r="B144" s="236"/>
      <c r="C144" s="236"/>
      <c r="D144" s="236"/>
      <c r="E144" s="38">
        <v>9544</v>
      </c>
      <c r="F144" s="66">
        <v>5.5</v>
      </c>
      <c r="G144" s="46"/>
      <c r="H144" s="39">
        <f>H5</f>
        <v>0</v>
      </c>
      <c r="I144" s="38" t="e">
        <f t="shared" si="8"/>
        <v>#DIV/0!</v>
      </c>
      <c r="J144" s="38">
        <f t="shared" si="9"/>
        <v>820135.00800000003</v>
      </c>
      <c r="K144" s="47"/>
      <c r="L144" s="47"/>
      <c r="M144" s="15" t="e">
        <f t="shared" si="10"/>
        <v>#DIV/0!</v>
      </c>
    </row>
    <row r="145" spans="1:13" ht="15" hidden="1" customHeight="1" thickBot="1">
      <c r="A145" s="236"/>
      <c r="B145" s="236"/>
      <c r="C145" s="236"/>
      <c r="D145" s="236"/>
      <c r="E145" s="38">
        <v>9544</v>
      </c>
      <c r="F145" s="64">
        <v>1</v>
      </c>
      <c r="G145" s="46"/>
      <c r="H145" s="39">
        <f>H5</f>
        <v>0</v>
      </c>
      <c r="I145" s="38" t="e">
        <f t="shared" si="8"/>
        <v>#DIV/0!</v>
      </c>
      <c r="J145" s="38">
        <f t="shared" si="9"/>
        <v>149115.45600000001</v>
      </c>
      <c r="K145" s="47"/>
      <c r="L145" s="47"/>
      <c r="M145" s="15" t="e">
        <f t="shared" si="10"/>
        <v>#DIV/0!</v>
      </c>
    </row>
    <row r="146" spans="1:13" ht="15" hidden="1" customHeight="1" thickBot="1">
      <c r="A146" s="236"/>
      <c r="B146" s="236"/>
      <c r="C146" s="236"/>
      <c r="D146" s="236"/>
      <c r="E146" s="38">
        <v>9544</v>
      </c>
      <c r="F146" s="66">
        <v>0.5</v>
      </c>
      <c r="G146" s="46"/>
      <c r="H146" s="39">
        <f>H5</f>
        <v>0</v>
      </c>
      <c r="I146" s="38" t="e">
        <f t="shared" si="8"/>
        <v>#DIV/0!</v>
      </c>
      <c r="J146" s="38">
        <f t="shared" si="9"/>
        <v>74557.728000000003</v>
      </c>
      <c r="K146" s="47"/>
      <c r="L146" s="47"/>
      <c r="M146" s="15" t="e">
        <f t="shared" si="10"/>
        <v>#DIV/0!</v>
      </c>
    </row>
    <row r="147" spans="1:13" ht="15" hidden="1" customHeight="1" thickBo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H5</f>
        <v>0</v>
      </c>
      <c r="I147" s="38" t="e">
        <f t="shared" si="8"/>
        <v>#DIV/0!</v>
      </c>
      <c r="J147" s="38">
        <f t="shared" si="9"/>
        <v>74557.728000000003</v>
      </c>
      <c r="K147" s="47"/>
      <c r="L147" s="47"/>
      <c r="M147" s="15" t="e">
        <f t="shared" si="10"/>
        <v>#DIV/0!</v>
      </c>
    </row>
    <row r="148" spans="1:13" ht="15" hidden="1" customHeight="1" thickBot="1">
      <c r="A148" s="236"/>
      <c r="B148" s="236"/>
      <c r="C148" s="236"/>
      <c r="D148" s="236"/>
      <c r="E148" s="38">
        <v>9544</v>
      </c>
      <c r="F148" s="64">
        <v>1</v>
      </c>
      <c r="G148" s="46"/>
      <c r="H148" s="39">
        <f>H5</f>
        <v>0</v>
      </c>
      <c r="I148" s="38" t="e">
        <f t="shared" si="8"/>
        <v>#DIV/0!</v>
      </c>
      <c r="J148" s="38">
        <f t="shared" si="9"/>
        <v>149115.45600000001</v>
      </c>
      <c r="K148" s="47"/>
      <c r="L148" s="47"/>
      <c r="M148" s="15" t="e">
        <f t="shared" si="10"/>
        <v>#DIV/0!</v>
      </c>
    </row>
    <row r="149" spans="1:13" ht="15.75" hidden="1" customHeight="1" thickBot="1">
      <c r="A149" s="236"/>
      <c r="B149" s="236"/>
      <c r="C149" s="236"/>
      <c r="D149" s="236"/>
      <c r="E149" s="38">
        <v>9544</v>
      </c>
      <c r="F149" s="64">
        <v>4</v>
      </c>
      <c r="G149" s="46"/>
      <c r="H149" s="39">
        <f>H5</f>
        <v>0</v>
      </c>
      <c r="I149" s="38" t="e">
        <f t="shared" si="8"/>
        <v>#DIV/0!</v>
      </c>
      <c r="J149" s="38">
        <f t="shared" si="9"/>
        <v>596461.82400000002</v>
      </c>
      <c r="K149" s="47"/>
      <c r="L149" s="47"/>
      <c r="M149" s="15" t="e">
        <f t="shared" si="10"/>
        <v>#DIV/0!</v>
      </c>
    </row>
    <row r="150" spans="1:13" ht="16.5" hidden="1" customHeight="1" thickBot="1">
      <c r="A150" s="212"/>
      <c r="B150" s="213"/>
      <c r="C150" s="213"/>
      <c r="D150" s="213"/>
      <c r="E150" s="38">
        <v>9544</v>
      </c>
      <c r="F150" s="64">
        <v>1</v>
      </c>
      <c r="G150" s="46"/>
      <c r="H150" s="39">
        <f>H5</f>
        <v>0</v>
      </c>
      <c r="I150" s="38" t="e">
        <f t="shared" si="8"/>
        <v>#DIV/0!</v>
      </c>
      <c r="J150" s="38">
        <f t="shared" si="9"/>
        <v>149115.45600000001</v>
      </c>
      <c r="K150" s="47"/>
      <c r="L150" s="47"/>
      <c r="M150" s="15" t="e">
        <f t="shared" si="10"/>
        <v>#DIV/0!</v>
      </c>
    </row>
    <row r="151" spans="1:13" ht="16.5" hidden="1" customHeight="1">
      <c r="A151" s="212"/>
      <c r="B151" s="213"/>
      <c r="C151" s="213"/>
      <c r="D151" s="213"/>
      <c r="E151" s="38">
        <v>9544</v>
      </c>
      <c r="F151" s="67">
        <v>1.75</v>
      </c>
      <c r="G151" s="46"/>
      <c r="H151" s="39">
        <f>H5</f>
        <v>0</v>
      </c>
      <c r="I151" s="38" t="e">
        <f t="shared" si="8"/>
        <v>#DIV/0!</v>
      </c>
      <c r="J151" s="38">
        <f t="shared" si="9"/>
        <v>260952.04800000001</v>
      </c>
      <c r="K151" s="47"/>
      <c r="L151" s="47"/>
      <c r="M151" s="15" t="e">
        <f t="shared" si="10"/>
        <v>#DIV/0!</v>
      </c>
    </row>
    <row r="152" spans="1:13" ht="16.5" hidden="1" customHeight="1">
      <c r="A152" s="212"/>
      <c r="B152" s="213"/>
      <c r="C152" s="213"/>
      <c r="D152" s="213"/>
      <c r="E152" s="38">
        <v>9544</v>
      </c>
      <c r="F152" s="39"/>
      <c r="G152" s="46"/>
      <c r="H152" s="39">
        <f>H5</f>
        <v>0</v>
      </c>
      <c r="I152" s="38" t="e">
        <f t="shared" si="8"/>
        <v>#DIV/0!</v>
      </c>
      <c r="J152" s="38">
        <f t="shared" si="9"/>
        <v>0</v>
      </c>
      <c r="K152" s="47"/>
      <c r="L152" s="47"/>
      <c r="M152" s="15" t="e">
        <f t="shared" si="10"/>
        <v>#DIV/0!</v>
      </c>
    </row>
    <row r="153" spans="1:13" ht="16.5" hidden="1" customHeight="1">
      <c r="A153" s="212"/>
      <c r="B153" s="213"/>
      <c r="C153" s="213"/>
      <c r="D153" s="213"/>
      <c r="E153" s="38">
        <v>9544</v>
      </c>
      <c r="F153" s="66">
        <v>0.5</v>
      </c>
      <c r="G153" s="46"/>
      <c r="H153" s="39">
        <f>H5</f>
        <v>0</v>
      </c>
      <c r="I153" s="38" t="e">
        <f t="shared" si="8"/>
        <v>#DIV/0!</v>
      </c>
      <c r="J153" s="38">
        <f t="shared" si="9"/>
        <v>74557.728000000003</v>
      </c>
      <c r="K153" s="47"/>
      <c r="L153" s="47"/>
      <c r="M153" s="15" t="e">
        <f t="shared" si="10"/>
        <v>#DIV/0!</v>
      </c>
    </row>
    <row r="154" spans="1:13" ht="15" hidden="1" customHeight="1">
      <c r="A154" s="212"/>
      <c r="B154" s="213"/>
      <c r="C154" s="213"/>
      <c r="D154" s="213"/>
      <c r="E154" s="38"/>
      <c r="F154" s="38"/>
      <c r="G154" s="38"/>
      <c r="H154" s="38"/>
      <c r="I154" s="38"/>
      <c r="J154" s="38"/>
      <c r="K154" s="47"/>
      <c r="L154" s="47"/>
      <c r="M154" s="15">
        <f t="shared" si="10"/>
        <v>0</v>
      </c>
    </row>
    <row r="155" spans="1:13" ht="15.75" hidden="1" customHeigh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>
        <f t="shared" si="10"/>
        <v>0</v>
      </c>
    </row>
    <row r="156" spans="1:13" ht="14.25" hidden="1" customHeight="1">
      <c r="A156" s="212"/>
      <c r="B156" s="213"/>
      <c r="C156" s="213"/>
      <c r="D156" s="213"/>
      <c r="E156" s="38"/>
      <c r="F156" s="38"/>
      <c r="G156" s="38"/>
      <c r="H156" s="38"/>
      <c r="I156" s="46">
        <v>105</v>
      </c>
      <c r="J156" s="48">
        <f>H156/I156</f>
        <v>0</v>
      </c>
      <c r="K156" s="47"/>
      <c r="L156" s="47"/>
      <c r="M156" s="31">
        <f t="shared" si="10"/>
        <v>0</v>
      </c>
    </row>
    <row r="157" spans="1:13" ht="15" thickBot="1">
      <c r="A157" s="216" t="s">
        <v>47</v>
      </c>
      <c r="B157" s="216"/>
      <c r="C157" s="216"/>
      <c r="D157" s="216"/>
      <c r="E157" s="68"/>
      <c r="F157" s="167"/>
      <c r="G157" s="167"/>
      <c r="H157" s="73">
        <f>H131</f>
        <v>6081671.9502211483</v>
      </c>
      <c r="I157" s="49"/>
      <c r="J157" s="69">
        <f>J131</f>
        <v>14690.028865268474</v>
      </c>
      <c r="K157" s="47"/>
      <c r="L157" s="47"/>
      <c r="M157" s="16"/>
    </row>
    <row r="158" spans="1:13" ht="1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7"/>
      <c r="L158" s="17"/>
      <c r="M158" s="17"/>
    </row>
    <row r="159" spans="1:13" ht="15.6">
      <c r="A159" s="273" t="s">
        <v>68</v>
      </c>
      <c r="B159" s="273"/>
      <c r="C159" s="273"/>
      <c r="D159" s="273"/>
      <c r="E159" s="273"/>
      <c r="F159" s="273"/>
      <c r="G159" s="273"/>
      <c r="H159" s="273"/>
      <c r="I159" s="273"/>
      <c r="J159" s="273"/>
      <c r="K159" s="273"/>
      <c r="L159" s="273"/>
      <c r="M159" s="273"/>
    </row>
    <row r="160" spans="1:13" ht="55.8">
      <c r="A160" s="231" t="s">
        <v>3</v>
      </c>
      <c r="B160" s="231"/>
      <c r="C160" s="231"/>
      <c r="D160" s="231"/>
      <c r="E160" s="9" t="s">
        <v>4</v>
      </c>
      <c r="F160" s="10" t="s">
        <v>0</v>
      </c>
      <c r="G160" s="35" t="s">
        <v>52</v>
      </c>
      <c r="H160" s="35" t="s">
        <v>44</v>
      </c>
      <c r="I160" s="9" t="s">
        <v>63</v>
      </c>
      <c r="J160" s="9" t="s">
        <v>69</v>
      </c>
      <c r="K160" s="9" t="s">
        <v>46</v>
      </c>
      <c r="L160" s="28"/>
      <c r="M160" s="28"/>
    </row>
    <row r="161" spans="1:14">
      <c r="A161" s="252">
        <v>1</v>
      </c>
      <c r="B161" s="253"/>
      <c r="C161" s="253"/>
      <c r="D161" s="253"/>
      <c r="E161" s="26">
        <v>2</v>
      </c>
      <c r="F161" s="12">
        <v>3</v>
      </c>
      <c r="G161" s="26">
        <v>4</v>
      </c>
      <c r="H161" s="26">
        <v>5</v>
      </c>
      <c r="I161" s="27">
        <v>6</v>
      </c>
      <c r="J161" s="36">
        <v>7</v>
      </c>
      <c r="K161" s="37">
        <v>8</v>
      </c>
      <c r="L161" s="153"/>
      <c r="M161" s="28"/>
    </row>
    <row r="162" spans="1:14" ht="32.4" customHeight="1" thickBot="1">
      <c r="A162" s="236" t="s">
        <v>67</v>
      </c>
      <c r="B162" s="236"/>
      <c r="C162" s="236"/>
      <c r="D162" s="236"/>
      <c r="E162" s="38">
        <f>20865999.58/12/55.25</f>
        <v>31472.095897435895</v>
      </c>
      <c r="F162" s="38">
        <f>55.25*0.59397</f>
        <v>32.8168425</v>
      </c>
      <c r="G162" s="38">
        <f>(15957574.159+68539.1903)*0.59397</f>
        <v>9519030.5460837223</v>
      </c>
      <c r="H162" s="38">
        <f>G162*1.302</f>
        <v>12393777.771001007</v>
      </c>
      <c r="I162" s="46">
        <v>414</v>
      </c>
      <c r="J162" s="38">
        <f>H162/I162</f>
        <v>29936.66128261113</v>
      </c>
      <c r="K162" s="63">
        <f>H162/(8696900+23460820)*100</f>
        <v>38.540598559229345</v>
      </c>
      <c r="L162" s="154"/>
      <c r="M162" s="16"/>
      <c r="N162" s="196"/>
    </row>
    <row r="163" spans="1:14" ht="15" hidden="1" customHeight="1">
      <c r="A163" s="262"/>
      <c r="B163" s="263"/>
      <c r="C163" s="263"/>
      <c r="D163" s="263"/>
      <c r="E163" s="38">
        <v>17865.98</v>
      </c>
      <c r="F163" s="64">
        <v>4</v>
      </c>
      <c r="G163" s="46"/>
      <c r="H163" s="39">
        <f>H38</f>
        <v>0</v>
      </c>
      <c r="I163" s="38" t="e">
        <f t="shared" ref="I163:I184" si="11">F163/G163*H163</f>
        <v>#DIV/0!</v>
      </c>
      <c r="J163" s="38">
        <f t="shared" ref="J163:J184" si="12">E163*F163*12*1.302</f>
        <v>1116552.28608</v>
      </c>
      <c r="K163" s="65" t="s">
        <v>38</v>
      </c>
      <c r="L163" s="155"/>
      <c r="M163" s="32" t="e">
        <f t="shared" ref="M163:M187" si="13">I163*J163</f>
        <v>#DIV/0!</v>
      </c>
    </row>
    <row r="164" spans="1:14" ht="15" hidden="1" customHeight="1">
      <c r="A164" s="293"/>
      <c r="B164" s="293"/>
      <c r="C164" s="293"/>
      <c r="D164" s="293"/>
      <c r="E164" s="38">
        <v>9544</v>
      </c>
      <c r="F164" s="64">
        <v>1</v>
      </c>
      <c r="G164" s="46"/>
      <c r="H164" s="39">
        <f>H38</f>
        <v>0</v>
      </c>
      <c r="I164" s="38" t="e">
        <f t="shared" si="11"/>
        <v>#DIV/0!</v>
      </c>
      <c r="J164" s="38">
        <f t="shared" si="12"/>
        <v>149115.45600000001</v>
      </c>
      <c r="K164" s="39">
        <f>H164/11277167.39*100</f>
        <v>0</v>
      </c>
      <c r="L164" s="39"/>
      <c r="M164" s="15" t="e">
        <f t="shared" si="13"/>
        <v>#DIV/0!</v>
      </c>
    </row>
    <row r="165" spans="1:14" ht="15" hidden="1" customHeight="1">
      <c r="A165" s="274"/>
      <c r="B165" s="275"/>
      <c r="C165" s="275"/>
      <c r="D165" s="275"/>
      <c r="E165" s="38">
        <v>11560</v>
      </c>
      <c r="F165" s="64">
        <v>1</v>
      </c>
      <c r="G165" s="46"/>
      <c r="H165" s="39">
        <f>H38</f>
        <v>0</v>
      </c>
      <c r="I165" s="38" t="e">
        <f t="shared" si="11"/>
        <v>#DIV/0!</v>
      </c>
      <c r="J165" s="38">
        <f t="shared" si="12"/>
        <v>180613.44</v>
      </c>
      <c r="K165" s="30"/>
      <c r="L165" s="30"/>
      <c r="M165" s="15" t="e">
        <f t="shared" si="13"/>
        <v>#DIV/0!</v>
      </c>
    </row>
    <row r="166" spans="1:14" ht="15" hidden="1" customHeight="1">
      <c r="A166" s="236"/>
      <c r="B166" s="236"/>
      <c r="C166" s="236"/>
      <c r="D166" s="236"/>
      <c r="E166" s="38">
        <v>9544</v>
      </c>
      <c r="F166" s="66">
        <v>0.5</v>
      </c>
      <c r="G166" s="46"/>
      <c r="H166" s="39">
        <f>H38</f>
        <v>0</v>
      </c>
      <c r="I166" s="38" t="e">
        <f t="shared" si="11"/>
        <v>#DIV/0!</v>
      </c>
      <c r="J166" s="38">
        <f t="shared" si="12"/>
        <v>74557.728000000003</v>
      </c>
      <c r="K166" s="30"/>
      <c r="L166" s="30"/>
      <c r="M166" s="15" t="e">
        <f t="shared" si="13"/>
        <v>#DIV/0!</v>
      </c>
    </row>
    <row r="167" spans="1:14" ht="15" hidden="1" customHeight="1">
      <c r="A167" s="236"/>
      <c r="B167" s="236"/>
      <c r="C167" s="236"/>
      <c r="D167" s="236"/>
      <c r="E167" s="38">
        <v>9544</v>
      </c>
      <c r="F167" s="64">
        <v>1</v>
      </c>
      <c r="G167" s="46"/>
      <c r="H167" s="39">
        <f>H38</f>
        <v>0</v>
      </c>
      <c r="I167" s="38" t="e">
        <f t="shared" si="11"/>
        <v>#DIV/0!</v>
      </c>
      <c r="J167" s="38">
        <f t="shared" si="12"/>
        <v>149115.45600000001</v>
      </c>
      <c r="K167" s="38"/>
      <c r="L167" s="38"/>
      <c r="M167" s="15" t="e">
        <f t="shared" si="13"/>
        <v>#DIV/0!</v>
      </c>
    </row>
    <row r="168" spans="1:14" ht="14.25" hidden="1" customHeigh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H38</f>
        <v>0</v>
      </c>
      <c r="I168" s="38" t="e">
        <f t="shared" si="11"/>
        <v>#DIV/0!</v>
      </c>
      <c r="J168" s="38">
        <f t="shared" si="12"/>
        <v>149115.45600000001</v>
      </c>
      <c r="K168" s="47"/>
      <c r="L168" s="47"/>
      <c r="M168" s="15" t="e">
        <f t="shared" si="13"/>
        <v>#DIV/0!</v>
      </c>
    </row>
    <row r="169" spans="1:14" ht="15" hidden="1" customHeight="1">
      <c r="A169" s="212"/>
      <c r="B169" s="213"/>
      <c r="C169" s="213"/>
      <c r="D169" s="213"/>
      <c r="E169" s="38">
        <v>9544</v>
      </c>
      <c r="F169" s="38"/>
      <c r="G169" s="46"/>
      <c r="H169" s="39">
        <f>H38</f>
        <v>0</v>
      </c>
      <c r="I169" s="38" t="e">
        <f t="shared" si="11"/>
        <v>#DIV/0!</v>
      </c>
      <c r="J169" s="38">
        <f t="shared" si="12"/>
        <v>0</v>
      </c>
      <c r="K169" s="47"/>
      <c r="L169" s="47"/>
      <c r="M169" s="15" t="e">
        <f t="shared" si="13"/>
        <v>#DIV/0!</v>
      </c>
    </row>
    <row r="170" spans="1:14" ht="15" hidden="1" customHeight="1">
      <c r="A170" s="212"/>
      <c r="B170" s="213"/>
      <c r="C170" s="213"/>
      <c r="D170" s="213"/>
      <c r="E170" s="38">
        <v>9544</v>
      </c>
      <c r="F170" s="67">
        <v>0.25</v>
      </c>
      <c r="G170" s="46"/>
      <c r="H170" s="39">
        <f>H38</f>
        <v>0</v>
      </c>
      <c r="I170" s="38" t="e">
        <f t="shared" si="11"/>
        <v>#DIV/0!</v>
      </c>
      <c r="J170" s="38">
        <f t="shared" si="12"/>
        <v>37278.864000000001</v>
      </c>
      <c r="K170" s="47"/>
      <c r="L170" s="47"/>
      <c r="M170" s="15" t="e">
        <f t="shared" si="13"/>
        <v>#DIV/0!</v>
      </c>
    </row>
    <row r="171" spans="1:14" ht="15" hidden="1" customHeight="1">
      <c r="A171" s="212"/>
      <c r="B171" s="213"/>
      <c r="C171" s="213"/>
      <c r="D171" s="213"/>
      <c r="E171" s="38">
        <v>9544</v>
      </c>
      <c r="F171" s="38"/>
      <c r="G171" s="46"/>
      <c r="H171" s="39">
        <f>H38</f>
        <v>0</v>
      </c>
      <c r="I171" s="38" t="e">
        <f t="shared" si="11"/>
        <v>#DIV/0!</v>
      </c>
      <c r="J171" s="38">
        <f t="shared" si="12"/>
        <v>0</v>
      </c>
      <c r="K171" s="47"/>
      <c r="L171" s="47"/>
      <c r="M171" s="15" t="e">
        <f t="shared" si="13"/>
        <v>#DIV/0!</v>
      </c>
    </row>
    <row r="172" spans="1:14" ht="15" hidden="1" customHeight="1">
      <c r="A172" s="212"/>
      <c r="B172" s="213"/>
      <c r="C172" s="213"/>
      <c r="D172" s="213"/>
      <c r="E172" s="38">
        <v>9544</v>
      </c>
      <c r="F172" s="66">
        <v>0.5</v>
      </c>
      <c r="G172" s="46"/>
      <c r="H172" s="39">
        <f>H38</f>
        <v>0</v>
      </c>
      <c r="I172" s="38" t="e">
        <f t="shared" si="11"/>
        <v>#DIV/0!</v>
      </c>
      <c r="J172" s="38">
        <f t="shared" si="12"/>
        <v>74557.728000000003</v>
      </c>
      <c r="K172" s="47"/>
      <c r="L172" s="47"/>
      <c r="M172" s="15" t="e">
        <f t="shared" si="13"/>
        <v>#DIV/0!</v>
      </c>
    </row>
    <row r="173" spans="1:14" ht="15.75" hidden="1" customHeight="1">
      <c r="A173" s="212"/>
      <c r="B173" s="213"/>
      <c r="C173" s="213"/>
      <c r="D173" s="213"/>
      <c r="E173" s="38">
        <v>9544</v>
      </c>
      <c r="F173" s="64">
        <v>1</v>
      </c>
      <c r="G173" s="46"/>
      <c r="H173" s="39">
        <f>H38</f>
        <v>0</v>
      </c>
      <c r="I173" s="38" t="e">
        <f t="shared" si="11"/>
        <v>#DIV/0!</v>
      </c>
      <c r="J173" s="38">
        <f t="shared" si="12"/>
        <v>149115.45600000001</v>
      </c>
      <c r="K173" s="47"/>
      <c r="L173" s="47"/>
      <c r="M173" s="15" t="e">
        <f t="shared" si="13"/>
        <v>#DIV/0!</v>
      </c>
    </row>
    <row r="174" spans="1:14" ht="15" hidden="1" customHeight="1">
      <c r="A174" s="236"/>
      <c r="B174" s="236"/>
      <c r="C174" s="236"/>
      <c r="D174" s="236"/>
      <c r="E174" s="38">
        <v>9544</v>
      </c>
      <c r="F174" s="64">
        <v>1</v>
      </c>
      <c r="G174" s="46"/>
      <c r="H174" s="39">
        <f>H38</f>
        <v>0</v>
      </c>
      <c r="I174" s="38" t="e">
        <f t="shared" si="11"/>
        <v>#DIV/0!</v>
      </c>
      <c r="J174" s="38">
        <f t="shared" si="12"/>
        <v>149115.45600000001</v>
      </c>
      <c r="K174" s="47"/>
      <c r="L174" s="47"/>
      <c r="M174" s="15" t="e">
        <f t="shared" si="13"/>
        <v>#DIV/0!</v>
      </c>
    </row>
    <row r="175" spans="1:14" ht="15" hidden="1" customHeight="1">
      <c r="A175" s="236"/>
      <c r="B175" s="236"/>
      <c r="C175" s="236"/>
      <c r="D175" s="236"/>
      <c r="E175" s="38">
        <v>9544</v>
      </c>
      <c r="F175" s="66">
        <v>5.5</v>
      </c>
      <c r="G175" s="46"/>
      <c r="H175" s="39">
        <f>H38</f>
        <v>0</v>
      </c>
      <c r="I175" s="38" t="e">
        <f t="shared" si="11"/>
        <v>#DIV/0!</v>
      </c>
      <c r="J175" s="38">
        <f t="shared" si="12"/>
        <v>820135.00800000003</v>
      </c>
      <c r="K175" s="47"/>
      <c r="L175" s="47"/>
      <c r="M175" s="15" t="e">
        <f t="shared" si="13"/>
        <v>#DIV/0!</v>
      </c>
    </row>
    <row r="176" spans="1:14" ht="15" hidden="1" customHeight="1">
      <c r="A176" s="236"/>
      <c r="B176" s="236"/>
      <c r="C176" s="236"/>
      <c r="D176" s="236"/>
      <c r="E176" s="38">
        <v>9544</v>
      </c>
      <c r="F176" s="64">
        <v>1</v>
      </c>
      <c r="G176" s="46"/>
      <c r="H176" s="39">
        <f>H38</f>
        <v>0</v>
      </c>
      <c r="I176" s="38" t="e">
        <f t="shared" si="11"/>
        <v>#DIV/0!</v>
      </c>
      <c r="J176" s="38">
        <f t="shared" si="12"/>
        <v>149115.45600000001</v>
      </c>
      <c r="K176" s="47"/>
      <c r="L176" s="47"/>
      <c r="M176" s="15" t="e">
        <f t="shared" si="13"/>
        <v>#DIV/0!</v>
      </c>
    </row>
    <row r="177" spans="1:13" ht="15" hidden="1" customHeight="1">
      <c r="A177" s="236"/>
      <c r="B177" s="236"/>
      <c r="C177" s="236"/>
      <c r="D177" s="236"/>
      <c r="E177" s="38">
        <v>9544</v>
      </c>
      <c r="F177" s="66">
        <v>0.5</v>
      </c>
      <c r="G177" s="46"/>
      <c r="H177" s="39">
        <f>H38</f>
        <v>0</v>
      </c>
      <c r="I177" s="38" t="e">
        <f t="shared" si="11"/>
        <v>#DIV/0!</v>
      </c>
      <c r="J177" s="38">
        <f t="shared" si="12"/>
        <v>74557.728000000003</v>
      </c>
      <c r="K177" s="47"/>
      <c r="L177" s="47"/>
      <c r="M177" s="15" t="e">
        <f t="shared" si="13"/>
        <v>#DIV/0!</v>
      </c>
    </row>
    <row r="178" spans="1:13" ht="15" hidden="1" customHeigh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H38</f>
        <v>0</v>
      </c>
      <c r="I178" s="38" t="e">
        <f t="shared" si="11"/>
        <v>#DIV/0!</v>
      </c>
      <c r="J178" s="38">
        <f t="shared" si="12"/>
        <v>74557.728000000003</v>
      </c>
      <c r="K178" s="47"/>
      <c r="L178" s="47"/>
      <c r="M178" s="15" t="e">
        <f t="shared" si="13"/>
        <v>#DIV/0!</v>
      </c>
    </row>
    <row r="179" spans="1:13" ht="15" hidden="1" customHeight="1">
      <c r="A179" s="236"/>
      <c r="B179" s="236"/>
      <c r="C179" s="236"/>
      <c r="D179" s="236"/>
      <c r="E179" s="38">
        <v>9544</v>
      </c>
      <c r="F179" s="64">
        <v>1</v>
      </c>
      <c r="G179" s="46"/>
      <c r="H179" s="39">
        <f>H38</f>
        <v>0</v>
      </c>
      <c r="I179" s="38" t="e">
        <f t="shared" si="11"/>
        <v>#DIV/0!</v>
      </c>
      <c r="J179" s="38">
        <f t="shared" si="12"/>
        <v>149115.45600000001</v>
      </c>
      <c r="K179" s="47"/>
      <c r="L179" s="47"/>
      <c r="M179" s="15" t="e">
        <f t="shared" si="13"/>
        <v>#DIV/0!</v>
      </c>
    </row>
    <row r="180" spans="1:13" ht="15.75" hidden="1" customHeight="1">
      <c r="A180" s="236"/>
      <c r="B180" s="236"/>
      <c r="C180" s="236"/>
      <c r="D180" s="236"/>
      <c r="E180" s="38">
        <v>9544</v>
      </c>
      <c r="F180" s="64">
        <v>4</v>
      </c>
      <c r="G180" s="46"/>
      <c r="H180" s="39">
        <f>H38</f>
        <v>0</v>
      </c>
      <c r="I180" s="38" t="e">
        <f t="shared" si="11"/>
        <v>#DIV/0!</v>
      </c>
      <c r="J180" s="38">
        <f t="shared" si="12"/>
        <v>596461.82400000002</v>
      </c>
      <c r="K180" s="47"/>
      <c r="L180" s="47"/>
      <c r="M180" s="15" t="e">
        <f t="shared" si="13"/>
        <v>#DIV/0!</v>
      </c>
    </row>
    <row r="181" spans="1:13" ht="16.5" hidden="1" customHeight="1">
      <c r="A181" s="212"/>
      <c r="B181" s="213"/>
      <c r="C181" s="213"/>
      <c r="D181" s="213"/>
      <c r="E181" s="38">
        <v>9544</v>
      </c>
      <c r="F181" s="64">
        <v>1</v>
      </c>
      <c r="G181" s="46"/>
      <c r="H181" s="39">
        <f>H38</f>
        <v>0</v>
      </c>
      <c r="I181" s="38" t="e">
        <f t="shared" si="11"/>
        <v>#DIV/0!</v>
      </c>
      <c r="J181" s="38">
        <f t="shared" si="12"/>
        <v>149115.45600000001</v>
      </c>
      <c r="K181" s="47"/>
      <c r="L181" s="47"/>
      <c r="M181" s="15" t="e">
        <f t="shared" si="13"/>
        <v>#DIV/0!</v>
      </c>
    </row>
    <row r="182" spans="1:13" ht="16.5" hidden="1" customHeight="1">
      <c r="A182" s="212"/>
      <c r="B182" s="213"/>
      <c r="C182" s="213"/>
      <c r="D182" s="213"/>
      <c r="E182" s="38">
        <v>9544</v>
      </c>
      <c r="F182" s="67">
        <v>1.75</v>
      </c>
      <c r="G182" s="46"/>
      <c r="H182" s="39">
        <f>H38</f>
        <v>0</v>
      </c>
      <c r="I182" s="38" t="e">
        <f t="shared" si="11"/>
        <v>#DIV/0!</v>
      </c>
      <c r="J182" s="38">
        <f t="shared" si="12"/>
        <v>260952.04800000001</v>
      </c>
      <c r="K182" s="47"/>
      <c r="L182" s="47"/>
      <c r="M182" s="15" t="e">
        <f t="shared" si="13"/>
        <v>#DIV/0!</v>
      </c>
    </row>
    <row r="183" spans="1:13" ht="16.5" hidden="1" customHeight="1">
      <c r="A183" s="212"/>
      <c r="B183" s="213"/>
      <c r="C183" s="213"/>
      <c r="D183" s="213"/>
      <c r="E183" s="38">
        <v>9544</v>
      </c>
      <c r="F183" s="39"/>
      <c r="G183" s="46"/>
      <c r="H183" s="39">
        <f>H38</f>
        <v>0</v>
      </c>
      <c r="I183" s="38" t="e">
        <f t="shared" si="11"/>
        <v>#DIV/0!</v>
      </c>
      <c r="J183" s="38">
        <f t="shared" si="12"/>
        <v>0</v>
      </c>
      <c r="K183" s="47"/>
      <c r="L183" s="47"/>
      <c r="M183" s="15" t="e">
        <f t="shared" si="13"/>
        <v>#DIV/0!</v>
      </c>
    </row>
    <row r="184" spans="1:13" ht="16.5" hidden="1" customHeight="1">
      <c r="A184" s="212"/>
      <c r="B184" s="213"/>
      <c r="C184" s="213"/>
      <c r="D184" s="213"/>
      <c r="E184" s="38">
        <v>9544</v>
      </c>
      <c r="F184" s="66">
        <v>0.5</v>
      </c>
      <c r="G184" s="46"/>
      <c r="H184" s="39">
        <f>H38</f>
        <v>0</v>
      </c>
      <c r="I184" s="38" t="e">
        <f t="shared" si="11"/>
        <v>#DIV/0!</v>
      </c>
      <c r="J184" s="38">
        <f t="shared" si="12"/>
        <v>74557.728000000003</v>
      </c>
      <c r="K184" s="47"/>
      <c r="L184" s="47"/>
      <c r="M184" s="15" t="e">
        <f t="shared" si="13"/>
        <v>#DIV/0!</v>
      </c>
    </row>
    <row r="185" spans="1:13" ht="15" hidden="1" customHeight="1">
      <c r="A185" s="212"/>
      <c r="B185" s="213"/>
      <c r="C185" s="213"/>
      <c r="D185" s="213"/>
      <c r="E185" s="38"/>
      <c r="F185" s="38"/>
      <c r="G185" s="38"/>
      <c r="H185" s="38"/>
      <c r="I185" s="38"/>
      <c r="J185" s="38"/>
      <c r="K185" s="47"/>
      <c r="L185" s="47"/>
      <c r="M185" s="15">
        <f t="shared" si="13"/>
        <v>0</v>
      </c>
    </row>
    <row r="186" spans="1:13" ht="15.75" hidden="1" customHeight="1" thickBo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3"/>
        <v>0</v>
      </c>
    </row>
    <row r="187" spans="1:13" ht="14.2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46">
        <v>105</v>
      </c>
      <c r="J187" s="48">
        <f>H187/I187</f>
        <v>0</v>
      </c>
      <c r="K187" s="47"/>
      <c r="L187" s="47"/>
      <c r="M187" s="31">
        <f t="shared" si="13"/>
        <v>0</v>
      </c>
    </row>
    <row r="188" spans="1:13" ht="15" thickBot="1">
      <c r="A188" s="216" t="s">
        <v>47</v>
      </c>
      <c r="B188" s="216"/>
      <c r="C188" s="216"/>
      <c r="D188" s="216"/>
      <c r="E188" s="68"/>
      <c r="F188" s="167"/>
      <c r="G188" s="167"/>
      <c r="H188" s="73">
        <f>H162</f>
        <v>12393777.771001007</v>
      </c>
      <c r="I188" s="49"/>
      <c r="J188" s="69">
        <f>J162</f>
        <v>29936.66128261113</v>
      </c>
      <c r="K188" s="47"/>
      <c r="L188" s="47"/>
      <c r="M188" s="16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>
      <c r="A192" s="208" t="s">
        <v>61</v>
      </c>
      <c r="B192" s="208"/>
      <c r="C192" s="208"/>
      <c r="D192" s="208"/>
      <c r="E192" s="208"/>
      <c r="F192" s="208"/>
      <c r="G192" s="208"/>
      <c r="H192" s="208"/>
      <c r="I192" s="208"/>
      <c r="J192" s="208"/>
      <c r="K192" s="208"/>
      <c r="L192" s="165"/>
      <c r="M192" s="11"/>
    </row>
    <row r="193" spans="1:13" ht="55.8">
      <c r="A193" s="214" t="s">
        <v>62</v>
      </c>
      <c r="B193" s="215"/>
      <c r="C193" s="215"/>
      <c r="D193" s="284"/>
      <c r="E193" s="171" t="s">
        <v>7</v>
      </c>
      <c r="F193" s="171" t="s">
        <v>55</v>
      </c>
      <c r="G193" s="171" t="s">
        <v>42</v>
      </c>
      <c r="H193" s="171" t="s">
        <v>48</v>
      </c>
      <c r="I193" s="9" t="s">
        <v>63</v>
      </c>
      <c r="J193" s="9" t="s">
        <v>69</v>
      </c>
      <c r="K193" s="199"/>
      <c r="L193" s="28"/>
      <c r="M193" s="11"/>
    </row>
    <row r="194" spans="1:13" ht="36.75" customHeight="1">
      <c r="A194" s="212" t="s">
        <v>133</v>
      </c>
      <c r="B194" s="213"/>
      <c r="C194" s="213"/>
      <c r="D194" s="219"/>
      <c r="E194" s="171"/>
      <c r="F194" s="171"/>
      <c r="G194" s="171"/>
      <c r="H194" s="100">
        <f>632128.1*0.59397</f>
        <v>375465.12755699997</v>
      </c>
      <c r="I194" s="46">
        <v>414</v>
      </c>
      <c r="J194" s="104">
        <f>H194/I194</f>
        <v>906.92059796376805</v>
      </c>
      <c r="K194" s="40"/>
      <c r="L194" s="28"/>
      <c r="M194" s="11"/>
    </row>
    <row r="195" spans="1:13" ht="34.5" customHeight="1" thickBot="1">
      <c r="A195" s="212" t="s">
        <v>134</v>
      </c>
      <c r="B195" s="213"/>
      <c r="C195" s="213"/>
      <c r="D195" s="219"/>
      <c r="E195" s="171"/>
      <c r="F195" s="171"/>
      <c r="G195" s="171"/>
      <c r="H195" s="100">
        <f>214539.18*0.59397</f>
        <v>127429.83674459999</v>
      </c>
      <c r="I195" s="46">
        <v>414</v>
      </c>
      <c r="J195" s="104">
        <f>H195/I195</f>
        <v>307.80153803043476</v>
      </c>
      <c r="K195" s="40"/>
      <c r="L195" s="28"/>
      <c r="M195" s="11"/>
    </row>
    <row r="196" spans="1:13" ht="15" thickBot="1">
      <c r="A196" s="285" t="s">
        <v>57</v>
      </c>
      <c r="B196" s="286"/>
      <c r="C196" s="286"/>
      <c r="D196" s="286"/>
      <c r="E196" s="286"/>
      <c r="F196" s="286"/>
      <c r="G196" s="287"/>
      <c r="H196" s="62">
        <f>H195+H194</f>
        <v>502894.96430159995</v>
      </c>
      <c r="I196" s="58"/>
      <c r="J196" s="33">
        <f>SUM(J194:J195)</f>
        <v>1214.7221359942027</v>
      </c>
      <c r="K196" s="50"/>
      <c r="L196" s="11"/>
      <c r="M196" s="11"/>
    </row>
    <row r="197" spans="1:13" ht="6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ht="55.8">
      <c r="A198" s="214" t="s">
        <v>62</v>
      </c>
      <c r="B198" s="215"/>
      <c r="C198" s="215"/>
      <c r="D198" s="284"/>
      <c r="E198" s="171" t="s">
        <v>135</v>
      </c>
      <c r="F198" s="171" t="s">
        <v>55</v>
      </c>
      <c r="G198" s="171" t="s">
        <v>42</v>
      </c>
      <c r="H198" s="171" t="s">
        <v>48</v>
      </c>
      <c r="I198" s="9" t="s">
        <v>63</v>
      </c>
      <c r="J198" s="9" t="s">
        <v>69</v>
      </c>
      <c r="K198" s="40"/>
      <c r="L198" s="28"/>
      <c r="M198" s="11"/>
    </row>
    <row r="199" spans="1:13">
      <c r="A199" s="212" t="s">
        <v>187</v>
      </c>
      <c r="B199" s="213"/>
      <c r="C199" s="213"/>
      <c r="D199" s="219"/>
      <c r="E199" s="171">
        <v>120</v>
      </c>
      <c r="F199" s="171"/>
      <c r="G199" s="171"/>
      <c r="H199" s="100">
        <f>156649.69*0.59397</f>
        <v>93045.216369300004</v>
      </c>
      <c r="I199" s="46">
        <v>414</v>
      </c>
      <c r="J199" s="104">
        <f>H199/I199</f>
        <v>224.74689944275363</v>
      </c>
      <c r="K199" s="40"/>
      <c r="L199" s="28"/>
      <c r="M199" s="11"/>
    </row>
    <row r="200" spans="1:13">
      <c r="A200" s="212" t="s">
        <v>186</v>
      </c>
      <c r="B200" s="213"/>
      <c r="C200" s="213"/>
      <c r="D200" s="219"/>
      <c r="E200" s="171">
        <v>640</v>
      </c>
      <c r="F200" s="171"/>
      <c r="G200" s="171"/>
      <c r="H200" s="100">
        <f>74369.3*0.59397</f>
        <v>44173.133120999999</v>
      </c>
      <c r="I200" s="46">
        <v>414</v>
      </c>
      <c r="J200" s="104">
        <f t="shared" ref="J200:J201" si="14">H200/I200</f>
        <v>106.69838918115941</v>
      </c>
      <c r="K200" s="40"/>
      <c r="L200" s="28"/>
      <c r="M200" s="11"/>
    </row>
    <row r="201" spans="1:13" ht="18" customHeight="1" thickBot="1">
      <c r="A201" s="212" t="s">
        <v>83</v>
      </c>
      <c r="B201" s="213"/>
      <c r="C201" s="213"/>
      <c r="D201" s="219"/>
      <c r="E201" s="171">
        <v>200</v>
      </c>
      <c r="F201" s="171"/>
      <c r="G201" s="171"/>
      <c r="H201" s="100">
        <f>32266.2*0.59397</f>
        <v>19165.154814000001</v>
      </c>
      <c r="I201" s="46">
        <v>414</v>
      </c>
      <c r="J201" s="104">
        <f t="shared" si="14"/>
        <v>46.292644478260875</v>
      </c>
      <c r="K201" s="40"/>
      <c r="L201" s="28"/>
      <c r="M201" s="11"/>
    </row>
    <row r="202" spans="1:13" ht="15" thickBot="1">
      <c r="A202" s="285" t="s">
        <v>57</v>
      </c>
      <c r="B202" s="286"/>
      <c r="C202" s="286"/>
      <c r="D202" s="286"/>
      <c r="E202" s="286"/>
      <c r="F202" s="286"/>
      <c r="G202" s="287"/>
      <c r="H202" s="62">
        <f>SUM(H199:H201)</f>
        <v>156383.5043043</v>
      </c>
      <c r="I202" s="58"/>
      <c r="J202" s="33">
        <f>SUM(J199:J201)</f>
        <v>377.73793310217388</v>
      </c>
      <c r="K202" s="11"/>
      <c r="L202" s="11"/>
      <c r="M202" s="11"/>
    </row>
    <row r="203" spans="1:13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>
      <c r="A204" s="230" t="s">
        <v>29</v>
      </c>
      <c r="B204" s="230"/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</row>
    <row r="205" spans="1:13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>
      <c r="A206" s="290" t="s">
        <v>30</v>
      </c>
      <c r="B206" s="291"/>
      <c r="C206" s="292"/>
      <c r="D206" s="214" t="s">
        <v>31</v>
      </c>
      <c r="E206" s="288"/>
      <c r="F206" s="288"/>
      <c r="G206" s="288"/>
      <c r="H206" s="288"/>
      <c r="I206" s="288"/>
      <c r="J206" s="289"/>
      <c r="K206" s="282" t="s">
        <v>35</v>
      </c>
      <c r="L206" s="156"/>
    </row>
    <row r="207" spans="1:13" ht="21.6">
      <c r="A207" s="10" t="s">
        <v>32</v>
      </c>
      <c r="B207" s="125" t="s">
        <v>33</v>
      </c>
      <c r="C207" s="10" t="s">
        <v>34</v>
      </c>
      <c r="D207" s="9" t="s">
        <v>141</v>
      </c>
      <c r="E207" s="9" t="s">
        <v>142</v>
      </c>
      <c r="F207" s="9" t="s">
        <v>143</v>
      </c>
      <c r="G207" s="9" t="s">
        <v>144</v>
      </c>
      <c r="H207" s="9" t="s">
        <v>145</v>
      </c>
      <c r="I207" s="35" t="s">
        <v>146</v>
      </c>
      <c r="J207" s="171" t="s">
        <v>144</v>
      </c>
      <c r="K207" s="283"/>
      <c r="L207" s="156"/>
    </row>
    <row r="208" spans="1:13">
      <c r="A208" s="15">
        <f>J157</f>
        <v>14690.028865268474</v>
      </c>
      <c r="B208" s="15"/>
      <c r="C208" s="15"/>
      <c r="D208" s="15">
        <f>J71</f>
        <v>140.03726531449274</v>
      </c>
      <c r="E208" s="15">
        <f>J80</f>
        <v>3735.7511013898547</v>
      </c>
      <c r="F208" s="15">
        <f>I95</f>
        <v>732.84103247898543</v>
      </c>
      <c r="G208" s="15">
        <f>I114</f>
        <v>1137.0462974753625</v>
      </c>
      <c r="H208" s="15">
        <f>H126</f>
        <v>1938.8135312659422</v>
      </c>
      <c r="I208" s="106">
        <f>J188</f>
        <v>29936.66128261113</v>
      </c>
      <c r="J208" s="105">
        <f>J196+J202</f>
        <v>1592.4600690963766</v>
      </c>
      <c r="K208" s="105">
        <f>SUM(D208:J208)+A208</f>
        <v>53903.639444900618</v>
      </c>
      <c r="L208" s="157"/>
    </row>
    <row r="209" spans="1:14" ht="15" thickBo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4" ht="15" thickBot="1">
      <c r="A210" s="14" t="s">
        <v>64</v>
      </c>
      <c r="B210" s="14"/>
      <c r="C210" s="14"/>
      <c r="D210" s="11"/>
      <c r="E210" s="11"/>
      <c r="F210" s="11"/>
      <c r="G210" s="11"/>
      <c r="H210" s="11"/>
      <c r="I210" s="11"/>
      <c r="J210" s="72">
        <f>H71+H80+G95+G114+F126+H157+H188+H196+H202</f>
        <v>23572138.340264957</v>
      </c>
      <c r="K210" s="11"/>
      <c r="L210" s="11"/>
      <c r="M210" s="11"/>
    </row>
    <row r="211" spans="1:14">
      <c r="A211" s="11"/>
      <c r="B211" s="11"/>
      <c r="C211" s="11"/>
      <c r="D211" s="11"/>
      <c r="E211" s="11"/>
      <c r="F211" s="11"/>
      <c r="G211" s="11"/>
      <c r="H211" s="11"/>
      <c r="I211" s="11"/>
      <c r="J211" s="184"/>
      <c r="K211" s="11"/>
      <c r="L211" s="11"/>
      <c r="M211" s="11"/>
    </row>
    <row r="212" spans="1:14" ht="18">
      <c r="A212" s="3" t="s">
        <v>136</v>
      </c>
      <c r="B212" s="3"/>
      <c r="C212" s="3"/>
      <c r="I212" s="3" t="s">
        <v>137</v>
      </c>
      <c r="N212" s="196"/>
    </row>
    <row r="214" spans="1:14" ht="15.6">
      <c r="A214" s="118" t="s">
        <v>43</v>
      </c>
      <c r="B214" s="7"/>
      <c r="M214" s="196"/>
    </row>
    <row r="215" spans="1:14" ht="15.6">
      <c r="A215" s="147" t="s">
        <v>196</v>
      </c>
      <c r="B215" s="7"/>
    </row>
    <row r="216" spans="1:14" ht="15.6">
      <c r="A216" s="118" t="s">
        <v>85</v>
      </c>
      <c r="C216" s="7"/>
    </row>
    <row r="217" spans="1:14" ht="15.6">
      <c r="A217" s="2"/>
      <c r="B217" s="2"/>
      <c r="C217" s="2"/>
    </row>
  </sheetData>
  <mergeCells count="210">
    <mergeCell ref="A154:D154"/>
    <mergeCell ref="A155:D155"/>
    <mergeCell ref="A156:D156"/>
    <mergeCell ref="A157:D157"/>
    <mergeCell ref="A168:D168"/>
    <mergeCell ref="A169:D169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60:D160"/>
    <mergeCell ref="A161:D161"/>
    <mergeCell ref="A162:D162"/>
    <mergeCell ref="A163:D163"/>
    <mergeCell ref="A181:D181"/>
    <mergeCell ref="A182:D182"/>
    <mergeCell ref="A174:D174"/>
    <mergeCell ref="A175:D175"/>
    <mergeCell ref="A176:D176"/>
    <mergeCell ref="A177:D177"/>
    <mergeCell ref="A178:D178"/>
    <mergeCell ref="A179:D179"/>
    <mergeCell ref="A180:D180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26:D126"/>
    <mergeCell ref="A129:D129"/>
    <mergeCell ref="A130:D130"/>
    <mergeCell ref="A131:D131"/>
    <mergeCell ref="A118:D118"/>
    <mergeCell ref="A119:D119"/>
    <mergeCell ref="A120:D120"/>
    <mergeCell ref="A123:D123"/>
    <mergeCell ref="A124:D124"/>
    <mergeCell ref="A125:D125"/>
    <mergeCell ref="A114:D114"/>
    <mergeCell ref="A104:D104"/>
    <mergeCell ref="A105:D105"/>
    <mergeCell ref="A106:D106"/>
    <mergeCell ref="A110:D110"/>
    <mergeCell ref="A111:D111"/>
    <mergeCell ref="A109:D109"/>
    <mergeCell ref="A107:D107"/>
    <mergeCell ref="A108:D108"/>
    <mergeCell ref="A112:D112"/>
    <mergeCell ref="A113:D113"/>
    <mergeCell ref="A82:M82"/>
    <mergeCell ref="A83:D83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3:D93"/>
    <mergeCell ref="A97:M97"/>
    <mergeCell ref="A98:D98"/>
    <mergeCell ref="A77:D77"/>
    <mergeCell ref="A78:D78"/>
    <mergeCell ref="A79:D79"/>
    <mergeCell ref="A80:D80"/>
    <mergeCell ref="A71:D71"/>
    <mergeCell ref="A75:D75"/>
    <mergeCell ref="A76:D76"/>
    <mergeCell ref="A73:M73"/>
    <mergeCell ref="A74:D74"/>
    <mergeCell ref="A68:D68"/>
    <mergeCell ref="A69:D69"/>
    <mergeCell ref="A70:D70"/>
    <mergeCell ref="A59:D59"/>
    <mergeCell ref="A60:D60"/>
    <mergeCell ref="A61:D61"/>
    <mergeCell ref="A62:D62"/>
    <mergeCell ref="A63:D63"/>
    <mergeCell ref="A66:M66"/>
    <mergeCell ref="A67:D67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38:E38"/>
    <mergeCell ref="G38:K38"/>
    <mergeCell ref="A39:E39"/>
    <mergeCell ref="G39:K39"/>
    <mergeCell ref="A53:D53"/>
    <mergeCell ref="A54:D54"/>
    <mergeCell ref="A55:D55"/>
    <mergeCell ref="A33:E33"/>
    <mergeCell ref="G33:K33"/>
    <mergeCell ref="A34:E34"/>
    <mergeCell ref="G34:K34"/>
    <mergeCell ref="A35:E35"/>
    <mergeCell ref="G35:K35"/>
    <mergeCell ref="A36:E36"/>
    <mergeCell ref="G36:K36"/>
    <mergeCell ref="A44:D44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2:D2"/>
    <mergeCell ref="E2:G2"/>
    <mergeCell ref="A3:B3"/>
    <mergeCell ref="A7:M7"/>
    <mergeCell ref="A25:E25"/>
    <mergeCell ref="G25:K2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116:M116"/>
    <mergeCell ref="A117:D117"/>
    <mergeCell ref="A121:D121"/>
    <mergeCell ref="A122:D122"/>
    <mergeCell ref="A128:M128"/>
    <mergeCell ref="A152:D152"/>
    <mergeCell ref="A153:D153"/>
    <mergeCell ref="A159:M159"/>
    <mergeCell ref="A6:M6"/>
    <mergeCell ref="A11:M11"/>
    <mergeCell ref="A15:E15"/>
    <mergeCell ref="G15:K15"/>
    <mergeCell ref="A40:D40"/>
    <mergeCell ref="G40:N40"/>
    <mergeCell ref="A41:M41"/>
    <mergeCell ref="A43:D43"/>
    <mergeCell ref="A64:K64"/>
    <mergeCell ref="A37:E37"/>
    <mergeCell ref="G37:K37"/>
    <mergeCell ref="A29:E29"/>
    <mergeCell ref="G29:K29"/>
    <mergeCell ref="A30:E30"/>
    <mergeCell ref="G30:K30"/>
    <mergeCell ref="A31:E31"/>
    <mergeCell ref="A204:M204"/>
    <mergeCell ref="A206:C206"/>
    <mergeCell ref="D206:J206"/>
    <mergeCell ref="K206:K207"/>
    <mergeCell ref="A183:D183"/>
    <mergeCell ref="A188:D188"/>
    <mergeCell ref="A192:K192"/>
    <mergeCell ref="A193:D193"/>
    <mergeCell ref="A194:D194"/>
    <mergeCell ref="A195:D195"/>
    <mergeCell ref="A196:G196"/>
    <mergeCell ref="A198:D198"/>
    <mergeCell ref="A199:D199"/>
    <mergeCell ref="A200:D200"/>
    <mergeCell ref="A201:D201"/>
    <mergeCell ref="A202:G202"/>
    <mergeCell ref="A187:D187"/>
    <mergeCell ref="A185:D185"/>
    <mergeCell ref="A186:D186"/>
    <mergeCell ref="A184:D184"/>
  </mergeCells>
  <pageMargins left="0.51181102362204722" right="0.31496062992125984" top="0.35433070866141736" bottom="0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F218"/>
  <sheetViews>
    <sheetView topLeftCell="A192" zoomScale="80" zoomScaleNormal="80" workbookViewId="0">
      <selection activeCell="A216" sqref="A216"/>
    </sheetView>
  </sheetViews>
  <sheetFormatPr defaultRowHeight="14.4"/>
  <cols>
    <col min="1" max="1" width="9.109375" customWidth="1"/>
    <col min="2" max="3" width="5.6640625" customWidth="1"/>
    <col min="4" max="4" width="15.5546875" customWidth="1"/>
    <col min="5" max="6" width="13" customWidth="1"/>
    <col min="7" max="7" width="11.6640625" customWidth="1"/>
    <col min="8" max="8" width="16" customWidth="1"/>
    <col min="9" max="9" width="15.109375" customWidth="1"/>
    <col min="10" max="10" width="13.88671875" customWidth="1"/>
    <col min="11" max="11" width="12.5546875" customWidth="1"/>
    <col min="12" max="12" width="10.33203125" hidden="1" customWidth="1"/>
    <col min="13" max="13" width="14.33203125" customWidth="1"/>
    <col min="14" max="14" width="18.21875" customWidth="1"/>
    <col min="17" max="17" width="15.6640625" customWidth="1"/>
  </cols>
  <sheetData>
    <row r="1" spans="1:13" ht="14.4" hidden="1" customHeight="1"/>
    <row r="2" spans="1:13" ht="15.6" hidden="1" customHeight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169"/>
      <c r="F3" s="43"/>
      <c r="G3" s="43"/>
    </row>
    <row r="4" spans="1:13" ht="27.75" hidden="1" customHeight="1">
      <c r="A4" s="4"/>
      <c r="B4" s="4"/>
      <c r="C4" s="4"/>
      <c r="D4" s="176"/>
      <c r="E4" s="4"/>
      <c r="F4" s="4"/>
      <c r="G4" s="176"/>
    </row>
    <row r="5" spans="1:13" ht="27.75" customHeight="1">
      <c r="A5" s="4"/>
      <c r="B5" s="4"/>
      <c r="C5" s="4"/>
      <c r="D5" s="176"/>
      <c r="E5" s="4"/>
      <c r="F5" s="4"/>
      <c r="G5" s="176"/>
    </row>
    <row r="6" spans="1:13" ht="7.5" customHeight="1">
      <c r="A6" s="166"/>
      <c r="B6" s="166"/>
      <c r="C6" s="166"/>
      <c r="D6" s="166"/>
      <c r="E6" s="166"/>
      <c r="F6" s="166"/>
      <c r="G6" s="166"/>
    </row>
    <row r="7" spans="1:13" ht="15.6">
      <c r="A7" s="209" t="s">
        <v>138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8" spans="1:13" ht="15.6">
      <c r="A8" s="209" t="s">
        <v>139</v>
      </c>
      <c r="B8" s="210"/>
      <c r="C8" s="210"/>
      <c r="D8" s="210"/>
      <c r="E8" s="210"/>
      <c r="F8" s="210"/>
      <c r="G8" s="211"/>
      <c r="H8" s="211"/>
      <c r="I8" s="211"/>
      <c r="J8" s="211"/>
      <c r="K8" s="211"/>
      <c r="L8" s="211"/>
      <c r="M8" s="211"/>
    </row>
    <row r="10" spans="1:13" ht="6.7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6">
      <c r="A11" s="8" t="s">
        <v>173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>
      <c r="A12" s="249" t="s">
        <v>86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</row>
    <row r="13" spans="1:13" ht="17.25" customHeight="1">
      <c r="A13" s="8" t="s">
        <v>58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111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6">
      <c r="A15" s="8" t="s">
        <v>110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42">
      <c r="A16" s="261" t="s">
        <v>66</v>
      </c>
      <c r="B16" s="261"/>
      <c r="C16" s="261"/>
      <c r="D16" s="261"/>
      <c r="E16" s="261"/>
      <c r="F16" s="9" t="s">
        <v>65</v>
      </c>
      <c r="G16" s="261" t="s">
        <v>67</v>
      </c>
      <c r="H16" s="261"/>
      <c r="I16" s="261"/>
      <c r="J16" s="261"/>
      <c r="K16" s="261"/>
      <c r="L16" s="171"/>
      <c r="M16" s="9" t="s">
        <v>65</v>
      </c>
    </row>
    <row r="17" spans="1:13" ht="51.75" customHeight="1">
      <c r="A17" s="234" t="s">
        <v>90</v>
      </c>
      <c r="B17" s="234"/>
      <c r="C17" s="234"/>
      <c r="D17" s="234"/>
      <c r="E17" s="234"/>
      <c r="F17" s="152">
        <f>4.92*0.04116</f>
        <v>0.2025072</v>
      </c>
      <c r="G17" s="235" t="s">
        <v>1</v>
      </c>
      <c r="H17" s="235"/>
      <c r="I17" s="235"/>
      <c r="J17" s="235"/>
      <c r="K17" s="235"/>
      <c r="L17" s="112">
        <v>1</v>
      </c>
      <c r="M17" s="200">
        <f t="shared" ref="M17:M24" si="0">L17*0.04116</f>
        <v>4.1160000000000002E-2</v>
      </c>
    </row>
    <row r="18" spans="1:13">
      <c r="A18" s="234" t="s">
        <v>91</v>
      </c>
      <c r="B18" s="234"/>
      <c r="C18" s="234"/>
      <c r="D18" s="234"/>
      <c r="E18" s="234"/>
      <c r="F18" s="152">
        <f>8.83*0.04116</f>
        <v>0.36344280000000001</v>
      </c>
      <c r="G18" s="224" t="s">
        <v>92</v>
      </c>
      <c r="H18" s="225"/>
      <c r="I18" s="225"/>
      <c r="J18" s="225"/>
      <c r="K18" s="237"/>
      <c r="L18" s="112">
        <v>4</v>
      </c>
      <c r="M18" s="152">
        <f t="shared" si="0"/>
        <v>0.16464000000000001</v>
      </c>
    </row>
    <row r="19" spans="1:13">
      <c r="A19" s="234"/>
      <c r="B19" s="234"/>
      <c r="C19" s="234"/>
      <c r="D19" s="234"/>
      <c r="E19" s="234"/>
      <c r="F19" s="152"/>
      <c r="G19" s="234" t="s">
        <v>93</v>
      </c>
      <c r="H19" s="234"/>
      <c r="I19" s="234"/>
      <c r="J19" s="234"/>
      <c r="K19" s="234"/>
      <c r="L19" s="112">
        <v>1</v>
      </c>
      <c r="M19" s="152">
        <f t="shared" si="0"/>
        <v>4.1160000000000002E-2</v>
      </c>
    </row>
    <row r="20" spans="1:13">
      <c r="A20" s="234"/>
      <c r="B20" s="234"/>
      <c r="C20" s="234"/>
      <c r="D20" s="234"/>
      <c r="E20" s="234"/>
      <c r="F20" s="152"/>
      <c r="G20" s="241" t="s">
        <v>72</v>
      </c>
      <c r="H20" s="242"/>
      <c r="I20" s="242"/>
      <c r="J20" s="242"/>
      <c r="K20" s="243"/>
      <c r="L20" s="112">
        <v>1</v>
      </c>
      <c r="M20" s="152">
        <f t="shared" si="0"/>
        <v>4.1160000000000002E-2</v>
      </c>
    </row>
    <row r="21" spans="1:13">
      <c r="A21" s="234"/>
      <c r="B21" s="234"/>
      <c r="C21" s="234"/>
      <c r="D21" s="234"/>
      <c r="E21" s="234"/>
      <c r="F21" s="152"/>
      <c r="G21" s="235" t="s">
        <v>94</v>
      </c>
      <c r="H21" s="235"/>
      <c r="I21" s="235"/>
      <c r="J21" s="235"/>
      <c r="K21" s="235"/>
      <c r="L21" s="112">
        <v>0.5</v>
      </c>
      <c r="M21" s="152">
        <f t="shared" si="0"/>
        <v>2.0580000000000001E-2</v>
      </c>
    </row>
    <row r="22" spans="1:13" ht="15" customHeight="1">
      <c r="A22" s="234"/>
      <c r="B22" s="234"/>
      <c r="C22" s="234"/>
      <c r="D22" s="234"/>
      <c r="E22" s="234"/>
      <c r="F22" s="152"/>
      <c r="G22" s="235" t="s">
        <v>70</v>
      </c>
      <c r="H22" s="235"/>
      <c r="I22" s="235"/>
      <c r="J22" s="235"/>
      <c r="K22" s="235"/>
      <c r="L22" s="113">
        <v>1</v>
      </c>
      <c r="M22" s="152">
        <f t="shared" si="0"/>
        <v>4.1160000000000002E-2</v>
      </c>
    </row>
    <row r="23" spans="1:13" ht="15" customHeight="1">
      <c r="A23" s="234"/>
      <c r="B23" s="234"/>
      <c r="C23" s="234"/>
      <c r="D23" s="234"/>
      <c r="E23" s="234"/>
      <c r="F23" s="152"/>
      <c r="G23" s="236" t="s">
        <v>95</v>
      </c>
      <c r="H23" s="236"/>
      <c r="I23" s="236"/>
      <c r="J23" s="236"/>
      <c r="K23" s="236"/>
      <c r="L23" s="113">
        <v>0.5</v>
      </c>
      <c r="M23" s="152">
        <f t="shared" si="0"/>
        <v>2.0580000000000001E-2</v>
      </c>
    </row>
    <row r="24" spans="1:13" ht="15.75" customHeight="1">
      <c r="A24" s="224"/>
      <c r="B24" s="225"/>
      <c r="C24" s="225"/>
      <c r="D24" s="225"/>
      <c r="E24" s="237"/>
      <c r="F24" s="152"/>
      <c r="G24" s="238"/>
      <c r="H24" s="239"/>
      <c r="I24" s="239"/>
      <c r="J24" s="239"/>
      <c r="K24" s="240"/>
      <c r="L24" s="113"/>
      <c r="M24" s="152">
        <f t="shared" si="0"/>
        <v>0</v>
      </c>
    </row>
    <row r="25" spans="1:13" ht="15.75" hidden="1" customHeight="1">
      <c r="A25" s="224"/>
      <c r="B25" s="225"/>
      <c r="C25" s="225"/>
      <c r="D25" s="225"/>
      <c r="E25" s="237"/>
      <c r="F25" s="152"/>
      <c r="G25" s="238" t="s">
        <v>96</v>
      </c>
      <c r="H25" s="239"/>
      <c r="I25" s="239"/>
      <c r="J25" s="239"/>
      <c r="K25" s="240"/>
      <c r="L25" s="113">
        <v>1</v>
      </c>
      <c r="M25" s="152">
        <f>L25*0.05454</f>
        <v>5.4539999999999998E-2</v>
      </c>
    </row>
    <row r="26" spans="1:13" ht="15.75" customHeight="1">
      <c r="A26" s="224"/>
      <c r="B26" s="225"/>
      <c r="C26" s="225"/>
      <c r="D26" s="225"/>
      <c r="E26" s="237"/>
      <c r="F26" s="159"/>
      <c r="G26" s="238"/>
      <c r="H26" s="239"/>
      <c r="I26" s="239"/>
      <c r="J26" s="239"/>
      <c r="K26" s="240"/>
      <c r="L26" s="115"/>
      <c r="M26" s="152">
        <f>L26*0.04116</f>
        <v>0</v>
      </c>
    </row>
    <row r="27" spans="1:13" ht="15.75" hidden="1" customHeight="1">
      <c r="A27" s="224"/>
      <c r="B27" s="225"/>
      <c r="C27" s="225"/>
      <c r="D27" s="225"/>
      <c r="E27" s="237"/>
      <c r="F27" s="159"/>
      <c r="G27" s="258" t="s">
        <v>97</v>
      </c>
      <c r="H27" s="259"/>
      <c r="I27" s="259"/>
      <c r="J27" s="259"/>
      <c r="K27" s="260"/>
      <c r="L27" s="115">
        <v>2</v>
      </c>
      <c r="M27" s="152">
        <f>L27*0.05454</f>
        <v>0.10908</v>
      </c>
    </row>
    <row r="28" spans="1:13" ht="15.75" customHeight="1">
      <c r="A28" s="224"/>
      <c r="B28" s="225"/>
      <c r="C28" s="225"/>
      <c r="D28" s="225"/>
      <c r="E28" s="237"/>
      <c r="F28" s="159"/>
      <c r="G28" s="238" t="s">
        <v>71</v>
      </c>
      <c r="H28" s="239"/>
      <c r="I28" s="239"/>
      <c r="J28" s="239"/>
      <c r="K28" s="240"/>
      <c r="L28" s="115">
        <v>1</v>
      </c>
      <c r="M28" s="152">
        <f t="shared" ref="M28:M40" si="1">L28*0.04116</f>
        <v>4.1160000000000002E-2</v>
      </c>
    </row>
    <row r="29" spans="1:13" ht="15.75" customHeight="1">
      <c r="A29" s="257"/>
      <c r="B29" s="257"/>
      <c r="C29" s="257"/>
      <c r="D29" s="257"/>
      <c r="E29" s="257"/>
      <c r="F29" s="159"/>
      <c r="G29" s="236" t="s">
        <v>98</v>
      </c>
      <c r="H29" s="236"/>
      <c r="I29" s="236"/>
      <c r="J29" s="236"/>
      <c r="K29" s="236"/>
      <c r="L29" s="115">
        <v>4.75</v>
      </c>
      <c r="M29" s="152">
        <f t="shared" si="1"/>
        <v>0.19551000000000002</v>
      </c>
    </row>
    <row r="30" spans="1:13" ht="15" customHeight="1">
      <c r="A30" s="257"/>
      <c r="B30" s="257"/>
      <c r="C30" s="257"/>
      <c r="D30" s="257"/>
      <c r="E30" s="257"/>
      <c r="F30" s="159"/>
      <c r="G30" s="236" t="s">
        <v>99</v>
      </c>
      <c r="H30" s="236"/>
      <c r="I30" s="236"/>
      <c r="J30" s="236"/>
      <c r="K30" s="236"/>
      <c r="L30" s="115">
        <v>3.5</v>
      </c>
      <c r="M30" s="152">
        <f t="shared" si="1"/>
        <v>0.14406000000000002</v>
      </c>
    </row>
    <row r="31" spans="1:13" ht="15.75" customHeight="1">
      <c r="A31" s="254"/>
      <c r="B31" s="254"/>
      <c r="C31" s="254"/>
      <c r="D31" s="254"/>
      <c r="E31" s="254"/>
      <c r="F31" s="160"/>
      <c r="G31" s="236" t="s">
        <v>100</v>
      </c>
      <c r="H31" s="236"/>
      <c r="I31" s="236"/>
      <c r="J31" s="236"/>
      <c r="K31" s="236"/>
      <c r="L31" s="115">
        <v>2</v>
      </c>
      <c r="M31" s="152">
        <f t="shared" si="1"/>
        <v>8.2320000000000004E-2</v>
      </c>
    </row>
    <row r="32" spans="1:13">
      <c r="A32" s="254"/>
      <c r="B32" s="254"/>
      <c r="C32" s="254"/>
      <c r="D32" s="254"/>
      <c r="E32" s="254"/>
      <c r="F32" s="160"/>
      <c r="G32" s="236" t="s">
        <v>101</v>
      </c>
      <c r="H32" s="236"/>
      <c r="I32" s="236"/>
      <c r="J32" s="236"/>
      <c r="K32" s="236"/>
      <c r="L32" s="115">
        <v>1</v>
      </c>
      <c r="M32" s="152">
        <f t="shared" si="1"/>
        <v>4.1160000000000002E-2</v>
      </c>
    </row>
    <row r="33" spans="1:15" ht="27.75" customHeight="1">
      <c r="A33" s="254"/>
      <c r="B33" s="254"/>
      <c r="C33" s="254"/>
      <c r="D33" s="254"/>
      <c r="E33" s="254"/>
      <c r="F33" s="160"/>
      <c r="G33" s="236" t="s">
        <v>102</v>
      </c>
      <c r="H33" s="236"/>
      <c r="I33" s="236"/>
      <c r="J33" s="236"/>
      <c r="K33" s="236"/>
      <c r="L33" s="115">
        <v>0.5</v>
      </c>
      <c r="M33" s="152">
        <f t="shared" si="1"/>
        <v>2.0580000000000001E-2</v>
      </c>
    </row>
    <row r="34" spans="1:15" ht="14.4" customHeight="1">
      <c r="A34" s="254"/>
      <c r="B34" s="254"/>
      <c r="C34" s="254"/>
      <c r="D34" s="254"/>
      <c r="E34" s="254"/>
      <c r="F34" s="160"/>
      <c r="G34" s="212" t="s">
        <v>103</v>
      </c>
      <c r="H34" s="213"/>
      <c r="I34" s="213"/>
      <c r="J34" s="213"/>
      <c r="K34" s="219"/>
      <c r="L34" s="115">
        <v>0.5</v>
      </c>
      <c r="M34" s="152">
        <f t="shared" si="1"/>
        <v>2.0580000000000001E-2</v>
      </c>
    </row>
    <row r="35" spans="1:15" ht="12.75" customHeight="1">
      <c r="A35" s="254"/>
      <c r="B35" s="254"/>
      <c r="C35" s="254"/>
      <c r="D35" s="254"/>
      <c r="E35" s="254"/>
      <c r="F35" s="160"/>
      <c r="G35" s="212" t="s">
        <v>104</v>
      </c>
      <c r="H35" s="213"/>
      <c r="I35" s="213"/>
      <c r="J35" s="213"/>
      <c r="K35" s="219"/>
      <c r="L35" s="115">
        <v>16</v>
      </c>
      <c r="M35" s="152">
        <f t="shared" si="1"/>
        <v>0.65856000000000003</v>
      </c>
    </row>
    <row r="36" spans="1:15" ht="15" customHeight="1">
      <c r="A36" s="264"/>
      <c r="B36" s="265"/>
      <c r="C36" s="265"/>
      <c r="D36" s="265"/>
      <c r="E36" s="266"/>
      <c r="F36" s="160"/>
      <c r="G36" s="224" t="s">
        <v>105</v>
      </c>
      <c r="H36" s="225"/>
      <c r="I36" s="225"/>
      <c r="J36" s="225"/>
      <c r="K36" s="226"/>
      <c r="L36" s="112">
        <v>2</v>
      </c>
      <c r="M36" s="152">
        <f t="shared" si="1"/>
        <v>8.2320000000000004E-2</v>
      </c>
    </row>
    <row r="37" spans="1:15">
      <c r="A37" s="264"/>
      <c r="B37" s="265"/>
      <c r="C37" s="265"/>
      <c r="D37" s="265"/>
      <c r="E37" s="266"/>
      <c r="F37" s="160"/>
      <c r="G37" s="224" t="s">
        <v>106</v>
      </c>
      <c r="H37" s="225"/>
      <c r="I37" s="225"/>
      <c r="J37" s="225"/>
      <c r="K37" s="226"/>
      <c r="L37" s="112">
        <v>1</v>
      </c>
      <c r="M37" s="152">
        <f t="shared" si="1"/>
        <v>4.1160000000000002E-2</v>
      </c>
    </row>
    <row r="38" spans="1:15" ht="15" customHeight="1">
      <c r="A38" s="264"/>
      <c r="B38" s="265"/>
      <c r="C38" s="265"/>
      <c r="D38" s="265"/>
      <c r="E38" s="266"/>
      <c r="F38" s="160"/>
      <c r="G38" s="224" t="s">
        <v>107</v>
      </c>
      <c r="H38" s="225"/>
      <c r="I38" s="225"/>
      <c r="J38" s="225"/>
      <c r="K38" s="226"/>
      <c r="L38" s="112">
        <v>1</v>
      </c>
      <c r="M38" s="152">
        <f t="shared" si="1"/>
        <v>4.1160000000000002E-2</v>
      </c>
    </row>
    <row r="39" spans="1:15" ht="15" customHeight="1">
      <c r="A39" s="264"/>
      <c r="B39" s="265"/>
      <c r="C39" s="265"/>
      <c r="D39" s="265"/>
      <c r="E39" s="266"/>
      <c r="F39" s="160"/>
      <c r="G39" s="224" t="s">
        <v>108</v>
      </c>
      <c r="H39" s="225"/>
      <c r="I39" s="225"/>
      <c r="J39" s="225"/>
      <c r="K39" s="226"/>
      <c r="L39" s="115">
        <v>10</v>
      </c>
      <c r="M39" s="152">
        <f t="shared" si="1"/>
        <v>0.41160000000000002</v>
      </c>
    </row>
    <row r="40" spans="1:15" ht="15" customHeight="1">
      <c r="A40" s="248" t="s">
        <v>2</v>
      </c>
      <c r="B40" s="248"/>
      <c r="C40" s="248"/>
      <c r="D40" s="248"/>
      <c r="E40" s="248"/>
      <c r="F40" s="161">
        <f>SUM(F17:F35)</f>
        <v>0.56594999999999995</v>
      </c>
      <c r="G40" s="244" t="s">
        <v>2</v>
      </c>
      <c r="H40" s="244"/>
      <c r="I40" s="244"/>
      <c r="J40" s="244"/>
      <c r="K40" s="244"/>
      <c r="L40" s="117">
        <f>SUM(L17:L39)</f>
        <v>55.25</v>
      </c>
      <c r="M40" s="161">
        <f t="shared" si="1"/>
        <v>2.2740900000000002</v>
      </c>
    </row>
    <row r="41" spans="1:15" ht="15" customHeight="1">
      <c r="A41" s="248" t="s">
        <v>2</v>
      </c>
      <c r="B41" s="248"/>
      <c r="C41" s="248"/>
      <c r="D41" s="248"/>
      <c r="E41" s="78">
        <f>SUM(E17:E29)</f>
        <v>0</v>
      </c>
      <c r="F41" s="173"/>
      <c r="G41" s="280" t="s">
        <v>2</v>
      </c>
      <c r="H41" s="280"/>
      <c r="I41" s="280"/>
      <c r="J41" s="280"/>
      <c r="K41" s="280"/>
      <c r="L41" s="280"/>
      <c r="M41" s="280"/>
      <c r="N41" s="280"/>
      <c r="O41" s="173"/>
    </row>
    <row r="42" spans="1:15" ht="98.25" hidden="1" customHeight="1">
      <c r="A42" s="208" t="s">
        <v>15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5" ht="14.4" hidden="1" customHeight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5" ht="14.4" hidden="1" customHeight="1">
      <c r="A44" s="277" t="s">
        <v>6</v>
      </c>
      <c r="B44" s="277"/>
      <c r="C44" s="277"/>
      <c r="D44" s="277"/>
      <c r="E44" s="19" t="s">
        <v>7</v>
      </c>
      <c r="F44" s="19" t="s">
        <v>8</v>
      </c>
      <c r="G44" s="19" t="s">
        <v>9</v>
      </c>
      <c r="H44" s="19" t="s">
        <v>10</v>
      </c>
      <c r="I44" s="19"/>
      <c r="J44" s="19" t="s">
        <v>11</v>
      </c>
      <c r="K44" s="19" t="s">
        <v>12</v>
      </c>
      <c r="L44" s="19"/>
      <c r="M44" s="19" t="s">
        <v>5</v>
      </c>
    </row>
    <row r="45" spans="1:15" ht="80.25" hidden="1" customHeight="1">
      <c r="A45" s="278">
        <v>1</v>
      </c>
      <c r="B45" s="279"/>
      <c r="C45" s="279"/>
      <c r="D45" s="279"/>
      <c r="E45" s="19">
        <v>2</v>
      </c>
      <c r="F45" s="19">
        <v>3</v>
      </c>
      <c r="G45" s="19">
        <v>4</v>
      </c>
      <c r="H45" s="19" t="s">
        <v>36</v>
      </c>
      <c r="I45" s="19"/>
      <c r="J45" s="19">
        <v>6</v>
      </c>
      <c r="K45" s="19">
        <v>7</v>
      </c>
      <c r="L45" s="19"/>
      <c r="M45" s="19" t="s">
        <v>37</v>
      </c>
    </row>
    <row r="46" spans="1:15" ht="15" hidden="1" customHeight="1">
      <c r="A46" s="227" t="s">
        <v>39</v>
      </c>
      <c r="B46" s="227"/>
      <c r="C46" s="227"/>
      <c r="D46" s="227"/>
      <c r="E46" s="20" t="s">
        <v>13</v>
      </c>
      <c r="F46" s="19">
        <v>7</v>
      </c>
      <c r="G46" s="20">
        <v>10</v>
      </c>
      <c r="H46" s="21">
        <f>F46/G46</f>
        <v>0.7</v>
      </c>
      <c r="I46" s="21"/>
      <c r="J46" s="19">
        <v>20</v>
      </c>
      <c r="K46" s="22">
        <v>7100</v>
      </c>
      <c r="L46" s="22"/>
      <c r="M46" s="22">
        <f>H46*K46</f>
        <v>4970</v>
      </c>
    </row>
    <row r="47" spans="1:15" ht="15" hidden="1" customHeight="1">
      <c r="A47" s="227" t="s">
        <v>40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ref="H47:H63" si="2">F47/G47</f>
        <v>0.1</v>
      </c>
      <c r="I47" s="21"/>
      <c r="J47" s="19">
        <v>20</v>
      </c>
      <c r="K47" s="22">
        <v>538700</v>
      </c>
      <c r="L47" s="22"/>
      <c r="M47" s="22">
        <f t="shared" ref="M47:M64" si="3">H47*K47</f>
        <v>53870</v>
      </c>
    </row>
    <row r="48" spans="1:15" ht="15" hidden="1" customHeight="1">
      <c r="A48" s="227" t="s">
        <v>41</v>
      </c>
      <c r="B48" s="227"/>
      <c r="C48" s="227"/>
      <c r="D48" s="227"/>
      <c r="E48" s="20" t="s">
        <v>13</v>
      </c>
      <c r="F48" s="19">
        <v>1</v>
      </c>
      <c r="G48" s="20">
        <v>10</v>
      </c>
      <c r="H48" s="21">
        <f t="shared" si="2"/>
        <v>0.1</v>
      </c>
      <c r="I48" s="21"/>
      <c r="J48" s="19">
        <v>20</v>
      </c>
      <c r="K48" s="22">
        <v>380000</v>
      </c>
      <c r="L48" s="22"/>
      <c r="M48" s="22">
        <f t="shared" si="3"/>
        <v>38000</v>
      </c>
    </row>
    <row r="49" spans="1:13" ht="1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2"/>
        <v>0</v>
      </c>
      <c r="I49" s="21"/>
      <c r="J49" s="19"/>
      <c r="K49" s="22"/>
      <c r="L49" s="22"/>
      <c r="M49" s="22">
        <f t="shared" si="3"/>
        <v>0</v>
      </c>
    </row>
    <row r="50" spans="1:13" ht="12.75" hidden="1" customHeight="1">
      <c r="A50" s="227"/>
      <c r="B50" s="227"/>
      <c r="C50" s="227"/>
      <c r="D50" s="227"/>
      <c r="E50" s="20" t="s">
        <v>13</v>
      </c>
      <c r="F50" s="19"/>
      <c r="G50" s="20">
        <v>10</v>
      </c>
      <c r="H50" s="21">
        <f t="shared" si="2"/>
        <v>0</v>
      </c>
      <c r="I50" s="21"/>
      <c r="J50" s="19"/>
      <c r="K50" s="22"/>
      <c r="L50" s="22"/>
      <c r="M50" s="22">
        <f t="shared" si="3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2"/>
        <v>0</v>
      </c>
      <c r="I51" s="21"/>
      <c r="J51" s="19"/>
      <c r="K51" s="22"/>
      <c r="L51" s="22"/>
      <c r="M51" s="22">
        <f t="shared" si="3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2"/>
        <v>0</v>
      </c>
      <c r="I52" s="21"/>
      <c r="J52" s="19"/>
      <c r="K52" s="22"/>
      <c r="L52" s="22"/>
      <c r="M52" s="22">
        <f t="shared" si="3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2"/>
        <v>0</v>
      </c>
      <c r="I53" s="21"/>
      <c r="J53" s="19"/>
      <c r="K53" s="22"/>
      <c r="L53" s="22"/>
      <c r="M53" s="22">
        <f t="shared" si="3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2"/>
        <v>0</v>
      </c>
      <c r="I54" s="21"/>
      <c r="J54" s="19"/>
      <c r="K54" s="22"/>
      <c r="L54" s="22"/>
      <c r="M54" s="22">
        <f t="shared" si="3"/>
        <v>0</v>
      </c>
    </row>
    <row r="55" spans="1:13" ht="15" hidden="1" customHeight="1">
      <c r="A55" s="228"/>
      <c r="B55" s="229"/>
      <c r="C55" s="229"/>
      <c r="D55" s="229"/>
      <c r="E55" s="20" t="s">
        <v>13</v>
      </c>
      <c r="F55" s="19"/>
      <c r="G55" s="20">
        <v>10</v>
      </c>
      <c r="H55" s="21">
        <f t="shared" si="2"/>
        <v>0</v>
      </c>
      <c r="I55" s="21"/>
      <c r="J55" s="19"/>
      <c r="K55" s="22"/>
      <c r="L55" s="22"/>
      <c r="M55" s="22">
        <f t="shared" si="3"/>
        <v>0</v>
      </c>
    </row>
    <row r="56" spans="1:13" ht="15" hidden="1" customHeight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2"/>
        <v>0</v>
      </c>
      <c r="I56" s="21"/>
      <c r="J56" s="20"/>
      <c r="K56" s="23"/>
      <c r="L56" s="23"/>
      <c r="M56" s="22">
        <f t="shared" si="3"/>
        <v>0</v>
      </c>
    </row>
    <row r="57" spans="1:13" ht="14.4" hidden="1" customHeight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2"/>
        <v>0</v>
      </c>
      <c r="I57" s="21"/>
      <c r="J57" s="20"/>
      <c r="K57" s="23"/>
      <c r="L57" s="23"/>
      <c r="M57" s="22">
        <f t="shared" si="3"/>
        <v>0</v>
      </c>
    </row>
    <row r="58" spans="1:13" ht="14.4" hidden="1" customHeight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2"/>
        <v>0</v>
      </c>
      <c r="I58" s="21"/>
      <c r="J58" s="20"/>
      <c r="K58" s="23"/>
      <c r="L58" s="23"/>
      <c r="M58" s="22">
        <f t="shared" si="3"/>
        <v>0</v>
      </c>
    </row>
    <row r="59" spans="1:13" ht="14.4" hidden="1" customHeight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2"/>
        <v>0</v>
      </c>
      <c r="I59" s="21"/>
      <c r="J59" s="20"/>
      <c r="K59" s="23"/>
      <c r="L59" s="23"/>
      <c r="M59" s="22">
        <f t="shared" si="3"/>
        <v>0</v>
      </c>
    </row>
    <row r="60" spans="1:13" ht="14.4" hidden="1" customHeight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2"/>
        <v>0</v>
      </c>
      <c r="I60" s="21"/>
      <c r="J60" s="20"/>
      <c r="K60" s="23"/>
      <c r="L60" s="23"/>
      <c r="M60" s="22">
        <f t="shared" si="3"/>
        <v>0</v>
      </c>
    </row>
    <row r="61" spans="1:13" ht="14.4" hidden="1" customHeight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2"/>
        <v>0</v>
      </c>
      <c r="I61" s="21"/>
      <c r="J61" s="20"/>
      <c r="K61" s="23"/>
      <c r="L61" s="23"/>
      <c r="M61" s="22">
        <f t="shared" si="3"/>
        <v>0</v>
      </c>
    </row>
    <row r="62" spans="1:13" ht="14.4" hidden="1" customHeight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2"/>
        <v>0</v>
      </c>
      <c r="I62" s="21"/>
      <c r="J62" s="20"/>
      <c r="K62" s="23"/>
      <c r="L62" s="23"/>
      <c r="M62" s="22">
        <f t="shared" si="3"/>
        <v>0</v>
      </c>
    </row>
    <row r="63" spans="1:13" ht="14.4" hidden="1" customHeight="1">
      <c r="A63" s="232"/>
      <c r="B63" s="233"/>
      <c r="C63" s="233"/>
      <c r="D63" s="233"/>
      <c r="E63" s="20" t="s">
        <v>13</v>
      </c>
      <c r="F63" s="20"/>
      <c r="G63" s="20">
        <v>10</v>
      </c>
      <c r="H63" s="21">
        <f t="shared" si="2"/>
        <v>0</v>
      </c>
      <c r="I63" s="21"/>
      <c r="J63" s="20"/>
      <c r="K63" s="23"/>
      <c r="L63" s="23"/>
      <c r="M63" s="22">
        <f t="shared" si="3"/>
        <v>0</v>
      </c>
    </row>
    <row r="64" spans="1:13" ht="14.4" hidden="1" customHeight="1">
      <c r="A64" s="267" t="s">
        <v>59</v>
      </c>
      <c r="B64" s="267"/>
      <c r="C64" s="267"/>
      <c r="D64" s="267"/>
      <c r="E64" s="20"/>
      <c r="F64" s="20"/>
      <c r="G64" s="20"/>
      <c r="H64" s="24"/>
      <c r="I64" s="24"/>
      <c r="J64" s="20"/>
      <c r="K64" s="23"/>
      <c r="L64" s="23"/>
      <c r="M64" s="23">
        <f t="shared" si="3"/>
        <v>0</v>
      </c>
    </row>
    <row r="65" spans="1:13" ht="14.4" hidden="1" customHeight="1">
      <c r="A65" s="268" t="s">
        <v>14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70"/>
      <c r="L65" s="172"/>
      <c r="M65" s="23">
        <f>M64+M48+M47+M46</f>
        <v>96840</v>
      </c>
    </row>
    <row r="66" spans="1:13" ht="9" hidden="1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ht="18" customHeight="1">
      <c r="A67" s="230" t="s">
        <v>88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</row>
    <row r="68" spans="1:13" ht="55.8">
      <c r="A68" s="231" t="s">
        <v>17</v>
      </c>
      <c r="B68" s="231"/>
      <c r="C68" s="231"/>
      <c r="D68" s="231"/>
      <c r="E68" s="9" t="s">
        <v>79</v>
      </c>
      <c r="F68" s="25" t="s">
        <v>55</v>
      </c>
      <c r="G68" s="9" t="s">
        <v>42</v>
      </c>
      <c r="H68" s="9" t="s">
        <v>48</v>
      </c>
      <c r="I68" s="9" t="s">
        <v>63</v>
      </c>
      <c r="J68" s="9" t="s">
        <v>69</v>
      </c>
      <c r="K68" s="11"/>
      <c r="L68" s="11"/>
      <c r="M68" s="11"/>
    </row>
    <row r="69" spans="1:13">
      <c r="A69" s="271">
        <v>1</v>
      </c>
      <c r="B69" s="272"/>
      <c r="C69" s="272"/>
      <c r="D69" s="272"/>
      <c r="E69" s="9">
        <v>2</v>
      </c>
      <c r="F69" s="9">
        <v>3</v>
      </c>
      <c r="G69" s="26">
        <v>4</v>
      </c>
      <c r="H69" s="26">
        <v>5</v>
      </c>
      <c r="I69" s="27">
        <v>6</v>
      </c>
      <c r="J69" s="27" t="s">
        <v>45</v>
      </c>
      <c r="K69" s="11"/>
      <c r="L69" s="11"/>
      <c r="M69" s="28"/>
    </row>
    <row r="70" spans="1:13" ht="18.75" customHeight="1">
      <c r="A70" s="220" t="s">
        <v>51</v>
      </c>
      <c r="B70" s="220"/>
      <c r="C70" s="220"/>
      <c r="D70" s="220"/>
      <c r="E70" s="30">
        <v>5</v>
      </c>
      <c r="F70" s="29">
        <v>12</v>
      </c>
      <c r="G70" s="38">
        <v>687.02</v>
      </c>
      <c r="H70" s="38">
        <f>45691.3*0.04116</f>
        <v>1880.6539080000002</v>
      </c>
      <c r="I70" s="46">
        <v>29</v>
      </c>
      <c r="J70" s="38">
        <f>H70/I70</f>
        <v>64.850134758620698</v>
      </c>
      <c r="K70" s="11"/>
      <c r="L70" s="11"/>
      <c r="M70" s="17"/>
    </row>
    <row r="71" spans="1:13" ht="15" thickBot="1">
      <c r="A71" s="220" t="s">
        <v>60</v>
      </c>
      <c r="B71" s="220"/>
      <c r="C71" s="220"/>
      <c r="D71" s="220"/>
      <c r="E71" s="30">
        <v>1</v>
      </c>
      <c r="F71" s="30">
        <v>12</v>
      </c>
      <c r="G71" s="38">
        <v>3743.23</v>
      </c>
      <c r="H71" s="38">
        <f>51915.36*0.04116</f>
        <v>2136.8362176000001</v>
      </c>
      <c r="I71" s="46">
        <v>29</v>
      </c>
      <c r="J71" s="38">
        <f>H71/I71</f>
        <v>73.684007503448271</v>
      </c>
      <c r="K71" s="11"/>
      <c r="L71" s="11"/>
      <c r="M71" s="11"/>
    </row>
    <row r="72" spans="1:13" ht="15" thickBot="1">
      <c r="A72" s="222" t="s">
        <v>25</v>
      </c>
      <c r="B72" s="223"/>
      <c r="C72" s="223"/>
      <c r="D72" s="223"/>
      <c r="E72" s="56"/>
      <c r="F72" s="56"/>
      <c r="G72" s="56"/>
      <c r="H72" s="73">
        <f>SUM(H70:H71)</f>
        <v>4017.4901256000003</v>
      </c>
      <c r="I72" s="49"/>
      <c r="J72" s="57">
        <f>SUM(J70:J71)</f>
        <v>138.53414226206897</v>
      </c>
      <c r="K72" s="11"/>
      <c r="L72" s="11"/>
      <c r="M72" s="11"/>
    </row>
    <row r="73" spans="1:13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ht="30" customHeight="1">
      <c r="A74" s="230" t="s">
        <v>16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</row>
    <row r="75" spans="1:13" ht="55.8">
      <c r="A75" s="231" t="s">
        <v>17</v>
      </c>
      <c r="B75" s="231"/>
      <c r="C75" s="231"/>
      <c r="D75" s="231"/>
      <c r="E75" s="9" t="s">
        <v>7</v>
      </c>
      <c r="F75" s="25" t="s">
        <v>55</v>
      </c>
      <c r="G75" s="9" t="s">
        <v>42</v>
      </c>
      <c r="H75" s="9" t="s">
        <v>48</v>
      </c>
      <c r="I75" s="9" t="s">
        <v>63</v>
      </c>
      <c r="J75" s="9" t="s">
        <v>69</v>
      </c>
      <c r="K75" s="11"/>
      <c r="L75" s="11"/>
      <c r="M75" s="11"/>
    </row>
    <row r="76" spans="1:13">
      <c r="A76" s="271">
        <v>1</v>
      </c>
      <c r="B76" s="272"/>
      <c r="C76" s="272"/>
      <c r="D76" s="272"/>
      <c r="E76" s="9">
        <v>2</v>
      </c>
      <c r="F76" s="9">
        <v>3</v>
      </c>
      <c r="G76" s="26">
        <v>4</v>
      </c>
      <c r="H76" s="26">
        <v>5</v>
      </c>
      <c r="I76" s="27">
        <v>6</v>
      </c>
      <c r="J76" s="27" t="s">
        <v>45</v>
      </c>
      <c r="K76" s="11"/>
      <c r="L76" s="11"/>
      <c r="M76" s="28"/>
    </row>
    <row r="77" spans="1:13" ht="18.75" customHeight="1">
      <c r="A77" s="220" t="s">
        <v>19</v>
      </c>
      <c r="B77" s="220"/>
      <c r="C77" s="220"/>
      <c r="D77" s="220"/>
      <c r="E77" s="30" t="s">
        <v>22</v>
      </c>
      <c r="F77" s="29">
        <v>200200</v>
      </c>
      <c r="G77" s="38">
        <v>6.62</v>
      </c>
      <c r="H77" s="38">
        <f>934862.1*0.04116</f>
        <v>38478.924036000004</v>
      </c>
      <c r="I77" s="46">
        <v>29</v>
      </c>
      <c r="J77" s="38">
        <f>H77/I77</f>
        <v>1326.8594495172415</v>
      </c>
      <c r="K77" s="11"/>
      <c r="L77" s="11"/>
      <c r="M77" s="17"/>
    </row>
    <row r="78" spans="1:13">
      <c r="A78" s="220" t="s">
        <v>20</v>
      </c>
      <c r="B78" s="220"/>
      <c r="C78" s="220"/>
      <c r="D78" s="220"/>
      <c r="E78" s="30" t="s">
        <v>23</v>
      </c>
      <c r="F78" s="30">
        <v>1620</v>
      </c>
      <c r="G78" s="38">
        <v>1618.59</v>
      </c>
      <c r="H78" s="38">
        <f>1320356.53*0.04116</f>
        <v>54345.874774800002</v>
      </c>
      <c r="I78" s="46">
        <v>29</v>
      </c>
      <c r="J78" s="38">
        <f>H78/I78</f>
        <v>1873.9956818896553</v>
      </c>
      <c r="K78" s="11"/>
      <c r="L78" s="11"/>
      <c r="M78" s="11"/>
    </row>
    <row r="79" spans="1:13">
      <c r="A79" s="220" t="s">
        <v>49</v>
      </c>
      <c r="B79" s="220"/>
      <c r="C79" s="220"/>
      <c r="D79" s="220"/>
      <c r="E79" s="30" t="s">
        <v>24</v>
      </c>
      <c r="F79" s="30">
        <v>5000</v>
      </c>
      <c r="G79" s="38">
        <v>39.22</v>
      </c>
      <c r="H79" s="38">
        <f>156878.18*0.04116</f>
        <v>6457.1058887999998</v>
      </c>
      <c r="I79" s="46">
        <v>29</v>
      </c>
      <c r="J79" s="38">
        <f>H79/I79</f>
        <v>222.65882375172413</v>
      </c>
      <c r="K79" s="11"/>
      <c r="L79" s="11"/>
      <c r="M79" s="11"/>
    </row>
    <row r="80" spans="1:13" ht="15" thickBot="1">
      <c r="A80" s="221" t="s">
        <v>21</v>
      </c>
      <c r="B80" s="221"/>
      <c r="C80" s="221"/>
      <c r="D80" s="221"/>
      <c r="E80" s="55" t="s">
        <v>24</v>
      </c>
      <c r="F80" s="30">
        <v>5500</v>
      </c>
      <c r="G80" s="48">
        <v>53.32</v>
      </c>
      <c r="H80" s="48">
        <f>191740.01*0.04116</f>
        <v>7892.0188116000008</v>
      </c>
      <c r="I80" s="46">
        <v>29</v>
      </c>
      <c r="J80" s="48">
        <f>H80/I80</f>
        <v>272.13857971034486</v>
      </c>
      <c r="K80" s="11"/>
      <c r="L80" s="11"/>
      <c r="M80" s="11"/>
    </row>
    <row r="81" spans="1:15" ht="15" thickBot="1">
      <c r="A81" s="222" t="s">
        <v>25</v>
      </c>
      <c r="B81" s="223"/>
      <c r="C81" s="223"/>
      <c r="D81" s="223"/>
      <c r="E81" s="56"/>
      <c r="F81" s="56"/>
      <c r="G81" s="56"/>
      <c r="H81" s="73">
        <f>SUM(H77:H80)</f>
        <v>107173.92351120002</v>
      </c>
      <c r="I81" s="49"/>
      <c r="J81" s="57">
        <f>SUM(J77:J80)</f>
        <v>3695.6525348689656</v>
      </c>
      <c r="K81" s="11"/>
      <c r="L81" s="11"/>
      <c r="M81" s="11"/>
    </row>
    <row r="82" spans="1:15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11"/>
      <c r="L82" s="11"/>
      <c r="M82" s="11"/>
    </row>
    <row r="83" spans="1:15" ht="16.5" customHeight="1">
      <c r="A83" s="230" t="s">
        <v>26</v>
      </c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</row>
    <row r="84" spans="1:15" ht="42">
      <c r="A84" s="281" t="s">
        <v>28</v>
      </c>
      <c r="B84" s="281"/>
      <c r="C84" s="281"/>
      <c r="D84" s="281"/>
      <c r="E84" s="26" t="s">
        <v>7</v>
      </c>
      <c r="F84" s="26" t="s">
        <v>18</v>
      </c>
      <c r="G84" s="9" t="s">
        <v>48</v>
      </c>
      <c r="H84" s="9" t="s">
        <v>76</v>
      </c>
      <c r="I84" s="9" t="s">
        <v>69</v>
      </c>
      <c r="J84" s="11"/>
      <c r="K84" s="177"/>
      <c r="L84" s="177"/>
      <c r="M84" s="178"/>
      <c r="N84" s="179"/>
    </row>
    <row r="85" spans="1:15">
      <c r="A85" s="245" t="s">
        <v>115</v>
      </c>
      <c r="B85" s="246"/>
      <c r="C85" s="246"/>
      <c r="D85" s="247"/>
      <c r="E85" s="52" t="s">
        <v>27</v>
      </c>
      <c r="F85" s="26">
        <v>1</v>
      </c>
      <c r="G85" s="102">
        <f>(38400+27924.16)*0.04116</f>
        <v>2729.9024256000002</v>
      </c>
      <c r="H85" s="46">
        <v>29</v>
      </c>
      <c r="I85" s="102">
        <f>G85/H85</f>
        <v>94.134566400000011</v>
      </c>
      <c r="J85" s="11"/>
      <c r="K85" s="185"/>
      <c r="L85" s="185"/>
      <c r="M85" s="186"/>
      <c r="N85" s="179"/>
      <c r="O85" s="1"/>
    </row>
    <row r="86" spans="1:15" ht="15" customHeight="1">
      <c r="A86" s="245" t="s">
        <v>116</v>
      </c>
      <c r="B86" s="246"/>
      <c r="C86" s="246"/>
      <c r="D86" s="247"/>
      <c r="E86" s="52" t="s">
        <v>27</v>
      </c>
      <c r="F86" s="52">
        <v>1</v>
      </c>
      <c r="G86" s="82">
        <f>157335.63*0.04116</f>
        <v>6475.9345308000002</v>
      </c>
      <c r="H86" s="46">
        <v>29</v>
      </c>
      <c r="I86" s="102">
        <f>G86/H86</f>
        <v>223.30808726896552</v>
      </c>
      <c r="J86" s="11"/>
      <c r="K86" s="185"/>
      <c r="L86" s="185"/>
      <c r="M86" s="186"/>
      <c r="N86" s="179"/>
    </row>
    <row r="87" spans="1:15" ht="15" customHeight="1">
      <c r="A87" s="245" t="s">
        <v>117</v>
      </c>
      <c r="B87" s="246"/>
      <c r="C87" s="246"/>
      <c r="D87" s="247"/>
      <c r="E87" s="52" t="s">
        <v>27</v>
      </c>
      <c r="F87" s="52">
        <v>1</v>
      </c>
      <c r="G87" s="82">
        <f>118800*0.04116</f>
        <v>4889.808</v>
      </c>
      <c r="H87" s="46">
        <v>29</v>
      </c>
      <c r="I87" s="102">
        <f t="shared" ref="I87:I95" si="4">G87/H87</f>
        <v>168.61406896551725</v>
      </c>
      <c r="J87" s="11"/>
      <c r="K87" s="185"/>
      <c r="L87" s="185"/>
      <c r="M87" s="186"/>
      <c r="N87" s="179"/>
    </row>
    <row r="88" spans="1:15" ht="15" customHeight="1">
      <c r="A88" s="245" t="s">
        <v>118</v>
      </c>
      <c r="B88" s="246"/>
      <c r="C88" s="246"/>
      <c r="D88" s="247"/>
      <c r="E88" s="52" t="s">
        <v>27</v>
      </c>
      <c r="F88" s="52">
        <v>1</v>
      </c>
      <c r="G88" s="82">
        <f>9600*0.04116</f>
        <v>395.13600000000002</v>
      </c>
      <c r="H88" s="46">
        <v>29</v>
      </c>
      <c r="I88" s="102">
        <f t="shared" si="4"/>
        <v>13.625379310344828</v>
      </c>
      <c r="J88" s="11"/>
      <c r="K88" s="185"/>
      <c r="L88" s="185"/>
      <c r="M88" s="186"/>
      <c r="N88" s="179"/>
    </row>
    <row r="89" spans="1:15" ht="15" customHeight="1">
      <c r="A89" s="245" t="s">
        <v>176</v>
      </c>
      <c r="B89" s="246"/>
      <c r="C89" s="246"/>
      <c r="D89" s="247"/>
      <c r="E89" s="52" t="s">
        <v>27</v>
      </c>
      <c r="F89" s="52">
        <v>1</v>
      </c>
      <c r="G89" s="82">
        <f>2000*0.04116</f>
        <v>82.320000000000007</v>
      </c>
      <c r="H89" s="46">
        <v>29</v>
      </c>
      <c r="I89" s="102">
        <f>G89/H89</f>
        <v>2.8386206896551727</v>
      </c>
      <c r="J89" s="11"/>
      <c r="K89" s="177"/>
      <c r="L89" s="177"/>
      <c r="M89" s="186"/>
      <c r="N89" s="179"/>
    </row>
    <row r="90" spans="1:15" ht="15" customHeight="1">
      <c r="A90" s="245" t="s">
        <v>75</v>
      </c>
      <c r="B90" s="246"/>
      <c r="C90" s="246"/>
      <c r="D90" s="247"/>
      <c r="E90" s="52" t="s">
        <v>27</v>
      </c>
      <c r="F90" s="52">
        <v>1</v>
      </c>
      <c r="G90" s="82">
        <f>(3300+7434)*0.04116</f>
        <v>441.81144</v>
      </c>
      <c r="H90" s="46">
        <v>29</v>
      </c>
      <c r="I90" s="102">
        <f t="shared" si="4"/>
        <v>15.23487724137931</v>
      </c>
      <c r="J90" s="11"/>
      <c r="K90" s="177"/>
      <c r="L90" s="177"/>
      <c r="M90" s="178"/>
      <c r="N90" s="179"/>
    </row>
    <row r="91" spans="1:15" ht="15" customHeight="1">
      <c r="A91" s="274" t="s">
        <v>119</v>
      </c>
      <c r="B91" s="275"/>
      <c r="C91" s="275"/>
      <c r="D91" s="276"/>
      <c r="E91" s="52" t="s">
        <v>27</v>
      </c>
      <c r="F91" s="52">
        <v>1</v>
      </c>
      <c r="G91" s="38">
        <f>32500*0.04116</f>
        <v>1337.7</v>
      </c>
      <c r="H91" s="46">
        <v>29</v>
      </c>
      <c r="I91" s="102">
        <f t="shared" si="4"/>
        <v>46.127586206896552</v>
      </c>
      <c r="J91" s="11"/>
      <c r="K91" s="177"/>
      <c r="L91" s="177"/>
      <c r="M91" s="178"/>
      <c r="N91" s="179"/>
    </row>
    <row r="92" spans="1:15" ht="28.5" customHeight="1">
      <c r="A92" s="245" t="s">
        <v>120</v>
      </c>
      <c r="B92" s="246"/>
      <c r="C92" s="246"/>
      <c r="D92" s="247"/>
      <c r="E92" s="52" t="s">
        <v>27</v>
      </c>
      <c r="F92" s="52">
        <v>1</v>
      </c>
      <c r="G92" s="70">
        <f>52300*0.04116</f>
        <v>2152.6680000000001</v>
      </c>
      <c r="H92" s="46">
        <v>29</v>
      </c>
      <c r="I92" s="102">
        <f t="shared" si="4"/>
        <v>74.22993103448276</v>
      </c>
      <c r="J92" s="11"/>
      <c r="K92" s="177"/>
      <c r="L92" s="177"/>
      <c r="M92" s="178"/>
      <c r="N92" s="187"/>
    </row>
    <row r="93" spans="1:15" ht="16.5" customHeight="1">
      <c r="A93" s="80" t="s">
        <v>121</v>
      </c>
      <c r="B93" s="81"/>
      <c r="C93" s="81"/>
      <c r="D93" s="81"/>
      <c r="E93" s="52" t="s">
        <v>27</v>
      </c>
      <c r="F93" s="52">
        <v>1</v>
      </c>
      <c r="G93" s="38">
        <f>13200*0.04116</f>
        <v>543.31200000000001</v>
      </c>
      <c r="H93" s="46">
        <v>29</v>
      </c>
      <c r="I93" s="102">
        <f t="shared" si="4"/>
        <v>18.734896551724137</v>
      </c>
      <c r="J93" s="11"/>
      <c r="K93" s="177"/>
      <c r="L93" s="177"/>
      <c r="M93" s="178"/>
      <c r="N93" s="179"/>
    </row>
    <row r="94" spans="1:15" ht="15" customHeight="1">
      <c r="A94" s="274" t="s">
        <v>123</v>
      </c>
      <c r="B94" s="275"/>
      <c r="C94" s="275"/>
      <c r="D94" s="276"/>
      <c r="E94" s="52" t="s">
        <v>27</v>
      </c>
      <c r="F94" s="52">
        <v>1</v>
      </c>
      <c r="G94" s="48">
        <f>24000*0.04116</f>
        <v>987.84</v>
      </c>
      <c r="H94" s="46">
        <v>29</v>
      </c>
      <c r="I94" s="102">
        <f t="shared" si="4"/>
        <v>34.063448275862072</v>
      </c>
      <c r="J94" s="11"/>
      <c r="K94" s="177"/>
      <c r="L94" s="177"/>
      <c r="M94" s="178"/>
      <c r="N94" s="179"/>
    </row>
    <row r="95" spans="1:15" s="1" customFormat="1" ht="15" customHeight="1" thickBot="1">
      <c r="A95" s="274" t="s">
        <v>175</v>
      </c>
      <c r="B95" s="275"/>
      <c r="C95" s="275"/>
      <c r="D95" s="276"/>
      <c r="E95" s="52" t="s">
        <v>27</v>
      </c>
      <c r="F95" s="52">
        <v>1</v>
      </c>
      <c r="G95" s="48">
        <f>24000*0.04116</f>
        <v>987.84</v>
      </c>
      <c r="H95" s="46">
        <v>29</v>
      </c>
      <c r="I95" s="102">
        <f t="shared" si="4"/>
        <v>34.063448275862072</v>
      </c>
      <c r="J95" s="13"/>
      <c r="K95" s="42"/>
      <c r="L95" s="42"/>
      <c r="M95" s="180"/>
      <c r="N95" s="179"/>
      <c r="O95"/>
    </row>
    <row r="96" spans="1:15" ht="15" customHeight="1" thickBot="1">
      <c r="A96" s="174" t="s">
        <v>54</v>
      </c>
      <c r="B96" s="175"/>
      <c r="C96" s="175"/>
      <c r="D96" s="175"/>
      <c r="E96" s="175"/>
      <c r="F96" s="175"/>
      <c r="G96" s="181">
        <f>SUM(G85:G95)</f>
        <v>21024.272396400003</v>
      </c>
      <c r="H96" s="183"/>
      <c r="I96" s="182">
        <f>SUM(I85:I95)</f>
        <v>724.97491022068971</v>
      </c>
      <c r="K96" s="188"/>
      <c r="L96" s="17"/>
      <c r="M96" s="17"/>
      <c r="N96" s="179"/>
    </row>
    <row r="97" spans="1:32" ht="15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32" ht="15" customHeight="1">
      <c r="A98" s="230" t="s">
        <v>50</v>
      </c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</row>
    <row r="99" spans="1:32" ht="42">
      <c r="A99" s="214" t="s">
        <v>28</v>
      </c>
      <c r="B99" s="215"/>
      <c r="C99" s="215"/>
      <c r="D99" s="215"/>
      <c r="E99" s="26" t="s">
        <v>7</v>
      </c>
      <c r="F99" s="9" t="s">
        <v>56</v>
      </c>
      <c r="G99" s="9" t="s">
        <v>48</v>
      </c>
      <c r="H99" s="9" t="s">
        <v>76</v>
      </c>
      <c r="I99" s="9" t="s">
        <v>69</v>
      </c>
      <c r="J99" s="11"/>
      <c r="K99" s="11"/>
      <c r="L99" s="11"/>
      <c r="M99" s="11"/>
      <c r="AB99" s="179"/>
      <c r="AC99" s="179"/>
      <c r="AD99" s="179"/>
      <c r="AE99" s="179"/>
      <c r="AF99" s="179"/>
    </row>
    <row r="100" spans="1:32" ht="43.8" customHeight="1">
      <c r="A100" s="212" t="s">
        <v>126</v>
      </c>
      <c r="B100" s="213"/>
      <c r="C100" s="213"/>
      <c r="D100" s="213"/>
      <c r="E100" s="52" t="s">
        <v>27</v>
      </c>
      <c r="F100" s="52">
        <v>1</v>
      </c>
      <c r="G100" s="82">
        <f>2547.27*0.04116</f>
        <v>104.84563320000001</v>
      </c>
      <c r="H100" s="46">
        <v>29</v>
      </c>
      <c r="I100" s="103">
        <f>G100/H100</f>
        <v>3.6153666620689657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15" customHeight="1">
      <c r="A101" s="212" t="s">
        <v>127</v>
      </c>
      <c r="B101" s="213"/>
      <c r="C101" s="213"/>
      <c r="D101" s="213"/>
      <c r="E101" s="52" t="s">
        <v>27</v>
      </c>
      <c r="F101" s="52">
        <v>1</v>
      </c>
      <c r="G101" s="82">
        <f>36480*0.04116</f>
        <v>1501.5168000000001</v>
      </c>
      <c r="H101" s="46">
        <v>29</v>
      </c>
      <c r="I101" s="103">
        <f t="shared" ref="I101" si="5">G101/H101</f>
        <v>51.776441379310349</v>
      </c>
      <c r="J101" s="11"/>
      <c r="K101" s="186"/>
      <c r="L101" s="178"/>
      <c r="M101" s="186"/>
      <c r="N101" s="192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128</v>
      </c>
      <c r="B102" s="213"/>
      <c r="C102" s="213"/>
      <c r="D102" s="213"/>
      <c r="E102" s="52" t="s">
        <v>27</v>
      </c>
      <c r="F102" s="52">
        <v>1</v>
      </c>
      <c r="G102" s="82">
        <f>(128994.21+85586)*0.04116</f>
        <v>8832.1214436000009</v>
      </c>
      <c r="H102" s="46">
        <v>29</v>
      </c>
      <c r="I102" s="103">
        <f>G102/H102</f>
        <v>304.55591184827591</v>
      </c>
      <c r="J102" s="11"/>
      <c r="K102" s="186"/>
      <c r="L102" s="178"/>
      <c r="M102" s="186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184</v>
      </c>
      <c r="B103" s="213"/>
      <c r="C103" s="213"/>
      <c r="D103" s="219"/>
      <c r="E103" s="52" t="s">
        <v>27</v>
      </c>
      <c r="F103" s="52">
        <v>1</v>
      </c>
      <c r="G103" s="82">
        <f>3000*0.04116</f>
        <v>123.48</v>
      </c>
      <c r="H103" s="46">
        <v>29</v>
      </c>
      <c r="I103" s="103">
        <f t="shared" ref="I103:I114" si="6">G103/H103</f>
        <v>4.257931034482759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185</v>
      </c>
      <c r="B104" s="213"/>
      <c r="C104" s="213"/>
      <c r="D104" s="219"/>
      <c r="E104" s="52" t="s">
        <v>27</v>
      </c>
      <c r="F104" s="52">
        <v>1</v>
      </c>
      <c r="G104" s="82">
        <f>(24000+37400)*0.04116</f>
        <v>2527.2240000000002</v>
      </c>
      <c r="H104" s="46">
        <v>29</v>
      </c>
      <c r="I104" s="103">
        <f t="shared" si="6"/>
        <v>87.145655172413797</v>
      </c>
      <c r="J104" s="11"/>
      <c r="K104" s="178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28.8" customHeight="1">
      <c r="A105" s="212" t="s">
        <v>182</v>
      </c>
      <c r="B105" s="213"/>
      <c r="C105" s="213"/>
      <c r="D105" s="219"/>
      <c r="E105" s="52" t="s">
        <v>27</v>
      </c>
      <c r="F105" s="52">
        <v>1</v>
      </c>
      <c r="G105" s="82">
        <f>19350*0.04116</f>
        <v>796.44600000000003</v>
      </c>
      <c r="H105" s="46">
        <v>29</v>
      </c>
      <c r="I105" s="103">
        <f t="shared" si="6"/>
        <v>27.463655172413795</v>
      </c>
      <c r="J105" s="11"/>
      <c r="K105" s="186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 ht="42.6" customHeight="1">
      <c r="A106" s="212" t="s">
        <v>177</v>
      </c>
      <c r="B106" s="213"/>
      <c r="C106" s="213"/>
      <c r="D106" s="213"/>
      <c r="E106" s="52" t="s">
        <v>27</v>
      </c>
      <c r="F106" s="52">
        <v>1</v>
      </c>
      <c r="G106" s="70">
        <f>14328.44*0.04116</f>
        <v>589.7585904</v>
      </c>
      <c r="H106" s="46">
        <v>29</v>
      </c>
      <c r="I106" s="103">
        <f t="shared" si="6"/>
        <v>20.336503117241378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130</v>
      </c>
      <c r="B107" s="213"/>
      <c r="C107" s="213"/>
      <c r="D107" s="213"/>
      <c r="E107" s="52" t="s">
        <v>27</v>
      </c>
      <c r="F107" s="52">
        <v>1</v>
      </c>
      <c r="G107" s="82">
        <f>(113262.84+4600)*0.04116</f>
        <v>4851.2344943999997</v>
      </c>
      <c r="H107" s="46">
        <v>29</v>
      </c>
      <c r="I107" s="103">
        <f t="shared" si="6"/>
        <v>167.2839480827586</v>
      </c>
      <c r="J107" s="11"/>
      <c r="K107" s="178"/>
      <c r="L107" s="178"/>
      <c r="M107" s="178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79"/>
    </row>
    <row r="108" spans="1:32">
      <c r="A108" s="212" t="s">
        <v>178</v>
      </c>
      <c r="B108" s="213"/>
      <c r="C108" s="213"/>
      <c r="D108" s="219"/>
      <c r="E108" s="52" t="s">
        <v>27</v>
      </c>
      <c r="F108" s="52">
        <v>1</v>
      </c>
      <c r="G108" s="82">
        <f>41300*0.04116</f>
        <v>1699.9080000000001</v>
      </c>
      <c r="H108" s="46">
        <v>29</v>
      </c>
      <c r="I108" s="103">
        <f t="shared" si="6"/>
        <v>58.617517241379318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12" t="s">
        <v>183</v>
      </c>
      <c r="B109" s="213"/>
      <c r="C109" s="213"/>
      <c r="D109" s="219"/>
      <c r="E109" s="52" t="s">
        <v>27</v>
      </c>
      <c r="F109" s="52">
        <v>1</v>
      </c>
      <c r="G109" s="82">
        <f>7000*0.04116</f>
        <v>288.12</v>
      </c>
      <c r="H109" s="46">
        <v>29</v>
      </c>
      <c r="I109" s="103">
        <f t="shared" si="6"/>
        <v>9.9351724137931043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179</v>
      </c>
      <c r="B110" s="295"/>
      <c r="C110" s="295"/>
      <c r="D110" s="296"/>
      <c r="E110" s="52" t="s">
        <v>27</v>
      </c>
      <c r="F110" s="52">
        <v>1</v>
      </c>
      <c r="G110" s="82">
        <f>23130*0.04116</f>
        <v>952.0308</v>
      </c>
      <c r="H110" s="46">
        <v>29</v>
      </c>
      <c r="I110" s="103">
        <f t="shared" si="6"/>
        <v>32.828648275862072</v>
      </c>
      <c r="J110" s="11"/>
      <c r="K110" s="190"/>
      <c r="L110" s="190"/>
      <c r="M110" s="191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9"/>
    </row>
    <row r="111" spans="1:32">
      <c r="A111" s="294" t="s">
        <v>180</v>
      </c>
      <c r="B111" s="295"/>
      <c r="C111" s="295"/>
      <c r="D111" s="296"/>
      <c r="E111" s="52" t="s">
        <v>27</v>
      </c>
      <c r="F111" s="52">
        <v>1</v>
      </c>
      <c r="G111" s="82">
        <f>21956*0.04116</f>
        <v>903.70896000000005</v>
      </c>
      <c r="H111" s="46">
        <v>29</v>
      </c>
      <c r="I111" s="103">
        <f t="shared" si="6"/>
        <v>31.162377931034484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>
      <c r="A112" s="294" t="s">
        <v>181</v>
      </c>
      <c r="B112" s="295"/>
      <c r="C112" s="295"/>
      <c r="D112" s="296"/>
      <c r="E112" s="52" t="s">
        <v>27</v>
      </c>
      <c r="F112" s="52">
        <v>1</v>
      </c>
      <c r="G112" s="82">
        <f>195935.38*0.04116</f>
        <v>8064.7002408000008</v>
      </c>
      <c r="H112" s="46">
        <v>29</v>
      </c>
      <c r="I112" s="103">
        <f t="shared" si="6"/>
        <v>278.09311175172417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18" customHeight="1">
      <c r="A113" s="212" t="s">
        <v>131</v>
      </c>
      <c r="B113" s="213"/>
      <c r="C113" s="213"/>
      <c r="D113" s="213"/>
      <c r="E113" s="52" t="s">
        <v>27</v>
      </c>
      <c r="F113" s="52">
        <v>1</v>
      </c>
      <c r="G113" s="70">
        <f>11196.7*0.04116</f>
        <v>460.85617200000007</v>
      </c>
      <c r="H113" s="46">
        <v>29</v>
      </c>
      <c r="I113" s="103">
        <f t="shared" si="6"/>
        <v>15.891592137931037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46.2" customHeight="1" thickBot="1">
      <c r="A114" s="212" t="s">
        <v>132</v>
      </c>
      <c r="B114" s="213"/>
      <c r="C114" s="213"/>
      <c r="D114" s="213"/>
      <c r="E114" s="52" t="s">
        <v>27</v>
      </c>
      <c r="F114" s="52">
        <v>1</v>
      </c>
      <c r="G114" s="70">
        <f>22460*0.04116</f>
        <v>924.45360000000005</v>
      </c>
      <c r="H114" s="46">
        <v>29</v>
      </c>
      <c r="I114" s="103">
        <f t="shared" si="6"/>
        <v>31.877710344827587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ht="20.25" customHeight="1" thickBot="1">
      <c r="A115" s="217" t="s">
        <v>53</v>
      </c>
      <c r="B115" s="218"/>
      <c r="C115" s="218"/>
      <c r="D115" s="218"/>
      <c r="E115" s="99"/>
      <c r="F115" s="51"/>
      <c r="G115" s="73">
        <f>SUM(G100:G114)</f>
        <v>32620.404734399999</v>
      </c>
      <c r="H115" s="47"/>
      <c r="I115" s="33">
        <f>SUM(I100:I114)</f>
        <v>1124.8415425655173</v>
      </c>
      <c r="J115" s="11"/>
      <c r="K115" s="190"/>
      <c r="L115" s="190"/>
      <c r="M115" s="191"/>
      <c r="N115" s="179"/>
      <c r="AB115" s="179"/>
      <c r="AC115" s="179"/>
      <c r="AD115" s="179"/>
      <c r="AE115" s="179"/>
      <c r="AF115" s="179"/>
    </row>
    <row r="116" spans="1:32" s="86" customFormat="1" ht="20.25" customHeight="1">
      <c r="A116" s="87"/>
      <c r="B116" s="87"/>
      <c r="C116" s="87"/>
      <c r="D116" s="87"/>
      <c r="E116" s="87"/>
      <c r="F116" s="87"/>
      <c r="G116" s="87"/>
      <c r="H116" s="87"/>
      <c r="I116" s="83"/>
      <c r="J116" s="84"/>
      <c r="K116" s="85"/>
      <c r="L116" s="85"/>
      <c r="M116" s="88"/>
      <c r="N116"/>
      <c r="O116"/>
      <c r="P116"/>
      <c r="Q116"/>
      <c r="R116"/>
    </row>
    <row r="117" spans="1:32" ht="15" customHeight="1">
      <c r="A117" s="230" t="s">
        <v>89</v>
      </c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</row>
    <row r="118" spans="1:32" ht="42">
      <c r="A118" s="214" t="s">
        <v>28</v>
      </c>
      <c r="B118" s="215"/>
      <c r="C118" s="215"/>
      <c r="D118" s="215"/>
      <c r="E118" s="9" t="s">
        <v>77</v>
      </c>
      <c r="F118" s="9" t="s">
        <v>48</v>
      </c>
      <c r="G118" s="9" t="s">
        <v>76</v>
      </c>
      <c r="H118" s="9" t="s">
        <v>69</v>
      </c>
      <c r="I118" s="11"/>
      <c r="J118" s="11"/>
      <c r="K118" s="11"/>
      <c r="L118" s="11"/>
    </row>
    <row r="119" spans="1:32">
      <c r="A119" s="212" t="s">
        <v>80</v>
      </c>
      <c r="B119" s="213"/>
      <c r="C119" s="213"/>
      <c r="D119" s="213"/>
      <c r="E119" s="52" t="s">
        <v>27</v>
      </c>
      <c r="F119" s="82">
        <f>(1226746.52+13932+69179+41668.5-163.49)*0.04116</f>
        <v>55622.081734800006</v>
      </c>
      <c r="G119" s="46">
        <v>29</v>
      </c>
      <c r="H119" s="103">
        <f t="shared" ref="H119:H126" si="7">F119/G119</f>
        <v>1918.0028184413795</v>
      </c>
      <c r="I119" s="11"/>
      <c r="J119" s="17"/>
      <c r="K119" s="17"/>
      <c r="L119" s="11"/>
    </row>
    <row r="120" spans="1:32">
      <c r="A120" s="212" t="s">
        <v>192</v>
      </c>
      <c r="B120" s="213"/>
      <c r="C120" s="213"/>
      <c r="D120" s="213"/>
      <c r="E120" s="52" t="s">
        <v>27</v>
      </c>
      <c r="F120" s="82">
        <f>99900*0.04116</f>
        <v>4111.884</v>
      </c>
      <c r="G120" s="46">
        <v>29</v>
      </c>
      <c r="H120" s="103">
        <f t="shared" si="7"/>
        <v>141.78910344827585</v>
      </c>
      <c r="I120" s="11"/>
      <c r="J120" s="17"/>
      <c r="K120" s="17"/>
      <c r="L120" s="11"/>
    </row>
    <row r="121" spans="1:32">
      <c r="A121" s="212" t="s">
        <v>191</v>
      </c>
      <c r="B121" s="213"/>
      <c r="C121" s="213"/>
      <c r="D121" s="213"/>
      <c r="E121" s="52" t="s">
        <v>27</v>
      </c>
      <c r="F121" s="189">
        <f>1773120.88*0.04116</f>
        <v>72981.655420800002</v>
      </c>
      <c r="G121" s="46">
        <v>29</v>
      </c>
      <c r="H121" s="103">
        <f t="shared" si="7"/>
        <v>2516.608807613793</v>
      </c>
      <c r="I121" s="191"/>
      <c r="J121" s="179"/>
    </row>
    <row r="122" spans="1:32">
      <c r="A122" s="212" t="s">
        <v>188</v>
      </c>
      <c r="B122" s="213"/>
      <c r="C122" s="213"/>
      <c r="D122" s="213"/>
      <c r="E122" s="52" t="s">
        <v>27</v>
      </c>
      <c r="F122" s="193">
        <f>29019.5*0.04116</f>
        <v>1194.44262</v>
      </c>
      <c r="G122" s="46">
        <v>29</v>
      </c>
      <c r="H122" s="103">
        <f t="shared" si="7"/>
        <v>41.187676551724138</v>
      </c>
      <c r="I122" s="191"/>
      <c r="J122" s="179"/>
    </row>
    <row r="123" spans="1:32">
      <c r="A123" s="212" t="s">
        <v>189</v>
      </c>
      <c r="B123" s="213"/>
      <c r="C123" s="213"/>
      <c r="D123" s="213"/>
      <c r="E123" s="52" t="s">
        <v>27</v>
      </c>
      <c r="F123" s="59">
        <f>780*0.04116</f>
        <v>32.104800000000004</v>
      </c>
      <c r="G123" s="46">
        <v>29</v>
      </c>
      <c r="H123" s="103">
        <f>F123/G123</f>
        <v>1.1070620689655173</v>
      </c>
      <c r="I123" s="191"/>
      <c r="J123" s="179"/>
    </row>
    <row r="124" spans="1:32">
      <c r="A124" s="212" t="s">
        <v>193</v>
      </c>
      <c r="B124" s="213"/>
      <c r="C124" s="213"/>
      <c r="D124" s="219"/>
      <c r="E124" s="52" t="s">
        <v>27</v>
      </c>
      <c r="F124" s="59">
        <f>78540*0.04116</f>
        <v>3232.7064</v>
      </c>
      <c r="G124" s="46">
        <v>29</v>
      </c>
      <c r="H124" s="103">
        <f>F124/G124</f>
        <v>111.47263448275862</v>
      </c>
      <c r="I124" s="191"/>
      <c r="J124" s="179"/>
    </row>
    <row r="125" spans="1:32">
      <c r="A125" s="212" t="s">
        <v>194</v>
      </c>
      <c r="B125" s="213"/>
      <c r="C125" s="213"/>
      <c r="D125" s="219"/>
      <c r="E125" s="52" t="s">
        <v>27</v>
      </c>
      <c r="F125" s="59">
        <f>(11720+10155)*0.04116</f>
        <v>900.375</v>
      </c>
      <c r="G125" s="46">
        <v>29</v>
      </c>
      <c r="H125" s="103">
        <f>F125/G125</f>
        <v>31.047413793103448</v>
      </c>
      <c r="I125" s="191"/>
      <c r="J125" s="179"/>
    </row>
    <row r="126" spans="1:32" ht="15" thickBot="1">
      <c r="A126" s="212" t="s">
        <v>190</v>
      </c>
      <c r="B126" s="213"/>
      <c r="C126" s="213"/>
      <c r="D126" s="213"/>
      <c r="E126" s="52" t="s">
        <v>27</v>
      </c>
      <c r="F126" s="38">
        <f>(97062.04+10891.11+3449.6)*0.04116</f>
        <v>4585.3371900000002</v>
      </c>
      <c r="G126" s="46">
        <v>29</v>
      </c>
      <c r="H126" s="103">
        <f t="shared" si="7"/>
        <v>158.11507551724139</v>
      </c>
      <c r="I126" s="191"/>
      <c r="J126" s="179"/>
    </row>
    <row r="127" spans="1:32" ht="20.25" customHeight="1" thickBot="1">
      <c r="A127" s="217" t="s">
        <v>53</v>
      </c>
      <c r="B127" s="218"/>
      <c r="C127" s="218"/>
      <c r="D127" s="218"/>
      <c r="E127" s="52" t="s">
        <v>27</v>
      </c>
      <c r="F127" s="194">
        <f>SUM(F119:F126)</f>
        <v>142660.58716559998</v>
      </c>
      <c r="G127" s="114"/>
      <c r="H127" s="195">
        <f>SUM(H119:H119)</f>
        <v>1918.0028184413795</v>
      </c>
      <c r="I127" s="11"/>
      <c r="J127" s="34"/>
      <c r="K127" s="11"/>
      <c r="L127" s="11"/>
    </row>
    <row r="128" spans="1:32" ht="12" customHeight="1">
      <c r="A128" s="89"/>
      <c r="B128" s="89"/>
      <c r="C128" s="89"/>
      <c r="D128" s="89"/>
      <c r="E128" s="90"/>
      <c r="F128" s="91"/>
      <c r="G128" s="92"/>
      <c r="H128" s="91"/>
      <c r="I128" s="93"/>
      <c r="J128" s="71"/>
      <c r="K128" s="94"/>
      <c r="L128" s="94"/>
      <c r="M128" s="50"/>
    </row>
    <row r="129" spans="1:13" ht="15.6">
      <c r="A129" s="273" t="s">
        <v>78</v>
      </c>
      <c r="B129" s="273"/>
      <c r="C129" s="273"/>
      <c r="D129" s="273"/>
      <c r="E129" s="273"/>
      <c r="F129" s="273"/>
      <c r="G129" s="273"/>
      <c r="H129" s="273"/>
      <c r="I129" s="273"/>
      <c r="J129" s="273"/>
      <c r="K129" s="273"/>
      <c r="L129" s="273"/>
      <c r="M129" s="273"/>
    </row>
    <row r="130" spans="1:13" ht="55.8">
      <c r="A130" s="231" t="s">
        <v>3</v>
      </c>
      <c r="B130" s="231"/>
      <c r="C130" s="231"/>
      <c r="D130" s="231"/>
      <c r="E130" s="9" t="s">
        <v>4</v>
      </c>
      <c r="F130" s="10" t="s">
        <v>0</v>
      </c>
      <c r="G130" s="35" t="s">
        <v>52</v>
      </c>
      <c r="H130" s="35" t="s">
        <v>44</v>
      </c>
      <c r="I130" s="9" t="s">
        <v>63</v>
      </c>
      <c r="J130" s="9" t="s">
        <v>69</v>
      </c>
      <c r="K130" s="9" t="s">
        <v>46</v>
      </c>
      <c r="L130" s="28"/>
      <c r="M130" s="28"/>
    </row>
    <row r="131" spans="1:13">
      <c r="A131" s="252">
        <v>1</v>
      </c>
      <c r="B131" s="253"/>
      <c r="C131" s="253"/>
      <c r="D131" s="253"/>
      <c r="E131" s="26">
        <v>2</v>
      </c>
      <c r="F131" s="12">
        <v>3</v>
      </c>
      <c r="G131" s="26">
        <v>4</v>
      </c>
      <c r="H131" s="26" t="s">
        <v>125</v>
      </c>
      <c r="I131" s="27">
        <v>6</v>
      </c>
      <c r="J131" s="36">
        <v>7</v>
      </c>
      <c r="K131" s="37">
        <v>8</v>
      </c>
      <c r="L131" s="153"/>
      <c r="M131" s="28"/>
    </row>
    <row r="132" spans="1:13" ht="33" customHeight="1" thickBot="1">
      <c r="A132" s="236" t="s">
        <v>66</v>
      </c>
      <c r="B132" s="236"/>
      <c r="C132" s="236"/>
      <c r="D132" s="236"/>
      <c r="E132" s="38">
        <f>10239022.09/12/13.75</f>
        <v>62054.679333333333</v>
      </c>
      <c r="F132" s="38">
        <f>13.75*0.04116</f>
        <v>0.56595000000000006</v>
      </c>
      <c r="G132" s="38">
        <f>(7736226.265+127846)*0.04116</f>
        <v>323685.21442740003</v>
      </c>
      <c r="H132" s="38">
        <f>(G132*1.302)</f>
        <v>421438.14918447484</v>
      </c>
      <c r="I132" s="46">
        <v>29</v>
      </c>
      <c r="J132" s="38">
        <f>H132/I132</f>
        <v>14532.349971878442</v>
      </c>
      <c r="K132" s="63">
        <f>H132/(8696900+23460820)*100</f>
        <v>1.3105349172281955</v>
      </c>
      <c r="L132" s="154"/>
      <c r="M132" s="16"/>
    </row>
    <row r="133" spans="1:13" ht="15" hidden="1" customHeight="1" thickBot="1">
      <c r="A133" s="262"/>
      <c r="B133" s="263"/>
      <c r="C133" s="263"/>
      <c r="D133" s="263"/>
      <c r="E133" s="38">
        <v>17865.98</v>
      </c>
      <c r="F133" s="64">
        <v>4</v>
      </c>
      <c r="G133" s="46"/>
      <c r="H133" s="39">
        <f>H6</f>
        <v>0</v>
      </c>
      <c r="I133" s="38" t="e">
        <f t="shared" ref="I133:I154" si="8">F133/G133*H133</f>
        <v>#DIV/0!</v>
      </c>
      <c r="J133" s="38">
        <f t="shared" ref="J133:J154" si="9">E133*F133*12*1.302</f>
        <v>1116552.28608</v>
      </c>
      <c r="K133" s="65" t="s">
        <v>38</v>
      </c>
      <c r="L133" s="155"/>
      <c r="M133" s="32" t="e">
        <f t="shared" ref="M133:M157" si="10">I133*J133</f>
        <v>#DIV/0!</v>
      </c>
    </row>
    <row r="134" spans="1:13" ht="15" hidden="1" customHeight="1" thickBot="1">
      <c r="A134" s="293"/>
      <c r="B134" s="293"/>
      <c r="C134" s="293"/>
      <c r="D134" s="293"/>
      <c r="E134" s="38">
        <v>9544</v>
      </c>
      <c r="F134" s="64">
        <v>1</v>
      </c>
      <c r="G134" s="46"/>
      <c r="H134" s="39">
        <f>H6</f>
        <v>0</v>
      </c>
      <c r="I134" s="38" t="e">
        <f t="shared" si="8"/>
        <v>#DIV/0!</v>
      </c>
      <c r="J134" s="38">
        <f t="shared" si="9"/>
        <v>149115.45600000001</v>
      </c>
      <c r="K134" s="39">
        <f>H134/11277167.39*100</f>
        <v>0</v>
      </c>
      <c r="L134" s="39"/>
      <c r="M134" s="15" t="e">
        <f t="shared" si="10"/>
        <v>#DIV/0!</v>
      </c>
    </row>
    <row r="135" spans="1:13" ht="15" hidden="1" customHeight="1" thickBot="1">
      <c r="A135" s="274"/>
      <c r="B135" s="275"/>
      <c r="C135" s="275"/>
      <c r="D135" s="275"/>
      <c r="E135" s="38">
        <v>11560</v>
      </c>
      <c r="F135" s="64">
        <v>1</v>
      </c>
      <c r="G135" s="46"/>
      <c r="H135" s="39">
        <f>H6</f>
        <v>0</v>
      </c>
      <c r="I135" s="38" t="e">
        <f t="shared" si="8"/>
        <v>#DIV/0!</v>
      </c>
      <c r="J135" s="38">
        <f t="shared" si="9"/>
        <v>180613.44</v>
      </c>
      <c r="K135" s="30"/>
      <c r="L135" s="30"/>
      <c r="M135" s="15" t="e">
        <f t="shared" si="10"/>
        <v>#DIV/0!</v>
      </c>
    </row>
    <row r="136" spans="1:13" ht="15" hidden="1" customHeight="1" thickBot="1">
      <c r="A136" s="236"/>
      <c r="B136" s="236"/>
      <c r="C136" s="236"/>
      <c r="D136" s="236"/>
      <c r="E136" s="38">
        <v>9544</v>
      </c>
      <c r="F136" s="66">
        <v>0.5</v>
      </c>
      <c r="G136" s="46"/>
      <c r="H136" s="39">
        <f>H6</f>
        <v>0</v>
      </c>
      <c r="I136" s="38" t="e">
        <f t="shared" si="8"/>
        <v>#DIV/0!</v>
      </c>
      <c r="J136" s="38">
        <f t="shared" si="9"/>
        <v>74557.728000000003</v>
      </c>
      <c r="K136" s="30"/>
      <c r="L136" s="30"/>
      <c r="M136" s="15" t="e">
        <f t="shared" si="10"/>
        <v>#DIV/0!</v>
      </c>
    </row>
    <row r="137" spans="1:13" ht="15" hidden="1" customHeigh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H6</f>
        <v>0</v>
      </c>
      <c r="I137" s="38" t="e">
        <f t="shared" si="8"/>
        <v>#DIV/0!</v>
      </c>
      <c r="J137" s="38">
        <f t="shared" si="9"/>
        <v>149115.45600000001</v>
      </c>
      <c r="K137" s="38"/>
      <c r="L137" s="38"/>
      <c r="M137" s="15" t="e">
        <f t="shared" si="10"/>
        <v>#DIV/0!</v>
      </c>
    </row>
    <row r="138" spans="1:13" ht="14.25" hidden="1" customHeight="1" thickBot="1">
      <c r="A138" s="236"/>
      <c r="B138" s="236"/>
      <c r="C138" s="236"/>
      <c r="D138" s="236"/>
      <c r="E138" s="38">
        <v>9544</v>
      </c>
      <c r="F138" s="64">
        <v>1</v>
      </c>
      <c r="G138" s="46"/>
      <c r="H138" s="39">
        <f>H6</f>
        <v>0</v>
      </c>
      <c r="I138" s="38" t="e">
        <f t="shared" si="8"/>
        <v>#DIV/0!</v>
      </c>
      <c r="J138" s="38">
        <f t="shared" si="9"/>
        <v>149115.45600000001</v>
      </c>
      <c r="K138" s="47"/>
      <c r="L138" s="47"/>
      <c r="M138" s="15" t="e">
        <f t="shared" si="10"/>
        <v>#DIV/0!</v>
      </c>
    </row>
    <row r="139" spans="1:13" ht="15" hidden="1" customHeight="1">
      <c r="A139" s="212"/>
      <c r="B139" s="213"/>
      <c r="C139" s="213"/>
      <c r="D139" s="213"/>
      <c r="E139" s="38">
        <v>9544</v>
      </c>
      <c r="F139" s="38"/>
      <c r="G139" s="46"/>
      <c r="H139" s="39">
        <f>H6</f>
        <v>0</v>
      </c>
      <c r="I139" s="38" t="e">
        <f t="shared" si="8"/>
        <v>#DIV/0!</v>
      </c>
      <c r="J139" s="38">
        <f t="shared" si="9"/>
        <v>0</v>
      </c>
      <c r="K139" s="47"/>
      <c r="L139" s="47"/>
      <c r="M139" s="15" t="e">
        <f t="shared" si="10"/>
        <v>#DIV/0!</v>
      </c>
    </row>
    <row r="140" spans="1:13" ht="15" hidden="1" customHeight="1" thickBot="1">
      <c r="A140" s="212"/>
      <c r="B140" s="213"/>
      <c r="C140" s="213"/>
      <c r="D140" s="213"/>
      <c r="E140" s="38">
        <v>9544</v>
      </c>
      <c r="F140" s="67">
        <v>0.25</v>
      </c>
      <c r="G140" s="46"/>
      <c r="H140" s="39">
        <f>H6</f>
        <v>0</v>
      </c>
      <c r="I140" s="38" t="e">
        <f t="shared" si="8"/>
        <v>#DIV/0!</v>
      </c>
      <c r="J140" s="38">
        <f t="shared" si="9"/>
        <v>37278.864000000001</v>
      </c>
      <c r="K140" s="47"/>
      <c r="L140" s="47"/>
      <c r="M140" s="15" t="e">
        <f t="shared" si="10"/>
        <v>#DIV/0!</v>
      </c>
    </row>
    <row r="141" spans="1:13" ht="15" hidden="1" customHeight="1">
      <c r="A141" s="212"/>
      <c r="B141" s="213"/>
      <c r="C141" s="213"/>
      <c r="D141" s="213"/>
      <c r="E141" s="38">
        <v>9544</v>
      </c>
      <c r="F141" s="38"/>
      <c r="G141" s="46"/>
      <c r="H141" s="39">
        <f>H6</f>
        <v>0</v>
      </c>
      <c r="I141" s="38" t="e">
        <f t="shared" si="8"/>
        <v>#DIV/0!</v>
      </c>
      <c r="J141" s="38">
        <f t="shared" si="9"/>
        <v>0</v>
      </c>
      <c r="K141" s="47"/>
      <c r="L141" s="47"/>
      <c r="M141" s="15" t="e">
        <f t="shared" si="10"/>
        <v>#DIV/0!</v>
      </c>
    </row>
    <row r="142" spans="1:13" ht="15" hidden="1" customHeight="1">
      <c r="A142" s="212"/>
      <c r="B142" s="213"/>
      <c r="C142" s="213"/>
      <c r="D142" s="213"/>
      <c r="E142" s="38">
        <v>9544</v>
      </c>
      <c r="F142" s="66">
        <v>0.5</v>
      </c>
      <c r="G142" s="46"/>
      <c r="H142" s="39">
        <f>H6</f>
        <v>0</v>
      </c>
      <c r="I142" s="38" t="e">
        <f t="shared" si="8"/>
        <v>#DIV/0!</v>
      </c>
      <c r="J142" s="38">
        <f t="shared" si="9"/>
        <v>74557.728000000003</v>
      </c>
      <c r="K142" s="47"/>
      <c r="L142" s="47"/>
      <c r="M142" s="15" t="e">
        <f t="shared" si="10"/>
        <v>#DIV/0!</v>
      </c>
    </row>
    <row r="143" spans="1:13" ht="15.75" hidden="1" customHeight="1" thickBot="1">
      <c r="A143" s="212"/>
      <c r="B143" s="213"/>
      <c r="C143" s="213"/>
      <c r="D143" s="213"/>
      <c r="E143" s="38">
        <v>9544</v>
      </c>
      <c r="F143" s="64">
        <v>1</v>
      </c>
      <c r="G143" s="46"/>
      <c r="H143" s="39">
        <f>H6</f>
        <v>0</v>
      </c>
      <c r="I143" s="38" t="e">
        <f t="shared" si="8"/>
        <v>#DIV/0!</v>
      </c>
      <c r="J143" s="38">
        <f t="shared" si="9"/>
        <v>149115.45600000001</v>
      </c>
      <c r="K143" s="47"/>
      <c r="L143" s="47"/>
      <c r="M143" s="15" t="e">
        <f t="shared" si="10"/>
        <v>#DIV/0!</v>
      </c>
    </row>
    <row r="144" spans="1:13" ht="15" hidden="1" customHeight="1">
      <c r="A144" s="236"/>
      <c r="B144" s="236"/>
      <c r="C144" s="236"/>
      <c r="D144" s="236"/>
      <c r="E144" s="38">
        <v>9544</v>
      </c>
      <c r="F144" s="64">
        <v>1</v>
      </c>
      <c r="G144" s="46"/>
      <c r="H144" s="39">
        <f>H6</f>
        <v>0</v>
      </c>
      <c r="I144" s="38" t="e">
        <f t="shared" si="8"/>
        <v>#DIV/0!</v>
      </c>
      <c r="J144" s="38">
        <f t="shared" si="9"/>
        <v>149115.45600000001</v>
      </c>
      <c r="K144" s="47"/>
      <c r="L144" s="47"/>
      <c r="M144" s="15" t="e">
        <f t="shared" si="10"/>
        <v>#DIV/0!</v>
      </c>
    </row>
    <row r="145" spans="1:13" ht="15" hidden="1" customHeight="1">
      <c r="A145" s="236"/>
      <c r="B145" s="236"/>
      <c r="C145" s="236"/>
      <c r="D145" s="236"/>
      <c r="E145" s="38">
        <v>9544</v>
      </c>
      <c r="F145" s="66">
        <v>5.5</v>
      </c>
      <c r="G145" s="46"/>
      <c r="H145" s="39">
        <f>H6</f>
        <v>0</v>
      </c>
      <c r="I145" s="38" t="e">
        <f t="shared" si="8"/>
        <v>#DIV/0!</v>
      </c>
      <c r="J145" s="38">
        <f t="shared" si="9"/>
        <v>820135.00800000003</v>
      </c>
      <c r="K145" s="47"/>
      <c r="L145" s="47"/>
      <c r="M145" s="15" t="e">
        <f t="shared" si="10"/>
        <v>#DIV/0!</v>
      </c>
    </row>
    <row r="146" spans="1:13" ht="15" hidden="1" customHeight="1" thickBot="1">
      <c r="A146" s="236"/>
      <c r="B146" s="236"/>
      <c r="C146" s="236"/>
      <c r="D146" s="236"/>
      <c r="E146" s="38">
        <v>9544</v>
      </c>
      <c r="F146" s="64">
        <v>1</v>
      </c>
      <c r="G146" s="46"/>
      <c r="H146" s="39">
        <f>H6</f>
        <v>0</v>
      </c>
      <c r="I146" s="38" t="e">
        <f t="shared" si="8"/>
        <v>#DIV/0!</v>
      </c>
      <c r="J146" s="38">
        <f t="shared" si="9"/>
        <v>149115.45600000001</v>
      </c>
      <c r="K146" s="47"/>
      <c r="L146" s="47"/>
      <c r="M146" s="15" t="e">
        <f t="shared" si="10"/>
        <v>#DIV/0!</v>
      </c>
    </row>
    <row r="147" spans="1:13" ht="15" hidden="1" customHeight="1" thickBo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H6</f>
        <v>0</v>
      </c>
      <c r="I147" s="38" t="e">
        <f t="shared" si="8"/>
        <v>#DIV/0!</v>
      </c>
      <c r="J147" s="38">
        <f t="shared" si="9"/>
        <v>74557.728000000003</v>
      </c>
      <c r="K147" s="47"/>
      <c r="L147" s="47"/>
      <c r="M147" s="15" t="e">
        <f t="shared" si="10"/>
        <v>#DIV/0!</v>
      </c>
    </row>
    <row r="148" spans="1:13" ht="15" hidden="1" customHeight="1" thickBot="1">
      <c r="A148" s="236"/>
      <c r="B148" s="236"/>
      <c r="C148" s="236"/>
      <c r="D148" s="236"/>
      <c r="E148" s="38">
        <v>9544</v>
      </c>
      <c r="F148" s="66">
        <v>0.5</v>
      </c>
      <c r="G148" s="46"/>
      <c r="H148" s="39">
        <f>H6</f>
        <v>0</v>
      </c>
      <c r="I148" s="38" t="e">
        <f t="shared" si="8"/>
        <v>#DIV/0!</v>
      </c>
      <c r="J148" s="38">
        <f t="shared" si="9"/>
        <v>74557.728000000003</v>
      </c>
      <c r="K148" s="47"/>
      <c r="L148" s="47"/>
      <c r="M148" s="15" t="e">
        <f t="shared" si="10"/>
        <v>#DIV/0!</v>
      </c>
    </row>
    <row r="149" spans="1:13" ht="15" hidden="1" customHeight="1" thickBot="1">
      <c r="A149" s="236"/>
      <c r="B149" s="236"/>
      <c r="C149" s="236"/>
      <c r="D149" s="236"/>
      <c r="E149" s="38">
        <v>9544</v>
      </c>
      <c r="F149" s="64">
        <v>1</v>
      </c>
      <c r="G149" s="46"/>
      <c r="H149" s="39">
        <f>H6</f>
        <v>0</v>
      </c>
      <c r="I149" s="38" t="e">
        <f t="shared" si="8"/>
        <v>#DIV/0!</v>
      </c>
      <c r="J149" s="38">
        <f t="shared" si="9"/>
        <v>149115.45600000001</v>
      </c>
      <c r="K149" s="47"/>
      <c r="L149" s="47"/>
      <c r="M149" s="15" t="e">
        <f t="shared" si="10"/>
        <v>#DIV/0!</v>
      </c>
    </row>
    <row r="150" spans="1:13" ht="15.75" hidden="1" customHeight="1" thickBot="1">
      <c r="A150" s="236"/>
      <c r="B150" s="236"/>
      <c r="C150" s="236"/>
      <c r="D150" s="236"/>
      <c r="E150" s="38">
        <v>9544</v>
      </c>
      <c r="F150" s="64">
        <v>4</v>
      </c>
      <c r="G150" s="46"/>
      <c r="H150" s="39">
        <f>H6</f>
        <v>0</v>
      </c>
      <c r="I150" s="38" t="e">
        <f t="shared" si="8"/>
        <v>#DIV/0!</v>
      </c>
      <c r="J150" s="38">
        <f t="shared" si="9"/>
        <v>596461.82400000002</v>
      </c>
      <c r="K150" s="47"/>
      <c r="L150" s="47"/>
      <c r="M150" s="15" t="e">
        <f t="shared" si="10"/>
        <v>#DIV/0!</v>
      </c>
    </row>
    <row r="151" spans="1:13" ht="16.5" hidden="1" customHeight="1" thickBot="1">
      <c r="A151" s="212"/>
      <c r="B151" s="213"/>
      <c r="C151" s="213"/>
      <c r="D151" s="213"/>
      <c r="E151" s="38">
        <v>9544</v>
      </c>
      <c r="F151" s="64">
        <v>1</v>
      </c>
      <c r="G151" s="46"/>
      <c r="H151" s="39">
        <f>H6</f>
        <v>0</v>
      </c>
      <c r="I151" s="38" t="e">
        <f t="shared" si="8"/>
        <v>#DIV/0!</v>
      </c>
      <c r="J151" s="38">
        <f t="shared" si="9"/>
        <v>149115.45600000001</v>
      </c>
      <c r="K151" s="47"/>
      <c r="L151" s="47"/>
      <c r="M151" s="15" t="e">
        <f t="shared" si="10"/>
        <v>#DIV/0!</v>
      </c>
    </row>
    <row r="152" spans="1:13" ht="16.5" hidden="1" customHeight="1">
      <c r="A152" s="212"/>
      <c r="B152" s="213"/>
      <c r="C152" s="213"/>
      <c r="D152" s="213"/>
      <c r="E152" s="38">
        <v>9544</v>
      </c>
      <c r="F152" s="67">
        <v>1.75</v>
      </c>
      <c r="G152" s="46"/>
      <c r="H152" s="39">
        <f>H6</f>
        <v>0</v>
      </c>
      <c r="I152" s="38" t="e">
        <f t="shared" si="8"/>
        <v>#DIV/0!</v>
      </c>
      <c r="J152" s="38">
        <f t="shared" si="9"/>
        <v>260952.04800000001</v>
      </c>
      <c r="K152" s="47"/>
      <c r="L152" s="47"/>
      <c r="M152" s="15" t="e">
        <f t="shared" si="10"/>
        <v>#DIV/0!</v>
      </c>
    </row>
    <row r="153" spans="1:13" ht="16.5" hidden="1" customHeight="1">
      <c r="A153" s="212"/>
      <c r="B153" s="213"/>
      <c r="C153" s="213"/>
      <c r="D153" s="213"/>
      <c r="E153" s="38">
        <v>9544</v>
      </c>
      <c r="F153" s="39"/>
      <c r="G153" s="46"/>
      <c r="H153" s="39">
        <f>H6</f>
        <v>0</v>
      </c>
      <c r="I153" s="38" t="e">
        <f t="shared" si="8"/>
        <v>#DIV/0!</v>
      </c>
      <c r="J153" s="38">
        <f t="shared" si="9"/>
        <v>0</v>
      </c>
      <c r="K153" s="47"/>
      <c r="L153" s="47"/>
      <c r="M153" s="15" t="e">
        <f t="shared" si="10"/>
        <v>#DIV/0!</v>
      </c>
    </row>
    <row r="154" spans="1:13" ht="16.5" hidden="1" customHeight="1">
      <c r="A154" s="212"/>
      <c r="B154" s="213"/>
      <c r="C154" s="213"/>
      <c r="D154" s="213"/>
      <c r="E154" s="38">
        <v>9544</v>
      </c>
      <c r="F154" s="66">
        <v>0.5</v>
      </c>
      <c r="G154" s="46"/>
      <c r="H154" s="39">
        <f>H6</f>
        <v>0</v>
      </c>
      <c r="I154" s="38" t="e">
        <f t="shared" si="8"/>
        <v>#DIV/0!</v>
      </c>
      <c r="J154" s="38">
        <f t="shared" si="9"/>
        <v>74557.728000000003</v>
      </c>
      <c r="K154" s="47"/>
      <c r="L154" s="47"/>
      <c r="M154" s="15" t="e">
        <f t="shared" si="10"/>
        <v>#DIV/0!</v>
      </c>
    </row>
    <row r="155" spans="1:13" ht="15" hidden="1" customHeigh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>
        <f t="shared" si="10"/>
        <v>0</v>
      </c>
    </row>
    <row r="156" spans="1:13" ht="15.75" hidden="1" customHeight="1" thickBot="1">
      <c r="A156" s="212"/>
      <c r="B156" s="213"/>
      <c r="C156" s="213"/>
      <c r="D156" s="213"/>
      <c r="E156" s="38"/>
      <c r="F156" s="38"/>
      <c r="G156" s="38"/>
      <c r="H156" s="38"/>
      <c r="I156" s="38"/>
      <c r="J156" s="38"/>
      <c r="K156" s="47"/>
      <c r="L156" s="47"/>
      <c r="M156" s="15">
        <f t="shared" si="10"/>
        <v>0</v>
      </c>
    </row>
    <row r="157" spans="1:13" ht="14.25" hidden="1" customHeight="1" thickBot="1">
      <c r="A157" s="212"/>
      <c r="B157" s="213"/>
      <c r="C157" s="213"/>
      <c r="D157" s="213"/>
      <c r="E157" s="38"/>
      <c r="F157" s="38"/>
      <c r="G157" s="38"/>
      <c r="H157" s="38"/>
      <c r="I157" s="46">
        <v>105</v>
      </c>
      <c r="J157" s="48">
        <f>H157/I157</f>
        <v>0</v>
      </c>
      <c r="K157" s="47"/>
      <c r="L157" s="47"/>
      <c r="M157" s="31">
        <f t="shared" si="10"/>
        <v>0</v>
      </c>
    </row>
    <row r="158" spans="1:13" ht="15" thickBot="1">
      <c r="A158" s="216" t="s">
        <v>47</v>
      </c>
      <c r="B158" s="216"/>
      <c r="C158" s="216"/>
      <c r="D158" s="216"/>
      <c r="E158" s="68"/>
      <c r="F158" s="167"/>
      <c r="G158" s="167"/>
      <c r="H158" s="73">
        <f>H132</f>
        <v>421438.14918447484</v>
      </c>
      <c r="I158" s="49"/>
      <c r="J158" s="69">
        <f>J132</f>
        <v>14532.349971878442</v>
      </c>
      <c r="K158" s="47"/>
      <c r="L158" s="47"/>
      <c r="M158" s="16"/>
    </row>
    <row r="159" spans="1:13" ht="15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7"/>
      <c r="L159" s="17"/>
      <c r="M159" s="17"/>
    </row>
    <row r="160" spans="1:13" ht="15.6">
      <c r="A160" s="273" t="s">
        <v>68</v>
      </c>
      <c r="B160" s="273"/>
      <c r="C160" s="273"/>
      <c r="D160" s="273"/>
      <c r="E160" s="273"/>
      <c r="F160" s="273"/>
      <c r="G160" s="273"/>
      <c r="H160" s="273"/>
      <c r="I160" s="273"/>
      <c r="J160" s="273"/>
      <c r="K160" s="273"/>
      <c r="L160" s="273"/>
      <c r="M160" s="273"/>
    </row>
    <row r="161" spans="1:14" ht="55.8">
      <c r="A161" s="231" t="s">
        <v>3</v>
      </c>
      <c r="B161" s="231"/>
      <c r="C161" s="231"/>
      <c r="D161" s="231"/>
      <c r="E161" s="9" t="s">
        <v>4</v>
      </c>
      <c r="F161" s="10" t="s">
        <v>0</v>
      </c>
      <c r="G161" s="35" t="s">
        <v>52</v>
      </c>
      <c r="H161" s="35" t="s">
        <v>44</v>
      </c>
      <c r="I161" s="9" t="s">
        <v>63</v>
      </c>
      <c r="J161" s="9" t="s">
        <v>69</v>
      </c>
      <c r="K161" s="9" t="s">
        <v>46</v>
      </c>
      <c r="L161" s="28"/>
      <c r="M161" s="28"/>
    </row>
    <row r="162" spans="1:14">
      <c r="A162" s="252">
        <v>1</v>
      </c>
      <c r="B162" s="253"/>
      <c r="C162" s="253"/>
      <c r="D162" s="253"/>
      <c r="E162" s="26">
        <v>2</v>
      </c>
      <c r="F162" s="12">
        <v>3</v>
      </c>
      <c r="G162" s="26">
        <v>4</v>
      </c>
      <c r="H162" s="26">
        <v>5</v>
      </c>
      <c r="I162" s="27">
        <v>6</v>
      </c>
      <c r="J162" s="36">
        <v>7</v>
      </c>
      <c r="K162" s="37">
        <v>8</v>
      </c>
      <c r="L162" s="153"/>
      <c r="M162" s="28"/>
    </row>
    <row r="163" spans="1:14" ht="32.4" customHeight="1" thickBot="1">
      <c r="A163" s="236" t="s">
        <v>67</v>
      </c>
      <c r="B163" s="236"/>
      <c r="C163" s="236"/>
      <c r="D163" s="236"/>
      <c r="E163" s="38">
        <f>20865999.58/12/55.25</f>
        <v>31472.095897435895</v>
      </c>
      <c r="F163" s="38">
        <f>55.25*0.04116</f>
        <v>2.2740900000000002</v>
      </c>
      <c r="G163" s="38">
        <f>(15957574.159+68539.1903)*0.04116</f>
        <v>659634.82545718807</v>
      </c>
      <c r="H163" s="38">
        <f>G163*1.302</f>
        <v>858844.54274525889</v>
      </c>
      <c r="I163" s="46">
        <v>29</v>
      </c>
      <c r="J163" s="38">
        <f>H163/I163</f>
        <v>29615.329060181342</v>
      </c>
      <c r="K163" s="63">
        <f>H163/(8696900+23460820)*100</f>
        <v>2.6707258560160945</v>
      </c>
      <c r="L163" s="154"/>
      <c r="M163" s="16"/>
      <c r="N163" s="196"/>
    </row>
    <row r="164" spans="1:14" ht="15" hidden="1" customHeight="1">
      <c r="A164" s="262"/>
      <c r="B164" s="263"/>
      <c r="C164" s="263"/>
      <c r="D164" s="263"/>
      <c r="E164" s="38">
        <v>17865.98</v>
      </c>
      <c r="F164" s="64">
        <v>4</v>
      </c>
      <c r="G164" s="46"/>
      <c r="H164" s="39">
        <f>H39</f>
        <v>0</v>
      </c>
      <c r="I164" s="38" t="e">
        <f t="shared" ref="I164:I185" si="11">F164/G164*H164</f>
        <v>#DIV/0!</v>
      </c>
      <c r="J164" s="38">
        <f t="shared" ref="J164:J185" si="12">E164*F164*12*1.302</f>
        <v>1116552.28608</v>
      </c>
      <c r="K164" s="65" t="s">
        <v>38</v>
      </c>
      <c r="L164" s="155"/>
      <c r="M164" s="32" t="e">
        <f t="shared" ref="M164:M188" si="13">I164*J164</f>
        <v>#DIV/0!</v>
      </c>
    </row>
    <row r="165" spans="1:14" ht="15" hidden="1" customHeight="1" thickBot="1">
      <c r="A165" s="293"/>
      <c r="B165" s="293"/>
      <c r="C165" s="293"/>
      <c r="D165" s="293"/>
      <c r="E165" s="38">
        <v>9544</v>
      </c>
      <c r="F165" s="64">
        <v>1</v>
      </c>
      <c r="G165" s="46"/>
      <c r="H165" s="39">
        <f>H39</f>
        <v>0</v>
      </c>
      <c r="I165" s="38" t="e">
        <f t="shared" si="11"/>
        <v>#DIV/0!</v>
      </c>
      <c r="J165" s="38">
        <f t="shared" si="12"/>
        <v>149115.45600000001</v>
      </c>
      <c r="K165" s="39">
        <f>H165/11277167.39*100</f>
        <v>0</v>
      </c>
      <c r="L165" s="39"/>
      <c r="M165" s="15" t="e">
        <f t="shared" si="13"/>
        <v>#DIV/0!</v>
      </c>
    </row>
    <row r="166" spans="1:14" ht="15" hidden="1" customHeight="1" thickBot="1">
      <c r="A166" s="274"/>
      <c r="B166" s="275"/>
      <c r="C166" s="275"/>
      <c r="D166" s="275"/>
      <c r="E166" s="38">
        <v>11560</v>
      </c>
      <c r="F166" s="64">
        <v>1</v>
      </c>
      <c r="G166" s="46"/>
      <c r="H166" s="39">
        <f>H39</f>
        <v>0</v>
      </c>
      <c r="I166" s="38" t="e">
        <f t="shared" si="11"/>
        <v>#DIV/0!</v>
      </c>
      <c r="J166" s="38">
        <f t="shared" si="12"/>
        <v>180613.44</v>
      </c>
      <c r="K166" s="30"/>
      <c r="L166" s="30"/>
      <c r="M166" s="15" t="e">
        <f t="shared" si="13"/>
        <v>#DIV/0!</v>
      </c>
    </row>
    <row r="167" spans="1:14" ht="15" hidden="1" customHeight="1" thickBot="1">
      <c r="A167" s="236"/>
      <c r="B167" s="236"/>
      <c r="C167" s="236"/>
      <c r="D167" s="236"/>
      <c r="E167" s="38">
        <v>9544</v>
      </c>
      <c r="F167" s="66">
        <v>0.5</v>
      </c>
      <c r="G167" s="46"/>
      <c r="H167" s="39">
        <f>H39</f>
        <v>0</v>
      </c>
      <c r="I167" s="38" t="e">
        <f t="shared" si="11"/>
        <v>#DIV/0!</v>
      </c>
      <c r="J167" s="38">
        <f t="shared" si="12"/>
        <v>74557.728000000003</v>
      </c>
      <c r="K167" s="30"/>
      <c r="L167" s="30"/>
      <c r="M167" s="15" t="e">
        <f t="shared" si="13"/>
        <v>#DIV/0!</v>
      </c>
    </row>
    <row r="168" spans="1:14" ht="15" hidden="1" customHeight="1" thickBo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H39</f>
        <v>0</v>
      </c>
      <c r="I168" s="38" t="e">
        <f t="shared" si="11"/>
        <v>#DIV/0!</v>
      </c>
      <c r="J168" s="38">
        <f t="shared" si="12"/>
        <v>149115.45600000001</v>
      </c>
      <c r="K168" s="38"/>
      <c r="L168" s="38"/>
      <c r="M168" s="15" t="e">
        <f t="shared" si="13"/>
        <v>#DIV/0!</v>
      </c>
    </row>
    <row r="169" spans="1:14" ht="14.25" hidden="1" customHeight="1" thickBot="1">
      <c r="A169" s="236"/>
      <c r="B169" s="236"/>
      <c r="C169" s="236"/>
      <c r="D169" s="236"/>
      <c r="E169" s="38">
        <v>9544</v>
      </c>
      <c r="F169" s="64">
        <v>1</v>
      </c>
      <c r="G169" s="46"/>
      <c r="H169" s="39">
        <f>H39</f>
        <v>0</v>
      </c>
      <c r="I169" s="38" t="e">
        <f t="shared" si="11"/>
        <v>#DIV/0!</v>
      </c>
      <c r="J169" s="38">
        <f t="shared" si="12"/>
        <v>149115.45600000001</v>
      </c>
      <c r="K169" s="47"/>
      <c r="L169" s="47"/>
      <c r="M169" s="15" t="e">
        <f t="shared" si="13"/>
        <v>#DIV/0!</v>
      </c>
    </row>
    <row r="170" spans="1:14" ht="15" hidden="1" customHeight="1">
      <c r="A170" s="212"/>
      <c r="B170" s="213"/>
      <c r="C170" s="213"/>
      <c r="D170" s="213"/>
      <c r="E170" s="38">
        <v>9544</v>
      </c>
      <c r="F170" s="38"/>
      <c r="G170" s="46"/>
      <c r="H170" s="39">
        <f>H39</f>
        <v>0</v>
      </c>
      <c r="I170" s="38" t="e">
        <f t="shared" si="11"/>
        <v>#DIV/0!</v>
      </c>
      <c r="J170" s="38">
        <f t="shared" si="12"/>
        <v>0</v>
      </c>
      <c r="K170" s="47"/>
      <c r="L170" s="47"/>
      <c r="M170" s="15" t="e">
        <f t="shared" si="13"/>
        <v>#DIV/0!</v>
      </c>
    </row>
    <row r="171" spans="1:14" ht="15" hidden="1" customHeight="1" thickBot="1">
      <c r="A171" s="212"/>
      <c r="B171" s="213"/>
      <c r="C171" s="213"/>
      <c r="D171" s="213"/>
      <c r="E171" s="38">
        <v>9544</v>
      </c>
      <c r="F171" s="67">
        <v>0.25</v>
      </c>
      <c r="G171" s="46"/>
      <c r="H171" s="39">
        <f>H39</f>
        <v>0</v>
      </c>
      <c r="I171" s="38" t="e">
        <f t="shared" si="11"/>
        <v>#DIV/0!</v>
      </c>
      <c r="J171" s="38">
        <f t="shared" si="12"/>
        <v>37278.864000000001</v>
      </c>
      <c r="K171" s="47"/>
      <c r="L171" s="47"/>
      <c r="M171" s="15" t="e">
        <f t="shared" si="13"/>
        <v>#DIV/0!</v>
      </c>
    </row>
    <row r="172" spans="1:14" ht="15" hidden="1" customHeight="1">
      <c r="A172" s="212"/>
      <c r="B172" s="213"/>
      <c r="C172" s="213"/>
      <c r="D172" s="213"/>
      <c r="E172" s="38">
        <v>9544</v>
      </c>
      <c r="F172" s="38"/>
      <c r="G172" s="46"/>
      <c r="H172" s="39">
        <f>H39</f>
        <v>0</v>
      </c>
      <c r="I172" s="38" t="e">
        <f t="shared" si="11"/>
        <v>#DIV/0!</v>
      </c>
      <c r="J172" s="38">
        <f t="shared" si="12"/>
        <v>0</v>
      </c>
      <c r="K172" s="47"/>
      <c r="L172" s="47"/>
      <c r="M172" s="15" t="e">
        <f t="shared" si="13"/>
        <v>#DIV/0!</v>
      </c>
    </row>
    <row r="173" spans="1:14" ht="15" hidden="1" customHeight="1">
      <c r="A173" s="212"/>
      <c r="B173" s="213"/>
      <c r="C173" s="213"/>
      <c r="D173" s="213"/>
      <c r="E173" s="38">
        <v>9544</v>
      </c>
      <c r="F173" s="66">
        <v>0.5</v>
      </c>
      <c r="G173" s="46"/>
      <c r="H173" s="39">
        <f>H39</f>
        <v>0</v>
      </c>
      <c r="I173" s="38" t="e">
        <f t="shared" si="11"/>
        <v>#DIV/0!</v>
      </c>
      <c r="J173" s="38">
        <f t="shared" si="12"/>
        <v>74557.728000000003</v>
      </c>
      <c r="K173" s="47"/>
      <c r="L173" s="47"/>
      <c r="M173" s="15" t="e">
        <f t="shared" si="13"/>
        <v>#DIV/0!</v>
      </c>
    </row>
    <row r="174" spans="1:14" ht="15.75" hidden="1" customHeight="1">
      <c r="A174" s="212"/>
      <c r="B174" s="213"/>
      <c r="C174" s="213"/>
      <c r="D174" s="213"/>
      <c r="E174" s="38">
        <v>9544</v>
      </c>
      <c r="F174" s="64">
        <v>1</v>
      </c>
      <c r="G174" s="46"/>
      <c r="H174" s="39">
        <f>H39</f>
        <v>0</v>
      </c>
      <c r="I174" s="38" t="e">
        <f t="shared" si="11"/>
        <v>#DIV/0!</v>
      </c>
      <c r="J174" s="38">
        <f t="shared" si="12"/>
        <v>149115.45600000001</v>
      </c>
      <c r="K174" s="47"/>
      <c r="L174" s="47"/>
      <c r="M174" s="15" t="e">
        <f t="shared" si="13"/>
        <v>#DIV/0!</v>
      </c>
    </row>
    <row r="175" spans="1:14" ht="15" hidden="1" customHeight="1" thickBot="1">
      <c r="A175" s="236"/>
      <c r="B175" s="236"/>
      <c r="C175" s="236"/>
      <c r="D175" s="236"/>
      <c r="E175" s="38">
        <v>9544</v>
      </c>
      <c r="F175" s="64">
        <v>1</v>
      </c>
      <c r="G175" s="46"/>
      <c r="H175" s="39">
        <f>H39</f>
        <v>0</v>
      </c>
      <c r="I175" s="38" t="e">
        <f t="shared" si="11"/>
        <v>#DIV/0!</v>
      </c>
      <c r="J175" s="38">
        <f t="shared" si="12"/>
        <v>149115.45600000001</v>
      </c>
      <c r="K175" s="47"/>
      <c r="L175" s="47"/>
      <c r="M175" s="15" t="e">
        <f t="shared" si="13"/>
        <v>#DIV/0!</v>
      </c>
    </row>
    <row r="176" spans="1:14" ht="15" hidden="1" customHeight="1">
      <c r="A176" s="236"/>
      <c r="B176" s="236"/>
      <c r="C176" s="236"/>
      <c r="D176" s="236"/>
      <c r="E176" s="38">
        <v>9544</v>
      </c>
      <c r="F176" s="66">
        <v>5.5</v>
      </c>
      <c r="G176" s="46"/>
      <c r="H176" s="39">
        <f>H39</f>
        <v>0</v>
      </c>
      <c r="I176" s="38" t="e">
        <f t="shared" si="11"/>
        <v>#DIV/0!</v>
      </c>
      <c r="J176" s="38">
        <f t="shared" si="12"/>
        <v>820135.00800000003</v>
      </c>
      <c r="K176" s="47"/>
      <c r="L176" s="47"/>
      <c r="M176" s="15" t="e">
        <f t="shared" si="13"/>
        <v>#DIV/0!</v>
      </c>
    </row>
    <row r="177" spans="1:13" ht="15" hidden="1" customHeight="1">
      <c r="A177" s="236"/>
      <c r="B177" s="236"/>
      <c r="C177" s="236"/>
      <c r="D177" s="236"/>
      <c r="E177" s="38">
        <v>9544</v>
      </c>
      <c r="F177" s="64">
        <v>1</v>
      </c>
      <c r="G177" s="46"/>
      <c r="H177" s="39">
        <f>H39</f>
        <v>0</v>
      </c>
      <c r="I177" s="38" t="e">
        <f t="shared" si="11"/>
        <v>#DIV/0!</v>
      </c>
      <c r="J177" s="38">
        <f t="shared" si="12"/>
        <v>149115.45600000001</v>
      </c>
      <c r="K177" s="47"/>
      <c r="L177" s="47"/>
      <c r="M177" s="15" t="e">
        <f t="shared" si="13"/>
        <v>#DIV/0!</v>
      </c>
    </row>
    <row r="178" spans="1:13" ht="15" hidden="1" customHeight="1" thickBo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H39</f>
        <v>0</v>
      </c>
      <c r="I178" s="38" t="e">
        <f t="shared" si="11"/>
        <v>#DIV/0!</v>
      </c>
      <c r="J178" s="38">
        <f t="shared" si="12"/>
        <v>74557.728000000003</v>
      </c>
      <c r="K178" s="47"/>
      <c r="L178" s="47"/>
      <c r="M178" s="15" t="e">
        <f t="shared" si="13"/>
        <v>#DIV/0!</v>
      </c>
    </row>
    <row r="179" spans="1:13" ht="15" hidden="1" customHeight="1" thickBot="1">
      <c r="A179" s="236"/>
      <c r="B179" s="236"/>
      <c r="C179" s="236"/>
      <c r="D179" s="236"/>
      <c r="E179" s="38">
        <v>9544</v>
      </c>
      <c r="F179" s="66">
        <v>0.5</v>
      </c>
      <c r="G179" s="46"/>
      <c r="H179" s="39">
        <f>H39</f>
        <v>0</v>
      </c>
      <c r="I179" s="38" t="e">
        <f t="shared" si="11"/>
        <v>#DIV/0!</v>
      </c>
      <c r="J179" s="38">
        <f t="shared" si="12"/>
        <v>74557.728000000003</v>
      </c>
      <c r="K179" s="47"/>
      <c r="L179" s="47"/>
      <c r="M179" s="15" t="e">
        <f t="shared" si="13"/>
        <v>#DIV/0!</v>
      </c>
    </row>
    <row r="180" spans="1:13" ht="15" hidden="1" customHeight="1" thickBot="1">
      <c r="A180" s="236"/>
      <c r="B180" s="236"/>
      <c r="C180" s="236"/>
      <c r="D180" s="236"/>
      <c r="E180" s="38">
        <v>9544</v>
      </c>
      <c r="F180" s="64">
        <v>1</v>
      </c>
      <c r="G180" s="46"/>
      <c r="H180" s="39">
        <f>H39</f>
        <v>0</v>
      </c>
      <c r="I180" s="38" t="e">
        <f t="shared" si="11"/>
        <v>#DIV/0!</v>
      </c>
      <c r="J180" s="38">
        <f t="shared" si="12"/>
        <v>149115.45600000001</v>
      </c>
      <c r="K180" s="47"/>
      <c r="L180" s="47"/>
      <c r="M180" s="15" t="e">
        <f t="shared" si="13"/>
        <v>#DIV/0!</v>
      </c>
    </row>
    <row r="181" spans="1:13" ht="15.75" hidden="1" customHeight="1" thickBot="1">
      <c r="A181" s="236"/>
      <c r="B181" s="236"/>
      <c r="C181" s="236"/>
      <c r="D181" s="236"/>
      <c r="E181" s="38">
        <v>9544</v>
      </c>
      <c r="F181" s="64">
        <v>4</v>
      </c>
      <c r="G181" s="46"/>
      <c r="H181" s="39">
        <f>H39</f>
        <v>0</v>
      </c>
      <c r="I181" s="38" t="e">
        <f t="shared" si="11"/>
        <v>#DIV/0!</v>
      </c>
      <c r="J181" s="38">
        <f t="shared" si="12"/>
        <v>596461.82400000002</v>
      </c>
      <c r="K181" s="47"/>
      <c r="L181" s="47"/>
      <c r="M181" s="15" t="e">
        <f t="shared" si="13"/>
        <v>#DIV/0!</v>
      </c>
    </row>
    <row r="182" spans="1:13" ht="16.5" hidden="1" customHeight="1" thickBot="1">
      <c r="A182" s="212"/>
      <c r="B182" s="213"/>
      <c r="C182" s="213"/>
      <c r="D182" s="213"/>
      <c r="E182" s="38">
        <v>9544</v>
      </c>
      <c r="F182" s="64">
        <v>1</v>
      </c>
      <c r="G182" s="46"/>
      <c r="H182" s="39">
        <f>H39</f>
        <v>0</v>
      </c>
      <c r="I182" s="38" t="e">
        <f t="shared" si="11"/>
        <v>#DIV/0!</v>
      </c>
      <c r="J182" s="38">
        <f t="shared" si="12"/>
        <v>149115.45600000001</v>
      </c>
      <c r="K182" s="47"/>
      <c r="L182" s="47"/>
      <c r="M182" s="15" t="e">
        <f t="shared" si="13"/>
        <v>#DIV/0!</v>
      </c>
    </row>
    <row r="183" spans="1:13" ht="16.5" hidden="1" customHeight="1" thickBot="1">
      <c r="A183" s="212"/>
      <c r="B183" s="213"/>
      <c r="C183" s="213"/>
      <c r="D183" s="213"/>
      <c r="E183" s="38">
        <v>9544</v>
      </c>
      <c r="F183" s="67">
        <v>1.75</v>
      </c>
      <c r="G183" s="46"/>
      <c r="H183" s="39">
        <f>H39</f>
        <v>0</v>
      </c>
      <c r="I183" s="38" t="e">
        <f t="shared" si="11"/>
        <v>#DIV/0!</v>
      </c>
      <c r="J183" s="38">
        <f t="shared" si="12"/>
        <v>260952.04800000001</v>
      </c>
      <c r="K183" s="47"/>
      <c r="L183" s="47"/>
      <c r="M183" s="15" t="e">
        <f t="shared" si="13"/>
        <v>#DIV/0!</v>
      </c>
    </row>
    <row r="184" spans="1:13" ht="16.5" hidden="1" customHeight="1">
      <c r="A184" s="212"/>
      <c r="B184" s="213"/>
      <c r="C184" s="213"/>
      <c r="D184" s="213"/>
      <c r="E184" s="38">
        <v>9544</v>
      </c>
      <c r="F184" s="39"/>
      <c r="G184" s="46"/>
      <c r="H184" s="39">
        <f>H39</f>
        <v>0</v>
      </c>
      <c r="I184" s="38" t="e">
        <f t="shared" si="11"/>
        <v>#DIV/0!</v>
      </c>
      <c r="J184" s="38">
        <f t="shared" si="12"/>
        <v>0</v>
      </c>
      <c r="K184" s="47"/>
      <c r="L184" s="47"/>
      <c r="M184" s="15" t="e">
        <f t="shared" si="13"/>
        <v>#DIV/0!</v>
      </c>
    </row>
    <row r="185" spans="1:13" ht="16.5" hidden="1" customHeight="1">
      <c r="A185" s="212"/>
      <c r="B185" s="213"/>
      <c r="C185" s="213"/>
      <c r="D185" s="213"/>
      <c r="E185" s="38">
        <v>9544</v>
      </c>
      <c r="F185" s="66">
        <v>0.5</v>
      </c>
      <c r="G185" s="46"/>
      <c r="H185" s="39">
        <f>H39</f>
        <v>0</v>
      </c>
      <c r="I185" s="38" t="e">
        <f t="shared" si="11"/>
        <v>#DIV/0!</v>
      </c>
      <c r="J185" s="38">
        <f t="shared" si="12"/>
        <v>74557.728000000003</v>
      </c>
      <c r="K185" s="47"/>
      <c r="L185" s="47"/>
      <c r="M185" s="15" t="e">
        <f t="shared" si="13"/>
        <v>#DIV/0!</v>
      </c>
    </row>
    <row r="186" spans="1:13" ht="15" hidden="1" customHeigh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3"/>
        <v>0</v>
      </c>
    </row>
    <row r="187" spans="1:13" ht="15.7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38"/>
      <c r="J187" s="38"/>
      <c r="K187" s="47"/>
      <c r="L187" s="47"/>
      <c r="M187" s="15">
        <f t="shared" si="13"/>
        <v>0</v>
      </c>
    </row>
    <row r="188" spans="1:13" ht="14.25" hidden="1" customHeight="1" thickBot="1">
      <c r="A188" s="212"/>
      <c r="B188" s="213"/>
      <c r="C188" s="213"/>
      <c r="D188" s="213"/>
      <c r="E188" s="38"/>
      <c r="F188" s="38"/>
      <c r="G188" s="38"/>
      <c r="H188" s="38"/>
      <c r="I188" s="46">
        <v>105</v>
      </c>
      <c r="J188" s="48">
        <f>H188/I188</f>
        <v>0</v>
      </c>
      <c r="K188" s="47"/>
      <c r="L188" s="47"/>
      <c r="M188" s="31">
        <f t="shared" si="13"/>
        <v>0</v>
      </c>
    </row>
    <row r="189" spans="1:13" ht="15" thickBot="1">
      <c r="A189" s="216" t="s">
        <v>47</v>
      </c>
      <c r="B189" s="216"/>
      <c r="C189" s="216"/>
      <c r="D189" s="216"/>
      <c r="E189" s="68"/>
      <c r="F189" s="167"/>
      <c r="G189" s="167"/>
      <c r="H189" s="73">
        <f>H163</f>
        <v>858844.54274525889</v>
      </c>
      <c r="I189" s="49"/>
      <c r="J189" s="69">
        <f>J163</f>
        <v>29615.329060181342</v>
      </c>
      <c r="K189" s="47"/>
      <c r="L189" s="47"/>
      <c r="M189" s="16"/>
    </row>
    <row r="190" spans="1:13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2" spans="1:13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7">
      <c r="A193" s="208" t="s">
        <v>61</v>
      </c>
      <c r="B193" s="208"/>
      <c r="C193" s="208"/>
      <c r="D193" s="208"/>
      <c r="E193" s="208"/>
      <c r="F193" s="208"/>
      <c r="G193" s="208"/>
      <c r="H193" s="208"/>
      <c r="I193" s="208"/>
      <c r="J193" s="208"/>
      <c r="K193" s="208"/>
      <c r="L193" s="165"/>
      <c r="M193" s="11"/>
    </row>
    <row r="194" spans="1:17" ht="55.8">
      <c r="A194" s="214" t="s">
        <v>62</v>
      </c>
      <c r="B194" s="215"/>
      <c r="C194" s="215"/>
      <c r="D194" s="284"/>
      <c r="E194" s="171" t="s">
        <v>7</v>
      </c>
      <c r="F194" s="171" t="s">
        <v>55</v>
      </c>
      <c r="G194" s="171" t="s">
        <v>42</v>
      </c>
      <c r="H194" s="171" t="s">
        <v>48</v>
      </c>
      <c r="I194" s="9" t="s">
        <v>63</v>
      </c>
      <c r="J194" s="9" t="s">
        <v>69</v>
      </c>
      <c r="K194" s="199"/>
      <c r="L194" s="28"/>
      <c r="M194" s="11"/>
    </row>
    <row r="195" spans="1:17" ht="36.75" customHeight="1">
      <c r="A195" s="212" t="s">
        <v>133</v>
      </c>
      <c r="B195" s="213"/>
      <c r="C195" s="213"/>
      <c r="D195" s="219"/>
      <c r="E195" s="171"/>
      <c r="F195" s="171"/>
      <c r="G195" s="171"/>
      <c r="H195" s="100">
        <f>632128.1*0.04116</f>
        <v>26018.392596000002</v>
      </c>
      <c r="I195" s="46">
        <v>29</v>
      </c>
      <c r="J195" s="104">
        <f>H195/I195</f>
        <v>897.1859515862069</v>
      </c>
      <c r="K195" s="40"/>
      <c r="L195" s="28"/>
      <c r="M195" s="11"/>
    </row>
    <row r="196" spans="1:17" ht="34.5" customHeight="1" thickBot="1">
      <c r="A196" s="212" t="s">
        <v>134</v>
      </c>
      <c r="B196" s="213"/>
      <c r="C196" s="213"/>
      <c r="D196" s="219"/>
      <c r="E196" s="171"/>
      <c r="F196" s="171"/>
      <c r="G196" s="171"/>
      <c r="H196" s="100">
        <f>214539.18*0.04116</f>
        <v>8830.4326488000006</v>
      </c>
      <c r="I196" s="46">
        <v>29</v>
      </c>
      <c r="J196" s="104">
        <f>H196/I196</f>
        <v>304.49767754482758</v>
      </c>
      <c r="K196" s="40"/>
      <c r="L196" s="28"/>
      <c r="M196" s="11"/>
    </row>
    <row r="197" spans="1:17" ht="15" thickBot="1">
      <c r="A197" s="285" t="s">
        <v>57</v>
      </c>
      <c r="B197" s="286"/>
      <c r="C197" s="286"/>
      <c r="D197" s="286"/>
      <c r="E197" s="286"/>
      <c r="F197" s="286"/>
      <c r="G197" s="287"/>
      <c r="H197" s="62">
        <f>H196+H195</f>
        <v>34848.825244799998</v>
      </c>
      <c r="I197" s="58"/>
      <c r="J197" s="33">
        <f>SUM(J195:J196)</f>
        <v>1201.6836291310344</v>
      </c>
      <c r="K197" s="50"/>
      <c r="L197" s="11"/>
      <c r="M197" s="11"/>
    </row>
    <row r="198" spans="1:17" ht="6.75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7" ht="55.8">
      <c r="A199" s="214" t="s">
        <v>62</v>
      </c>
      <c r="B199" s="215"/>
      <c r="C199" s="215"/>
      <c r="D199" s="284"/>
      <c r="E199" s="171" t="s">
        <v>135</v>
      </c>
      <c r="F199" s="171" t="s">
        <v>55</v>
      </c>
      <c r="G199" s="171" t="s">
        <v>42</v>
      </c>
      <c r="H199" s="171" t="s">
        <v>48</v>
      </c>
      <c r="I199" s="9" t="s">
        <v>63</v>
      </c>
      <c r="J199" s="9" t="s">
        <v>69</v>
      </c>
      <c r="K199" s="40"/>
      <c r="L199" s="28"/>
      <c r="M199" s="11"/>
    </row>
    <row r="200" spans="1:17">
      <c r="A200" s="212" t="s">
        <v>187</v>
      </c>
      <c r="B200" s="213"/>
      <c r="C200" s="213"/>
      <c r="D200" s="219"/>
      <c r="E200" s="171">
        <v>120</v>
      </c>
      <c r="F200" s="171"/>
      <c r="G200" s="171"/>
      <c r="H200" s="100">
        <f>156649.69*0.04116</f>
        <v>6447.7012404000006</v>
      </c>
      <c r="I200" s="46">
        <v>29</v>
      </c>
      <c r="J200" s="104">
        <f>H200/I200</f>
        <v>222.3345255310345</v>
      </c>
      <c r="K200" s="40"/>
      <c r="L200" s="28"/>
      <c r="M200" s="11"/>
    </row>
    <row r="201" spans="1:17" ht="15" thickBot="1">
      <c r="A201" s="212" t="s">
        <v>186</v>
      </c>
      <c r="B201" s="213"/>
      <c r="C201" s="213"/>
      <c r="D201" s="219"/>
      <c r="E201" s="171">
        <v>640</v>
      </c>
      <c r="F201" s="171"/>
      <c r="G201" s="171"/>
      <c r="H201" s="100">
        <f>74369.3*0.04116</f>
        <v>3061.0403880000003</v>
      </c>
      <c r="I201" s="46">
        <v>29</v>
      </c>
      <c r="J201" s="104">
        <f t="shared" ref="J201:J202" si="14">H201/I201</f>
        <v>105.55311682758622</v>
      </c>
      <c r="K201" s="40"/>
      <c r="L201" s="28"/>
      <c r="M201" s="11"/>
    </row>
    <row r="202" spans="1:17" ht="18" customHeight="1" thickBot="1">
      <c r="A202" s="212" t="s">
        <v>83</v>
      </c>
      <c r="B202" s="213"/>
      <c r="C202" s="213"/>
      <c r="D202" s="219"/>
      <c r="E202" s="171">
        <v>200</v>
      </c>
      <c r="F202" s="171"/>
      <c r="G202" s="171"/>
      <c r="H202" s="100">
        <f>32266.2*0.04116</f>
        <v>1328.0767920000001</v>
      </c>
      <c r="I202" s="46">
        <v>29</v>
      </c>
      <c r="J202" s="104">
        <f t="shared" si="14"/>
        <v>45.795751448275865</v>
      </c>
      <c r="K202" s="40"/>
      <c r="L202" s="28"/>
      <c r="M202" s="11"/>
      <c r="Q202" s="101" t="e">
        <f>K207*212</f>
        <v>#VALUE!</v>
      </c>
    </row>
    <row r="203" spans="1:17" ht="15" thickBot="1">
      <c r="A203" s="285" t="s">
        <v>57</v>
      </c>
      <c r="B203" s="286"/>
      <c r="C203" s="286"/>
      <c r="D203" s="286"/>
      <c r="E203" s="286"/>
      <c r="F203" s="286"/>
      <c r="G203" s="287"/>
      <c r="H203" s="62">
        <f>SUM(H200:H202)</f>
        <v>10836.818420400001</v>
      </c>
      <c r="I203" s="58"/>
      <c r="J203" s="33">
        <f>SUM(J200:J202)</f>
        <v>373.68339380689656</v>
      </c>
      <c r="K203" s="11"/>
      <c r="L203" s="11"/>
      <c r="M203" s="11"/>
    </row>
    <row r="204" spans="1:17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7">
      <c r="A205" s="230" t="s">
        <v>29</v>
      </c>
      <c r="B205" s="230"/>
      <c r="C205" s="230"/>
      <c r="D205" s="230"/>
      <c r="E205" s="230"/>
      <c r="F205" s="230"/>
      <c r="G205" s="230"/>
      <c r="H205" s="230"/>
      <c r="I205" s="230"/>
      <c r="J205" s="230"/>
      <c r="K205" s="230"/>
      <c r="L205" s="230"/>
      <c r="M205" s="230"/>
    </row>
    <row r="206" spans="1:17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7">
      <c r="A207" s="290" t="s">
        <v>30</v>
      </c>
      <c r="B207" s="291"/>
      <c r="C207" s="292"/>
      <c r="D207" s="214" t="s">
        <v>31</v>
      </c>
      <c r="E207" s="288"/>
      <c r="F207" s="288"/>
      <c r="G207" s="288"/>
      <c r="H207" s="288"/>
      <c r="I207" s="288"/>
      <c r="J207" s="289"/>
      <c r="K207" s="282" t="s">
        <v>35</v>
      </c>
      <c r="L207" s="156"/>
    </row>
    <row r="208" spans="1:17" ht="21.6">
      <c r="A208" s="10" t="s">
        <v>32</v>
      </c>
      <c r="B208" s="125" t="s">
        <v>33</v>
      </c>
      <c r="C208" s="10" t="s">
        <v>34</v>
      </c>
      <c r="D208" s="9" t="s">
        <v>141</v>
      </c>
      <c r="E208" s="9" t="s">
        <v>142</v>
      </c>
      <c r="F208" s="9" t="s">
        <v>143</v>
      </c>
      <c r="G208" s="9" t="s">
        <v>144</v>
      </c>
      <c r="H208" s="9" t="s">
        <v>145</v>
      </c>
      <c r="I208" s="35" t="s">
        <v>146</v>
      </c>
      <c r="J208" s="171" t="s">
        <v>144</v>
      </c>
      <c r="K208" s="283"/>
      <c r="L208" s="156"/>
    </row>
    <row r="209" spans="1:14">
      <c r="A209" s="15">
        <f>J158</f>
        <v>14532.349971878442</v>
      </c>
      <c r="B209" s="15"/>
      <c r="C209" s="15"/>
      <c r="D209" s="15">
        <f>J72</f>
        <v>138.53414226206897</v>
      </c>
      <c r="E209" s="15">
        <f>J81</f>
        <v>3695.6525348689656</v>
      </c>
      <c r="F209" s="15">
        <f>I96</f>
        <v>724.97491022068971</v>
      </c>
      <c r="G209" s="15">
        <f>I115</f>
        <v>1124.8415425655173</v>
      </c>
      <c r="H209" s="15">
        <f>H127</f>
        <v>1918.0028184413795</v>
      </c>
      <c r="I209" s="106">
        <f>J189</f>
        <v>29615.329060181342</v>
      </c>
      <c r="J209" s="105">
        <f>J197+J203</f>
        <v>1575.3670229379309</v>
      </c>
      <c r="K209" s="105">
        <f>SUM(D209:J209)+A209</f>
        <v>53325.052003356337</v>
      </c>
      <c r="L209" s="157"/>
    </row>
    <row r="210" spans="1:14" ht="1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4" ht="15" thickBot="1">
      <c r="A211" s="14" t="s">
        <v>64</v>
      </c>
      <c r="B211" s="14"/>
      <c r="C211" s="14"/>
      <c r="D211" s="11"/>
      <c r="E211" s="11"/>
      <c r="F211" s="11"/>
      <c r="G211" s="11"/>
      <c r="H211" s="11"/>
      <c r="I211" s="11"/>
      <c r="J211" s="72">
        <f>H72+H81+G96+G115+F127+H158+H189+H197+H203</f>
        <v>1633465.0135281335</v>
      </c>
      <c r="K211" s="11"/>
      <c r="L211" s="11"/>
      <c r="M211" s="11"/>
    </row>
    <row r="212" spans="1:14">
      <c r="A212" s="11"/>
      <c r="B212" s="11"/>
      <c r="C212" s="11"/>
      <c r="D212" s="11"/>
      <c r="E212" s="11"/>
      <c r="F212" s="11"/>
      <c r="G212" s="11"/>
      <c r="H212" s="11"/>
      <c r="I212" s="11"/>
      <c r="J212" s="184"/>
      <c r="K212" s="11"/>
      <c r="L212" s="11"/>
      <c r="M212" s="11"/>
    </row>
    <row r="213" spans="1:14" ht="18">
      <c r="A213" s="3" t="s">
        <v>136</v>
      </c>
      <c r="B213" s="3"/>
      <c r="C213" s="3"/>
      <c r="I213" s="3" t="s">
        <v>137</v>
      </c>
      <c r="N213" s="196"/>
    </row>
    <row r="215" spans="1:14" ht="15.6">
      <c r="A215" s="118" t="s">
        <v>43</v>
      </c>
      <c r="B215" s="7"/>
      <c r="J215" s="198"/>
      <c r="M215" s="196"/>
    </row>
    <row r="216" spans="1:14" ht="15.6">
      <c r="A216" s="147" t="s">
        <v>196</v>
      </c>
      <c r="B216" s="7"/>
    </row>
    <row r="217" spans="1:14" ht="15.6">
      <c r="A217" s="118" t="s">
        <v>85</v>
      </c>
      <c r="C217" s="7"/>
    </row>
    <row r="218" spans="1:14" ht="15.6">
      <c r="A218" s="2"/>
      <c r="B218" s="2"/>
      <c r="C218" s="2"/>
    </row>
  </sheetData>
  <mergeCells count="210">
    <mergeCell ref="A201:D201"/>
    <mergeCell ref="A172:D172"/>
    <mergeCell ref="A173:D173"/>
    <mergeCell ref="A174:D174"/>
    <mergeCell ref="A175:D175"/>
    <mergeCell ref="A166:D166"/>
    <mergeCell ref="A167:D167"/>
    <mergeCell ref="A168:D168"/>
    <mergeCell ref="A169:D169"/>
    <mergeCell ref="A170:D170"/>
    <mergeCell ref="A171:D171"/>
    <mergeCell ref="A185:D185"/>
    <mergeCell ref="A186:D186"/>
    <mergeCell ref="A189:D189"/>
    <mergeCell ref="A187:D187"/>
    <mergeCell ref="A188:D188"/>
    <mergeCell ref="A194:D194"/>
    <mergeCell ref="A195:D195"/>
    <mergeCell ref="A199:D199"/>
    <mergeCell ref="A200:D200"/>
    <mergeCell ref="A149:D149"/>
    <mergeCell ref="A183:D183"/>
    <mergeCell ref="A184:D184"/>
    <mergeCell ref="A176:D176"/>
    <mergeCell ref="A177:D177"/>
    <mergeCell ref="A178:D178"/>
    <mergeCell ref="A179:D179"/>
    <mergeCell ref="A180:D180"/>
    <mergeCell ref="A181:D181"/>
    <mergeCell ref="A182:D182"/>
    <mergeCell ref="A161:D161"/>
    <mergeCell ref="A162:D162"/>
    <mergeCell ref="A163:D163"/>
    <mergeCell ref="A164:D164"/>
    <mergeCell ref="A165:D165"/>
    <mergeCell ref="A156:D156"/>
    <mergeCell ref="A157:D157"/>
    <mergeCell ref="A158:D158"/>
    <mergeCell ref="A144:D144"/>
    <mergeCell ref="A145:D145"/>
    <mergeCell ref="A146:D146"/>
    <mergeCell ref="A147:D147"/>
    <mergeCell ref="A148:D148"/>
    <mergeCell ref="A133:D133"/>
    <mergeCell ref="A138:D138"/>
    <mergeCell ref="A136:D136"/>
    <mergeCell ref="A137:D137"/>
    <mergeCell ref="A134:D134"/>
    <mergeCell ref="A135:D135"/>
    <mergeCell ref="A139:D139"/>
    <mergeCell ref="A140:D140"/>
    <mergeCell ref="A141:D141"/>
    <mergeCell ref="A142:D142"/>
    <mergeCell ref="A143:D143"/>
    <mergeCell ref="A115:D115"/>
    <mergeCell ref="A104:D104"/>
    <mergeCell ref="A105:D105"/>
    <mergeCell ref="A106:D106"/>
    <mergeCell ref="A110:D110"/>
    <mergeCell ref="A111:D111"/>
    <mergeCell ref="A109:D109"/>
    <mergeCell ref="A107:D107"/>
    <mergeCell ref="A108:D108"/>
    <mergeCell ref="A112:D112"/>
    <mergeCell ref="A113:D113"/>
    <mergeCell ref="A114:D114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92:D92"/>
    <mergeCell ref="A80:D80"/>
    <mergeCell ref="A81:D81"/>
    <mergeCell ref="A83:M83"/>
    <mergeCell ref="A71:D71"/>
    <mergeCell ref="A72:D72"/>
    <mergeCell ref="A74:M74"/>
    <mergeCell ref="A75:D75"/>
    <mergeCell ref="A76:D76"/>
    <mergeCell ref="A99:D99"/>
    <mergeCell ref="A36:E36"/>
    <mergeCell ref="G36:K36"/>
    <mergeCell ref="A41:D41"/>
    <mergeCell ref="A42:M42"/>
    <mergeCell ref="A44:D44"/>
    <mergeCell ref="A45:D45"/>
    <mergeCell ref="A46:D46"/>
    <mergeCell ref="A40:E40"/>
    <mergeCell ref="G40:K40"/>
    <mergeCell ref="A38:E38"/>
    <mergeCell ref="G38:K38"/>
    <mergeCell ref="A39:E39"/>
    <mergeCell ref="G39:K39"/>
    <mergeCell ref="G41:N41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G34:K34"/>
    <mergeCell ref="A35:E35"/>
    <mergeCell ref="G35:K35"/>
    <mergeCell ref="A2:D2"/>
    <mergeCell ref="E2:G2"/>
    <mergeCell ref="A3:B3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03:G203"/>
    <mergeCell ref="A205:M205"/>
    <mergeCell ref="A207:C207"/>
    <mergeCell ref="D207:J207"/>
    <mergeCell ref="K207:K208"/>
    <mergeCell ref="A118:D118"/>
    <mergeCell ref="A122:D122"/>
    <mergeCell ref="A123:D123"/>
    <mergeCell ref="A153:D153"/>
    <mergeCell ref="A154:D154"/>
    <mergeCell ref="A155:D155"/>
    <mergeCell ref="A127:D127"/>
    <mergeCell ref="A130:D130"/>
    <mergeCell ref="A131:D131"/>
    <mergeCell ref="A132:D132"/>
    <mergeCell ref="A119:D119"/>
    <mergeCell ref="A120:D120"/>
    <mergeCell ref="A121:D121"/>
    <mergeCell ref="A124:D124"/>
    <mergeCell ref="A125:D125"/>
    <mergeCell ref="A126:D126"/>
    <mergeCell ref="A150:D150"/>
    <mergeCell ref="A151:D151"/>
    <mergeCell ref="A152:D152"/>
    <mergeCell ref="A117:M117"/>
    <mergeCell ref="A129:M129"/>
    <mergeCell ref="A160:M160"/>
    <mergeCell ref="A193:K193"/>
    <mergeCell ref="A196:D196"/>
    <mergeCell ref="A197:G197"/>
    <mergeCell ref="A202:D202"/>
    <mergeCell ref="A53:D53"/>
    <mergeCell ref="A54:D54"/>
    <mergeCell ref="A55:D55"/>
    <mergeCell ref="A56:D56"/>
    <mergeCell ref="A57:D57"/>
    <mergeCell ref="A58:D58"/>
    <mergeCell ref="A69:D69"/>
    <mergeCell ref="A70:D70"/>
    <mergeCell ref="A59:D59"/>
    <mergeCell ref="A60:D60"/>
    <mergeCell ref="A61:D61"/>
    <mergeCell ref="A62:D62"/>
    <mergeCell ref="A63:D63"/>
    <mergeCell ref="A64:D64"/>
    <mergeCell ref="A77:D77"/>
    <mergeCell ref="A78:D78"/>
    <mergeCell ref="A79:D79"/>
    <mergeCell ref="A47:D47"/>
    <mergeCell ref="A48:D48"/>
    <mergeCell ref="A49:D49"/>
    <mergeCell ref="A50:D50"/>
    <mergeCell ref="A51:D51"/>
    <mergeCell ref="A52:D52"/>
    <mergeCell ref="A65:K65"/>
    <mergeCell ref="A67:M67"/>
    <mergeCell ref="A68:D68"/>
  </mergeCells>
  <pageMargins left="0.70866141732283472" right="0.11811023622047245" top="0.15748031496062992" bottom="0.39370078740157483" header="0.31496062992125984" footer="0.31496062992125984"/>
  <pageSetup paperSize="9" scale="6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AF217"/>
  <sheetViews>
    <sheetView topLeftCell="A194" zoomScale="80" zoomScaleNormal="80" workbookViewId="0">
      <selection activeCell="E224" sqref="E224"/>
    </sheetView>
  </sheetViews>
  <sheetFormatPr defaultRowHeight="14.4"/>
  <cols>
    <col min="1" max="1" width="10.6640625" customWidth="1"/>
    <col min="2" max="3" width="6.109375" customWidth="1"/>
    <col min="4" max="4" width="12.109375" customWidth="1"/>
    <col min="5" max="5" width="13" customWidth="1"/>
    <col min="6" max="6" width="11.88671875" customWidth="1"/>
    <col min="7" max="7" width="14.5546875" customWidth="1"/>
    <col min="8" max="8" width="14.33203125" customWidth="1"/>
    <col min="9" max="9" width="11.5546875" customWidth="1"/>
    <col min="10" max="10" width="13.44140625" customWidth="1"/>
    <col min="11" max="11" width="11.109375" customWidth="1"/>
    <col min="12" max="12" width="11.109375" hidden="1" customWidth="1"/>
    <col min="13" max="13" width="13.109375" customWidth="1"/>
    <col min="17" max="17" width="14.5546875" customWidth="1"/>
  </cols>
  <sheetData>
    <row r="1" spans="1:13" hidden="1"/>
    <row r="2" spans="1:13" ht="15.6" hidden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96"/>
      <c r="F3" s="43"/>
      <c r="G3" s="43"/>
    </row>
    <row r="4" spans="1:13" ht="27.75" customHeight="1">
      <c r="A4" s="4"/>
      <c r="B4" s="4"/>
      <c r="C4" s="4"/>
      <c r="D4" s="176"/>
      <c r="E4" s="4"/>
      <c r="F4" s="4"/>
      <c r="G4" s="176"/>
    </row>
    <row r="5" spans="1:13" ht="7.5" customHeight="1">
      <c r="A5" s="166"/>
      <c r="B5" s="166"/>
      <c r="C5" s="166"/>
      <c r="D5" s="166"/>
      <c r="E5" s="166"/>
      <c r="F5" s="166"/>
      <c r="G5" s="166"/>
    </row>
    <row r="6" spans="1:13" ht="15.6">
      <c r="A6" s="209" t="s">
        <v>138</v>
      </c>
      <c r="B6" s="210"/>
      <c r="C6" s="210"/>
      <c r="D6" s="210"/>
      <c r="E6" s="210"/>
      <c r="F6" s="210"/>
      <c r="G6" s="211"/>
      <c r="H6" s="211"/>
      <c r="I6" s="211"/>
      <c r="J6" s="211"/>
      <c r="K6" s="211"/>
      <c r="L6" s="211"/>
      <c r="M6" s="211"/>
    </row>
    <row r="7" spans="1:13" ht="15.6">
      <c r="A7" s="209" t="s">
        <v>139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9" spans="1:13" ht="6.75" customHeight="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</row>
    <row r="10" spans="1:13" ht="15.6">
      <c r="A10" s="8" t="s">
        <v>173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3">
      <c r="A11" s="249" t="s">
        <v>86</v>
      </c>
      <c r="B11" s="250"/>
      <c r="C11" s="250"/>
      <c r="D11" s="250"/>
      <c r="E11" s="250"/>
      <c r="F11" s="250"/>
      <c r="G11" s="250"/>
      <c r="H11" s="250"/>
      <c r="I11" s="250"/>
      <c r="J11" s="250"/>
      <c r="K11" s="250"/>
      <c r="L11" s="250"/>
      <c r="M11" s="250"/>
    </row>
    <row r="12" spans="1:13" ht="17.25" customHeight="1">
      <c r="A12" s="8" t="s">
        <v>58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15.6">
      <c r="A13" s="8" t="s">
        <v>111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110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42">
      <c r="A15" s="261" t="s">
        <v>66</v>
      </c>
      <c r="B15" s="261"/>
      <c r="C15" s="261"/>
      <c r="D15" s="261"/>
      <c r="E15" s="261"/>
      <c r="F15" s="9" t="s">
        <v>65</v>
      </c>
      <c r="G15" s="261" t="s">
        <v>67</v>
      </c>
      <c r="H15" s="261"/>
      <c r="I15" s="261"/>
      <c r="J15" s="261"/>
      <c r="K15" s="261"/>
      <c r="L15" s="171"/>
      <c r="M15" s="9" t="s">
        <v>65</v>
      </c>
    </row>
    <row r="16" spans="1:13" ht="51.75" customHeight="1">
      <c r="A16" s="234" t="s">
        <v>90</v>
      </c>
      <c r="B16" s="234"/>
      <c r="C16" s="234"/>
      <c r="D16" s="234"/>
      <c r="E16" s="234"/>
      <c r="F16" s="152">
        <f>4.92*0.005738</f>
        <v>2.8230959999999999E-2</v>
      </c>
      <c r="G16" s="235" t="s">
        <v>1</v>
      </c>
      <c r="H16" s="235"/>
      <c r="I16" s="235"/>
      <c r="J16" s="235"/>
      <c r="K16" s="235"/>
      <c r="L16" s="112">
        <v>1</v>
      </c>
      <c r="M16" s="200">
        <f t="shared" ref="M16:M23" si="0">L16*0.005738</f>
        <v>5.738E-3</v>
      </c>
    </row>
    <row r="17" spans="1:13">
      <c r="A17" s="234" t="s">
        <v>91</v>
      </c>
      <c r="B17" s="234"/>
      <c r="C17" s="234"/>
      <c r="D17" s="234"/>
      <c r="E17" s="234"/>
      <c r="F17" s="152">
        <f>8.83*0.005738</f>
        <v>5.0666540000000003E-2</v>
      </c>
      <c r="G17" s="224" t="s">
        <v>92</v>
      </c>
      <c r="H17" s="225"/>
      <c r="I17" s="225"/>
      <c r="J17" s="225"/>
      <c r="K17" s="237"/>
      <c r="L17" s="112">
        <v>4</v>
      </c>
      <c r="M17" s="152">
        <f t="shared" si="0"/>
        <v>2.2952E-2</v>
      </c>
    </row>
    <row r="18" spans="1:13">
      <c r="A18" s="234"/>
      <c r="B18" s="234"/>
      <c r="C18" s="234"/>
      <c r="D18" s="234"/>
      <c r="E18" s="234"/>
      <c r="F18" s="152"/>
      <c r="G18" s="234" t="s">
        <v>93</v>
      </c>
      <c r="H18" s="234"/>
      <c r="I18" s="234"/>
      <c r="J18" s="234"/>
      <c r="K18" s="234"/>
      <c r="L18" s="112">
        <v>1</v>
      </c>
      <c r="M18" s="152">
        <f t="shared" si="0"/>
        <v>5.738E-3</v>
      </c>
    </row>
    <row r="19" spans="1:13">
      <c r="A19" s="234"/>
      <c r="B19" s="234"/>
      <c r="C19" s="234"/>
      <c r="D19" s="234"/>
      <c r="E19" s="234"/>
      <c r="F19" s="152"/>
      <c r="G19" s="241" t="s">
        <v>72</v>
      </c>
      <c r="H19" s="242"/>
      <c r="I19" s="242"/>
      <c r="J19" s="242"/>
      <c r="K19" s="243"/>
      <c r="L19" s="112">
        <v>1</v>
      </c>
      <c r="M19" s="152">
        <f t="shared" si="0"/>
        <v>5.738E-3</v>
      </c>
    </row>
    <row r="20" spans="1:13">
      <c r="A20" s="234"/>
      <c r="B20" s="234"/>
      <c r="C20" s="234"/>
      <c r="D20" s="234"/>
      <c r="E20" s="234"/>
      <c r="F20" s="152"/>
      <c r="G20" s="235" t="s">
        <v>94</v>
      </c>
      <c r="H20" s="235"/>
      <c r="I20" s="235"/>
      <c r="J20" s="235"/>
      <c r="K20" s="235"/>
      <c r="L20" s="112">
        <v>0.5</v>
      </c>
      <c r="M20" s="152">
        <f t="shared" si="0"/>
        <v>2.869E-3</v>
      </c>
    </row>
    <row r="21" spans="1:13" ht="15" customHeight="1">
      <c r="A21" s="234"/>
      <c r="B21" s="234"/>
      <c r="C21" s="234"/>
      <c r="D21" s="234"/>
      <c r="E21" s="234"/>
      <c r="F21" s="152"/>
      <c r="G21" s="235" t="s">
        <v>70</v>
      </c>
      <c r="H21" s="235"/>
      <c r="I21" s="235"/>
      <c r="J21" s="235"/>
      <c r="K21" s="235"/>
      <c r="L21" s="113">
        <v>1</v>
      </c>
      <c r="M21" s="152">
        <f t="shared" si="0"/>
        <v>5.738E-3</v>
      </c>
    </row>
    <row r="22" spans="1:13" ht="15" customHeight="1">
      <c r="A22" s="234"/>
      <c r="B22" s="234"/>
      <c r="C22" s="234"/>
      <c r="D22" s="234"/>
      <c r="E22" s="234"/>
      <c r="F22" s="152"/>
      <c r="G22" s="236" t="s">
        <v>95</v>
      </c>
      <c r="H22" s="236"/>
      <c r="I22" s="236"/>
      <c r="J22" s="236"/>
      <c r="K22" s="236"/>
      <c r="L22" s="113">
        <v>0.5</v>
      </c>
      <c r="M22" s="152">
        <f t="shared" si="0"/>
        <v>2.869E-3</v>
      </c>
    </row>
    <row r="23" spans="1:13" ht="15.75" customHeight="1">
      <c r="A23" s="224"/>
      <c r="B23" s="225"/>
      <c r="C23" s="225"/>
      <c r="D23" s="225"/>
      <c r="E23" s="237"/>
      <c r="F23" s="152"/>
      <c r="G23" s="238"/>
      <c r="H23" s="239"/>
      <c r="I23" s="239"/>
      <c r="J23" s="239"/>
      <c r="K23" s="240"/>
      <c r="L23" s="113"/>
      <c r="M23" s="152">
        <f t="shared" si="0"/>
        <v>0</v>
      </c>
    </row>
    <row r="24" spans="1:13" ht="15.75" hidden="1" customHeight="1">
      <c r="A24" s="224"/>
      <c r="B24" s="225"/>
      <c r="C24" s="225"/>
      <c r="D24" s="225"/>
      <c r="E24" s="237"/>
      <c r="F24" s="152"/>
      <c r="G24" s="238" t="s">
        <v>96</v>
      </c>
      <c r="H24" s="239"/>
      <c r="I24" s="239"/>
      <c r="J24" s="239"/>
      <c r="K24" s="240"/>
      <c r="L24" s="113">
        <v>1</v>
      </c>
      <c r="M24" s="152">
        <f>L24*0.05454</f>
        <v>5.4539999999999998E-2</v>
      </c>
    </row>
    <row r="25" spans="1:13" ht="15.75" customHeight="1">
      <c r="A25" s="224"/>
      <c r="B25" s="225"/>
      <c r="C25" s="225"/>
      <c r="D25" s="225"/>
      <c r="E25" s="237"/>
      <c r="F25" s="159"/>
      <c r="G25" s="238"/>
      <c r="H25" s="239"/>
      <c r="I25" s="239"/>
      <c r="J25" s="239"/>
      <c r="K25" s="240"/>
      <c r="L25" s="115"/>
      <c r="M25" s="152">
        <f>L25*0.005738</f>
        <v>0</v>
      </c>
    </row>
    <row r="26" spans="1:13" ht="15.75" hidden="1" customHeight="1">
      <c r="A26" s="224"/>
      <c r="B26" s="225"/>
      <c r="C26" s="225"/>
      <c r="D26" s="225"/>
      <c r="E26" s="237"/>
      <c r="F26" s="159"/>
      <c r="G26" s="258" t="s">
        <v>97</v>
      </c>
      <c r="H26" s="259"/>
      <c r="I26" s="259"/>
      <c r="J26" s="259"/>
      <c r="K26" s="260"/>
      <c r="L26" s="115">
        <v>2</v>
      </c>
      <c r="M26" s="152">
        <f>L26*0.05454</f>
        <v>0.10908</v>
      </c>
    </row>
    <row r="27" spans="1:13" ht="15.75" customHeight="1">
      <c r="A27" s="224"/>
      <c r="B27" s="225"/>
      <c r="C27" s="225"/>
      <c r="D27" s="225"/>
      <c r="E27" s="237"/>
      <c r="F27" s="159"/>
      <c r="G27" s="238" t="s">
        <v>71</v>
      </c>
      <c r="H27" s="239"/>
      <c r="I27" s="239"/>
      <c r="J27" s="239"/>
      <c r="K27" s="240"/>
      <c r="L27" s="115">
        <v>1</v>
      </c>
      <c r="M27" s="152">
        <f t="shared" ref="M27:M39" si="1">L27*0.005738</f>
        <v>5.738E-3</v>
      </c>
    </row>
    <row r="28" spans="1:13" ht="15.75" customHeight="1">
      <c r="A28" s="257"/>
      <c r="B28" s="257"/>
      <c r="C28" s="257"/>
      <c r="D28" s="257"/>
      <c r="E28" s="257"/>
      <c r="F28" s="159"/>
      <c r="G28" s="236" t="s">
        <v>98</v>
      </c>
      <c r="H28" s="236"/>
      <c r="I28" s="236"/>
      <c r="J28" s="236"/>
      <c r="K28" s="236"/>
      <c r="L28" s="115">
        <v>4.75</v>
      </c>
      <c r="M28" s="152">
        <f t="shared" si="1"/>
        <v>2.7255500000000002E-2</v>
      </c>
    </row>
    <row r="29" spans="1:13" ht="15" customHeight="1">
      <c r="A29" s="257"/>
      <c r="B29" s="257"/>
      <c r="C29" s="257"/>
      <c r="D29" s="257"/>
      <c r="E29" s="257"/>
      <c r="F29" s="159"/>
      <c r="G29" s="236" t="s">
        <v>99</v>
      </c>
      <c r="H29" s="236"/>
      <c r="I29" s="236"/>
      <c r="J29" s="236"/>
      <c r="K29" s="236"/>
      <c r="L29" s="115">
        <v>3.5</v>
      </c>
      <c r="M29" s="152">
        <f t="shared" si="1"/>
        <v>2.0083E-2</v>
      </c>
    </row>
    <row r="30" spans="1:13" ht="15.75" customHeight="1">
      <c r="A30" s="254"/>
      <c r="B30" s="254"/>
      <c r="C30" s="254"/>
      <c r="D30" s="254"/>
      <c r="E30" s="254"/>
      <c r="F30" s="160"/>
      <c r="G30" s="236" t="s">
        <v>100</v>
      </c>
      <c r="H30" s="236"/>
      <c r="I30" s="236"/>
      <c r="J30" s="236"/>
      <c r="K30" s="236"/>
      <c r="L30" s="115">
        <v>2</v>
      </c>
      <c r="M30" s="152">
        <f t="shared" si="1"/>
        <v>1.1476E-2</v>
      </c>
    </row>
    <row r="31" spans="1:13">
      <c r="A31" s="254"/>
      <c r="B31" s="254"/>
      <c r="C31" s="254"/>
      <c r="D31" s="254"/>
      <c r="E31" s="254"/>
      <c r="F31" s="160"/>
      <c r="G31" s="236" t="s">
        <v>101</v>
      </c>
      <c r="H31" s="236"/>
      <c r="I31" s="236"/>
      <c r="J31" s="236"/>
      <c r="K31" s="236"/>
      <c r="L31" s="115">
        <v>1</v>
      </c>
      <c r="M31" s="152">
        <f t="shared" si="1"/>
        <v>5.738E-3</v>
      </c>
    </row>
    <row r="32" spans="1:13" ht="27.75" customHeight="1">
      <c r="A32" s="254"/>
      <c r="B32" s="254"/>
      <c r="C32" s="254"/>
      <c r="D32" s="254"/>
      <c r="E32" s="254"/>
      <c r="F32" s="160"/>
      <c r="G32" s="236" t="s">
        <v>102</v>
      </c>
      <c r="H32" s="236"/>
      <c r="I32" s="236"/>
      <c r="J32" s="236"/>
      <c r="K32" s="236"/>
      <c r="L32" s="115">
        <v>0.5</v>
      </c>
      <c r="M32" s="152">
        <f t="shared" si="1"/>
        <v>2.869E-3</v>
      </c>
    </row>
    <row r="33" spans="1:15" ht="14.4" customHeight="1">
      <c r="A33" s="254"/>
      <c r="B33" s="254"/>
      <c r="C33" s="254"/>
      <c r="D33" s="254"/>
      <c r="E33" s="254"/>
      <c r="F33" s="160"/>
      <c r="G33" s="212" t="s">
        <v>103</v>
      </c>
      <c r="H33" s="213"/>
      <c r="I33" s="213"/>
      <c r="J33" s="213"/>
      <c r="K33" s="219"/>
      <c r="L33" s="115">
        <v>0.5</v>
      </c>
      <c r="M33" s="152">
        <f t="shared" si="1"/>
        <v>2.869E-3</v>
      </c>
    </row>
    <row r="34" spans="1:15" ht="12.75" customHeight="1">
      <c r="A34" s="254"/>
      <c r="B34" s="254"/>
      <c r="C34" s="254"/>
      <c r="D34" s="254"/>
      <c r="E34" s="254"/>
      <c r="F34" s="160"/>
      <c r="G34" s="212" t="s">
        <v>104</v>
      </c>
      <c r="H34" s="213"/>
      <c r="I34" s="213"/>
      <c r="J34" s="213"/>
      <c r="K34" s="219"/>
      <c r="L34" s="115">
        <v>16</v>
      </c>
      <c r="M34" s="152">
        <f t="shared" si="1"/>
        <v>9.1808000000000001E-2</v>
      </c>
    </row>
    <row r="35" spans="1:15" ht="15" customHeight="1">
      <c r="A35" s="264"/>
      <c r="B35" s="265"/>
      <c r="C35" s="265"/>
      <c r="D35" s="265"/>
      <c r="E35" s="266"/>
      <c r="F35" s="160"/>
      <c r="G35" s="224" t="s">
        <v>105</v>
      </c>
      <c r="H35" s="225"/>
      <c r="I35" s="225"/>
      <c r="J35" s="225"/>
      <c r="K35" s="226"/>
      <c r="L35" s="112">
        <v>2</v>
      </c>
      <c r="M35" s="152">
        <f t="shared" si="1"/>
        <v>1.1476E-2</v>
      </c>
    </row>
    <row r="36" spans="1:15">
      <c r="A36" s="264"/>
      <c r="B36" s="265"/>
      <c r="C36" s="265"/>
      <c r="D36" s="265"/>
      <c r="E36" s="266"/>
      <c r="F36" s="160"/>
      <c r="G36" s="224" t="s">
        <v>106</v>
      </c>
      <c r="H36" s="225"/>
      <c r="I36" s="225"/>
      <c r="J36" s="225"/>
      <c r="K36" s="226"/>
      <c r="L36" s="112">
        <v>1</v>
      </c>
      <c r="M36" s="152">
        <f t="shared" si="1"/>
        <v>5.738E-3</v>
      </c>
    </row>
    <row r="37" spans="1:15" ht="15" customHeight="1">
      <c r="A37" s="264"/>
      <c r="B37" s="265"/>
      <c r="C37" s="265"/>
      <c r="D37" s="265"/>
      <c r="E37" s="266"/>
      <c r="F37" s="160"/>
      <c r="G37" s="224" t="s">
        <v>107</v>
      </c>
      <c r="H37" s="225"/>
      <c r="I37" s="225"/>
      <c r="J37" s="225"/>
      <c r="K37" s="226"/>
      <c r="L37" s="112">
        <v>1</v>
      </c>
      <c r="M37" s="152">
        <f t="shared" si="1"/>
        <v>5.738E-3</v>
      </c>
    </row>
    <row r="38" spans="1:15" ht="15" customHeight="1">
      <c r="A38" s="264"/>
      <c r="B38" s="265"/>
      <c r="C38" s="265"/>
      <c r="D38" s="265"/>
      <c r="E38" s="266"/>
      <c r="F38" s="160"/>
      <c r="G38" s="224" t="s">
        <v>108</v>
      </c>
      <c r="H38" s="225"/>
      <c r="I38" s="225"/>
      <c r="J38" s="225"/>
      <c r="K38" s="226"/>
      <c r="L38" s="115">
        <v>10</v>
      </c>
      <c r="M38" s="152">
        <f t="shared" si="1"/>
        <v>5.738E-2</v>
      </c>
    </row>
    <row r="39" spans="1:15" ht="15" customHeight="1">
      <c r="A39" s="248" t="s">
        <v>2</v>
      </c>
      <c r="B39" s="248"/>
      <c r="C39" s="248"/>
      <c r="D39" s="248"/>
      <c r="E39" s="248"/>
      <c r="F39" s="161">
        <f>SUM(F16:F34)</f>
        <v>7.8897500000000009E-2</v>
      </c>
      <c r="G39" s="244" t="s">
        <v>2</v>
      </c>
      <c r="H39" s="244"/>
      <c r="I39" s="244"/>
      <c r="J39" s="244"/>
      <c r="K39" s="244"/>
      <c r="L39" s="117">
        <f>SUM(L16:L38)</f>
        <v>55.25</v>
      </c>
      <c r="M39" s="161">
        <f t="shared" si="1"/>
        <v>0.31702449999999999</v>
      </c>
    </row>
    <row r="40" spans="1:15" ht="15" customHeight="1">
      <c r="A40" s="248" t="s">
        <v>2</v>
      </c>
      <c r="B40" s="248"/>
      <c r="C40" s="248"/>
      <c r="D40" s="248"/>
      <c r="E40" s="78">
        <f>SUM(E16:E28)</f>
        <v>0</v>
      </c>
      <c r="F40" s="173"/>
      <c r="G40" s="280" t="s">
        <v>2</v>
      </c>
      <c r="H40" s="280"/>
      <c r="I40" s="280"/>
      <c r="J40" s="280"/>
      <c r="K40" s="280"/>
      <c r="L40" s="280"/>
      <c r="M40" s="280"/>
      <c r="N40" s="280"/>
      <c r="O40" s="173"/>
    </row>
    <row r="41" spans="1:15" ht="98.25" hidden="1" customHeight="1">
      <c r="A41" s="208" t="s">
        <v>15</v>
      </c>
      <c r="B41" s="208"/>
      <c r="C41" s="208"/>
      <c r="D41" s="208"/>
      <c r="E41" s="208"/>
      <c r="F41" s="208"/>
      <c r="G41" s="208"/>
      <c r="H41" s="208"/>
      <c r="I41" s="208"/>
      <c r="J41" s="208"/>
      <c r="K41" s="208"/>
      <c r="L41" s="208"/>
      <c r="M41" s="208"/>
    </row>
    <row r="42" spans="1:15" ht="14.4" hidden="1" customHeight="1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</row>
    <row r="43" spans="1:15" ht="14.4" hidden="1" customHeight="1">
      <c r="A43" s="277" t="s">
        <v>6</v>
      </c>
      <c r="B43" s="277"/>
      <c r="C43" s="277"/>
      <c r="D43" s="277"/>
      <c r="E43" s="19" t="s">
        <v>7</v>
      </c>
      <c r="F43" s="19" t="s">
        <v>8</v>
      </c>
      <c r="G43" s="19" t="s">
        <v>9</v>
      </c>
      <c r="H43" s="19" t="s">
        <v>10</v>
      </c>
      <c r="I43" s="19"/>
      <c r="J43" s="19" t="s">
        <v>11</v>
      </c>
      <c r="K43" s="19" t="s">
        <v>12</v>
      </c>
      <c r="L43" s="19"/>
      <c r="M43" s="19" t="s">
        <v>5</v>
      </c>
    </row>
    <row r="44" spans="1:15" ht="80.25" hidden="1" customHeight="1">
      <c r="A44" s="278">
        <v>1</v>
      </c>
      <c r="B44" s="279"/>
      <c r="C44" s="279"/>
      <c r="D44" s="279"/>
      <c r="E44" s="19">
        <v>2</v>
      </c>
      <c r="F44" s="19">
        <v>3</v>
      </c>
      <c r="G44" s="19">
        <v>4</v>
      </c>
      <c r="H44" s="19" t="s">
        <v>36</v>
      </c>
      <c r="I44" s="19"/>
      <c r="J44" s="19">
        <v>6</v>
      </c>
      <c r="K44" s="19">
        <v>7</v>
      </c>
      <c r="L44" s="19"/>
      <c r="M44" s="19" t="s">
        <v>37</v>
      </c>
    </row>
    <row r="45" spans="1:15" ht="15" hidden="1" customHeight="1">
      <c r="A45" s="227" t="s">
        <v>39</v>
      </c>
      <c r="B45" s="227"/>
      <c r="C45" s="227"/>
      <c r="D45" s="227"/>
      <c r="E45" s="20" t="s">
        <v>13</v>
      </c>
      <c r="F45" s="19">
        <v>7</v>
      </c>
      <c r="G45" s="20">
        <v>10</v>
      </c>
      <c r="H45" s="21">
        <f>F45/G45</f>
        <v>0.7</v>
      </c>
      <c r="I45" s="21"/>
      <c r="J45" s="19">
        <v>20</v>
      </c>
      <c r="K45" s="22">
        <v>7100</v>
      </c>
      <c r="L45" s="22"/>
      <c r="M45" s="22">
        <f>H45*K45</f>
        <v>4970</v>
      </c>
    </row>
    <row r="46" spans="1:15" ht="15" hidden="1" customHeight="1">
      <c r="A46" s="227" t="s">
        <v>40</v>
      </c>
      <c r="B46" s="227"/>
      <c r="C46" s="227"/>
      <c r="D46" s="227"/>
      <c r="E46" s="20" t="s">
        <v>13</v>
      </c>
      <c r="F46" s="19">
        <v>1</v>
      </c>
      <c r="G46" s="20">
        <v>10</v>
      </c>
      <c r="H46" s="21">
        <f t="shared" ref="H46:H62" si="2">F46/G46</f>
        <v>0.1</v>
      </c>
      <c r="I46" s="21"/>
      <c r="J46" s="19">
        <v>20</v>
      </c>
      <c r="K46" s="22">
        <v>538700</v>
      </c>
      <c r="L46" s="22"/>
      <c r="M46" s="22">
        <f t="shared" ref="M46:M63" si="3">H46*K46</f>
        <v>53870</v>
      </c>
    </row>
    <row r="47" spans="1:15" ht="15" hidden="1" customHeight="1">
      <c r="A47" s="227" t="s">
        <v>41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si="2"/>
        <v>0.1</v>
      </c>
      <c r="I47" s="21"/>
      <c r="J47" s="19">
        <v>20</v>
      </c>
      <c r="K47" s="22">
        <v>380000</v>
      </c>
      <c r="L47" s="22"/>
      <c r="M47" s="22">
        <f t="shared" si="3"/>
        <v>38000</v>
      </c>
    </row>
    <row r="48" spans="1:15" ht="15" hidden="1" customHeight="1">
      <c r="A48" s="227"/>
      <c r="B48" s="227"/>
      <c r="C48" s="227"/>
      <c r="D48" s="227"/>
      <c r="E48" s="20" t="s">
        <v>13</v>
      </c>
      <c r="F48" s="19"/>
      <c r="G48" s="20">
        <v>10</v>
      </c>
      <c r="H48" s="21">
        <f t="shared" si="2"/>
        <v>0</v>
      </c>
      <c r="I48" s="21"/>
      <c r="J48" s="19"/>
      <c r="K48" s="22"/>
      <c r="L48" s="22"/>
      <c r="M48" s="22">
        <f t="shared" si="3"/>
        <v>0</v>
      </c>
    </row>
    <row r="49" spans="1:13" ht="12.7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2"/>
        <v>0</v>
      </c>
      <c r="I49" s="21"/>
      <c r="J49" s="19"/>
      <c r="K49" s="22"/>
      <c r="L49" s="22"/>
      <c r="M49" s="22">
        <f t="shared" si="3"/>
        <v>0</v>
      </c>
    </row>
    <row r="50" spans="1:13" ht="15" hidden="1" customHeight="1">
      <c r="A50" s="228"/>
      <c r="B50" s="229"/>
      <c r="C50" s="229"/>
      <c r="D50" s="229"/>
      <c r="E50" s="20" t="s">
        <v>13</v>
      </c>
      <c r="F50" s="19"/>
      <c r="G50" s="20">
        <v>10</v>
      </c>
      <c r="H50" s="21">
        <f t="shared" si="2"/>
        <v>0</v>
      </c>
      <c r="I50" s="21"/>
      <c r="J50" s="19"/>
      <c r="K50" s="22"/>
      <c r="L50" s="22"/>
      <c r="M50" s="22">
        <f t="shared" si="3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2"/>
        <v>0</v>
      </c>
      <c r="I51" s="21"/>
      <c r="J51" s="19"/>
      <c r="K51" s="22"/>
      <c r="L51" s="22"/>
      <c r="M51" s="22">
        <f t="shared" si="3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2"/>
        <v>0</v>
      </c>
      <c r="I52" s="21"/>
      <c r="J52" s="19"/>
      <c r="K52" s="22"/>
      <c r="L52" s="22"/>
      <c r="M52" s="22">
        <f t="shared" si="3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2"/>
        <v>0</v>
      </c>
      <c r="I53" s="21"/>
      <c r="J53" s="19"/>
      <c r="K53" s="22"/>
      <c r="L53" s="22"/>
      <c r="M53" s="22">
        <f t="shared" si="3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2"/>
        <v>0</v>
      </c>
      <c r="I54" s="21"/>
      <c r="J54" s="19"/>
      <c r="K54" s="22"/>
      <c r="L54" s="22"/>
      <c r="M54" s="22">
        <f t="shared" si="3"/>
        <v>0</v>
      </c>
    </row>
    <row r="55" spans="1:13" ht="15" hidden="1" customHeight="1">
      <c r="A55" s="232"/>
      <c r="B55" s="233"/>
      <c r="C55" s="233"/>
      <c r="D55" s="233"/>
      <c r="E55" s="20" t="s">
        <v>13</v>
      </c>
      <c r="F55" s="20"/>
      <c r="G55" s="20">
        <v>10</v>
      </c>
      <c r="H55" s="21">
        <f t="shared" si="2"/>
        <v>0</v>
      </c>
      <c r="I55" s="21"/>
      <c r="J55" s="20"/>
      <c r="K55" s="23"/>
      <c r="L55" s="23"/>
      <c r="M55" s="22">
        <f t="shared" si="3"/>
        <v>0</v>
      </c>
    </row>
    <row r="56" spans="1:13" ht="14.4" hidden="1" customHeight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2"/>
        <v>0</v>
      </c>
      <c r="I56" s="21"/>
      <c r="J56" s="20"/>
      <c r="K56" s="23"/>
      <c r="L56" s="23"/>
      <c r="M56" s="22">
        <f t="shared" si="3"/>
        <v>0</v>
      </c>
    </row>
    <row r="57" spans="1:13" ht="14.4" hidden="1" customHeight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2"/>
        <v>0</v>
      </c>
      <c r="I57" s="21"/>
      <c r="J57" s="20"/>
      <c r="K57" s="23"/>
      <c r="L57" s="23"/>
      <c r="M57" s="22">
        <f t="shared" si="3"/>
        <v>0</v>
      </c>
    </row>
    <row r="58" spans="1:13" ht="14.4" hidden="1" customHeight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2"/>
        <v>0</v>
      </c>
      <c r="I58" s="21"/>
      <c r="J58" s="20"/>
      <c r="K58" s="23"/>
      <c r="L58" s="23"/>
      <c r="M58" s="22">
        <f t="shared" si="3"/>
        <v>0</v>
      </c>
    </row>
    <row r="59" spans="1:13" ht="14.4" hidden="1" customHeight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2"/>
        <v>0</v>
      </c>
      <c r="I59" s="21"/>
      <c r="J59" s="20"/>
      <c r="K59" s="23"/>
      <c r="L59" s="23"/>
      <c r="M59" s="22">
        <f t="shared" si="3"/>
        <v>0</v>
      </c>
    </row>
    <row r="60" spans="1:13" ht="14.4" hidden="1" customHeight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2"/>
        <v>0</v>
      </c>
      <c r="I60" s="21"/>
      <c r="J60" s="20"/>
      <c r="K60" s="23"/>
      <c r="L60" s="23"/>
      <c r="M60" s="22">
        <f t="shared" si="3"/>
        <v>0</v>
      </c>
    </row>
    <row r="61" spans="1:13" ht="14.4" hidden="1" customHeight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2"/>
        <v>0</v>
      </c>
      <c r="I61" s="21"/>
      <c r="J61" s="20"/>
      <c r="K61" s="23"/>
      <c r="L61" s="23"/>
      <c r="M61" s="22">
        <f t="shared" si="3"/>
        <v>0</v>
      </c>
    </row>
    <row r="62" spans="1:13" ht="14.4" hidden="1" customHeight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2"/>
        <v>0</v>
      </c>
      <c r="I62" s="21"/>
      <c r="J62" s="20"/>
      <c r="K62" s="23"/>
      <c r="L62" s="23"/>
      <c r="M62" s="22">
        <f t="shared" si="3"/>
        <v>0</v>
      </c>
    </row>
    <row r="63" spans="1:13" ht="14.4" hidden="1" customHeight="1">
      <c r="A63" s="267" t="s">
        <v>59</v>
      </c>
      <c r="B63" s="267"/>
      <c r="C63" s="267"/>
      <c r="D63" s="267"/>
      <c r="E63" s="20"/>
      <c r="F63" s="20"/>
      <c r="G63" s="20"/>
      <c r="H63" s="24"/>
      <c r="I63" s="24"/>
      <c r="J63" s="20"/>
      <c r="K63" s="23"/>
      <c r="L63" s="23"/>
      <c r="M63" s="23">
        <f t="shared" si="3"/>
        <v>0</v>
      </c>
    </row>
    <row r="64" spans="1:13" ht="14.4" hidden="1" customHeight="1">
      <c r="A64" s="268" t="s">
        <v>14</v>
      </c>
      <c r="B64" s="269"/>
      <c r="C64" s="269"/>
      <c r="D64" s="269"/>
      <c r="E64" s="269"/>
      <c r="F64" s="269"/>
      <c r="G64" s="269"/>
      <c r="H64" s="269"/>
      <c r="I64" s="269"/>
      <c r="J64" s="269"/>
      <c r="K64" s="270"/>
      <c r="L64" s="172"/>
      <c r="M64" s="23">
        <f>M63+M47+M46+M45</f>
        <v>96840</v>
      </c>
    </row>
    <row r="65" spans="1:13" ht="9" hidden="1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ht="18" customHeight="1">
      <c r="A66" s="230" t="s">
        <v>88</v>
      </c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0"/>
      <c r="M66" s="230"/>
    </row>
    <row r="67" spans="1:13" ht="55.8">
      <c r="A67" s="231" t="s">
        <v>17</v>
      </c>
      <c r="B67" s="231"/>
      <c r="C67" s="231"/>
      <c r="D67" s="231"/>
      <c r="E67" s="9" t="s">
        <v>79</v>
      </c>
      <c r="F67" s="25" t="s">
        <v>55</v>
      </c>
      <c r="G67" s="9" t="s">
        <v>42</v>
      </c>
      <c r="H67" s="9" t="s">
        <v>48</v>
      </c>
      <c r="I67" s="9" t="s">
        <v>63</v>
      </c>
      <c r="J67" s="9" t="s">
        <v>69</v>
      </c>
      <c r="K67" s="11"/>
      <c r="L67" s="11"/>
      <c r="M67" s="11"/>
    </row>
    <row r="68" spans="1:13">
      <c r="A68" s="271">
        <v>1</v>
      </c>
      <c r="B68" s="272"/>
      <c r="C68" s="272"/>
      <c r="D68" s="272"/>
      <c r="E68" s="9">
        <v>2</v>
      </c>
      <c r="F68" s="9">
        <v>3</v>
      </c>
      <c r="G68" s="26">
        <v>4</v>
      </c>
      <c r="H68" s="26">
        <v>5</v>
      </c>
      <c r="I68" s="27">
        <v>6</v>
      </c>
      <c r="J68" s="27" t="s">
        <v>45</v>
      </c>
      <c r="K68" s="11"/>
      <c r="L68" s="11"/>
      <c r="M68" s="28"/>
    </row>
    <row r="69" spans="1:13" ht="18.75" customHeight="1">
      <c r="A69" s="220" t="s">
        <v>51</v>
      </c>
      <c r="B69" s="220"/>
      <c r="C69" s="220"/>
      <c r="D69" s="220"/>
      <c r="E69" s="30">
        <v>5</v>
      </c>
      <c r="F69" s="29">
        <v>12</v>
      </c>
      <c r="G69" s="38">
        <v>687.02</v>
      </c>
      <c r="H69" s="38">
        <f>45691.3*0.005738</f>
        <v>262.17667940000001</v>
      </c>
      <c r="I69" s="46">
        <v>4</v>
      </c>
      <c r="J69" s="38">
        <f>H69/I69</f>
        <v>65.544169850000003</v>
      </c>
      <c r="K69" s="11"/>
      <c r="L69" s="11"/>
      <c r="M69" s="17"/>
    </row>
    <row r="70" spans="1:13" ht="15" thickBot="1">
      <c r="A70" s="220" t="s">
        <v>60</v>
      </c>
      <c r="B70" s="220"/>
      <c r="C70" s="220"/>
      <c r="D70" s="220"/>
      <c r="E70" s="30">
        <v>1</v>
      </c>
      <c r="F70" s="30">
        <v>12</v>
      </c>
      <c r="G70" s="38">
        <v>3743.23</v>
      </c>
      <c r="H70" s="38">
        <f>51915.36*0.005738</f>
        <v>297.89033568000002</v>
      </c>
      <c r="I70" s="46">
        <v>4</v>
      </c>
      <c r="J70" s="38">
        <f>H70/I70</f>
        <v>74.472583920000005</v>
      </c>
      <c r="K70" s="11"/>
      <c r="L70" s="11"/>
      <c r="M70" s="11"/>
    </row>
    <row r="71" spans="1:13" ht="15" thickBot="1">
      <c r="A71" s="222" t="s">
        <v>25</v>
      </c>
      <c r="B71" s="223"/>
      <c r="C71" s="223"/>
      <c r="D71" s="223"/>
      <c r="E71" s="56"/>
      <c r="F71" s="56"/>
      <c r="G71" s="56"/>
      <c r="H71" s="73">
        <f>SUM(H69:H70)</f>
        <v>560.06701508000003</v>
      </c>
      <c r="I71" s="49"/>
      <c r="J71" s="57">
        <f>SUM(J69:J70)</f>
        <v>140.01675377000001</v>
      </c>
      <c r="K71" s="11"/>
      <c r="L71" s="11"/>
      <c r="M71" s="11"/>
    </row>
    <row r="72" spans="1:13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ht="30" customHeight="1">
      <c r="A73" s="230" t="s">
        <v>16</v>
      </c>
      <c r="B73" s="230"/>
      <c r="C73" s="230"/>
      <c r="D73" s="230"/>
      <c r="E73" s="230"/>
      <c r="F73" s="230"/>
      <c r="G73" s="230"/>
      <c r="H73" s="230"/>
      <c r="I73" s="230"/>
      <c r="J73" s="230"/>
      <c r="K73" s="230"/>
      <c r="L73" s="230"/>
      <c r="M73" s="230"/>
    </row>
    <row r="74" spans="1:13" ht="55.8">
      <c r="A74" s="231" t="s">
        <v>17</v>
      </c>
      <c r="B74" s="231"/>
      <c r="C74" s="231"/>
      <c r="D74" s="231"/>
      <c r="E74" s="9" t="s">
        <v>7</v>
      </c>
      <c r="F74" s="25" t="s">
        <v>55</v>
      </c>
      <c r="G74" s="9" t="s">
        <v>42</v>
      </c>
      <c r="H74" s="9" t="s">
        <v>48</v>
      </c>
      <c r="I74" s="9" t="s">
        <v>63</v>
      </c>
      <c r="J74" s="9" t="s">
        <v>69</v>
      </c>
      <c r="K74" s="11"/>
      <c r="L74" s="11"/>
      <c r="M74" s="11"/>
    </row>
    <row r="75" spans="1:13">
      <c r="A75" s="271">
        <v>1</v>
      </c>
      <c r="B75" s="272"/>
      <c r="C75" s="272"/>
      <c r="D75" s="272"/>
      <c r="E75" s="9">
        <v>2</v>
      </c>
      <c r="F75" s="9">
        <v>3</v>
      </c>
      <c r="G75" s="26">
        <v>4</v>
      </c>
      <c r="H75" s="26">
        <v>5</v>
      </c>
      <c r="I75" s="27">
        <v>6</v>
      </c>
      <c r="J75" s="27" t="s">
        <v>45</v>
      </c>
      <c r="K75" s="11"/>
      <c r="L75" s="11"/>
      <c r="M75" s="28"/>
    </row>
    <row r="76" spans="1:13" ht="18.75" customHeight="1">
      <c r="A76" s="220" t="s">
        <v>19</v>
      </c>
      <c r="B76" s="220"/>
      <c r="C76" s="220"/>
      <c r="D76" s="220"/>
      <c r="E76" s="30" t="s">
        <v>22</v>
      </c>
      <c r="F76" s="29">
        <v>200200</v>
      </c>
      <c r="G76" s="38">
        <v>6.62</v>
      </c>
      <c r="H76" s="38">
        <f>934862.1*0.005738</f>
        <v>5364.2387298000003</v>
      </c>
      <c r="I76" s="46">
        <v>4</v>
      </c>
      <c r="J76" s="38">
        <f>H76/I76</f>
        <v>1341.0596824500001</v>
      </c>
      <c r="K76" s="11"/>
      <c r="L76" s="11"/>
      <c r="M76" s="17"/>
    </row>
    <row r="77" spans="1:13">
      <c r="A77" s="220" t="s">
        <v>20</v>
      </c>
      <c r="B77" s="220"/>
      <c r="C77" s="220"/>
      <c r="D77" s="220"/>
      <c r="E77" s="30" t="s">
        <v>23</v>
      </c>
      <c r="F77" s="30">
        <v>1620</v>
      </c>
      <c r="G77" s="38">
        <v>1618.59</v>
      </c>
      <c r="H77" s="38">
        <f>1320356.53*0.005738</f>
        <v>7576.2057691400005</v>
      </c>
      <c r="I77" s="46">
        <v>4</v>
      </c>
      <c r="J77" s="38">
        <f>H77/I77</f>
        <v>1894.0514422850001</v>
      </c>
      <c r="K77" s="11"/>
      <c r="L77" s="11"/>
      <c r="M77" s="11"/>
    </row>
    <row r="78" spans="1:13">
      <c r="A78" s="220" t="s">
        <v>49</v>
      </c>
      <c r="B78" s="220"/>
      <c r="C78" s="220"/>
      <c r="D78" s="220"/>
      <c r="E78" s="30" t="s">
        <v>24</v>
      </c>
      <c r="F78" s="30">
        <v>5000</v>
      </c>
      <c r="G78" s="38">
        <v>39.22</v>
      </c>
      <c r="H78" s="38">
        <f>156878.18*0.005738</f>
        <v>900.16699683999991</v>
      </c>
      <c r="I78" s="46">
        <v>4</v>
      </c>
      <c r="J78" s="38">
        <f>H78/I78</f>
        <v>225.04174920999998</v>
      </c>
      <c r="K78" s="11"/>
      <c r="L78" s="11"/>
      <c r="M78" s="11"/>
    </row>
    <row r="79" spans="1:13" ht="15" thickBot="1">
      <c r="A79" s="221" t="s">
        <v>21</v>
      </c>
      <c r="B79" s="221"/>
      <c r="C79" s="221"/>
      <c r="D79" s="221"/>
      <c r="E79" s="55" t="s">
        <v>24</v>
      </c>
      <c r="F79" s="30">
        <v>5500</v>
      </c>
      <c r="G79" s="48">
        <v>53.32</v>
      </c>
      <c r="H79" s="48">
        <f>191740.01*0.005738</f>
        <v>1100.2041773800001</v>
      </c>
      <c r="I79" s="46">
        <v>4</v>
      </c>
      <c r="J79" s="48">
        <f>H79/I79</f>
        <v>275.05104434500004</v>
      </c>
      <c r="K79" s="11"/>
      <c r="L79" s="11"/>
      <c r="M79" s="11"/>
    </row>
    <row r="80" spans="1:13" ht="15" thickBot="1">
      <c r="A80" s="222" t="s">
        <v>25</v>
      </c>
      <c r="B80" s="223"/>
      <c r="C80" s="223"/>
      <c r="D80" s="223"/>
      <c r="E80" s="56"/>
      <c r="F80" s="56"/>
      <c r="G80" s="56"/>
      <c r="H80" s="73">
        <f>SUM(H76:H79)</f>
        <v>14940.815673159999</v>
      </c>
      <c r="I80" s="49"/>
      <c r="J80" s="57">
        <f>SUM(J76:J79)</f>
        <v>3735.2039182899998</v>
      </c>
      <c r="K80" s="11"/>
      <c r="L80" s="11"/>
      <c r="M80" s="11"/>
    </row>
    <row r="81" spans="1:15">
      <c r="A81" s="50"/>
      <c r="B81" s="50"/>
      <c r="C81" s="50"/>
      <c r="D81" s="50"/>
      <c r="E81" s="50"/>
      <c r="F81" s="50"/>
      <c r="G81" s="50"/>
      <c r="H81" s="50"/>
      <c r="I81" s="50"/>
      <c r="J81" s="50"/>
      <c r="K81" s="11"/>
      <c r="L81" s="11"/>
      <c r="M81" s="11"/>
    </row>
    <row r="82" spans="1:15" ht="16.5" customHeight="1">
      <c r="A82" s="230" t="s">
        <v>26</v>
      </c>
      <c r="B82" s="230"/>
      <c r="C82" s="230"/>
      <c r="D82" s="230"/>
      <c r="E82" s="230"/>
      <c r="F82" s="230"/>
      <c r="G82" s="230"/>
      <c r="H82" s="230"/>
      <c r="I82" s="230"/>
      <c r="J82" s="230"/>
      <c r="K82" s="230"/>
      <c r="L82" s="230"/>
      <c r="M82" s="230"/>
    </row>
    <row r="83" spans="1:15" ht="69.599999999999994">
      <c r="A83" s="281" t="s">
        <v>28</v>
      </c>
      <c r="B83" s="281"/>
      <c r="C83" s="281"/>
      <c r="D83" s="281"/>
      <c r="E83" s="26" t="s">
        <v>7</v>
      </c>
      <c r="F83" s="26" t="s">
        <v>18</v>
      </c>
      <c r="G83" s="9" t="s">
        <v>48</v>
      </c>
      <c r="H83" s="9" t="s">
        <v>76</v>
      </c>
      <c r="I83" s="9" t="s">
        <v>69</v>
      </c>
      <c r="J83" s="11"/>
      <c r="K83" s="177"/>
      <c r="L83" s="177"/>
      <c r="M83" s="178"/>
      <c r="N83" s="179"/>
    </row>
    <row r="84" spans="1:15">
      <c r="A84" s="245" t="s">
        <v>115</v>
      </c>
      <c r="B84" s="246"/>
      <c r="C84" s="246"/>
      <c r="D84" s="247"/>
      <c r="E84" s="52" t="s">
        <v>27</v>
      </c>
      <c r="F84" s="26">
        <v>1</v>
      </c>
      <c r="G84" s="102">
        <f>(38400+27924.16)*0.005738</f>
        <v>380.56803008000003</v>
      </c>
      <c r="H84" s="46">
        <v>4</v>
      </c>
      <c r="I84" s="102">
        <f>G84/H84</f>
        <v>95.142007520000007</v>
      </c>
      <c r="J84" s="11"/>
      <c r="K84" s="185"/>
      <c r="L84" s="185"/>
      <c r="M84" s="186"/>
      <c r="N84" s="179"/>
      <c r="O84" s="1"/>
    </row>
    <row r="85" spans="1:15" ht="15" customHeight="1">
      <c r="A85" s="245" t="s">
        <v>116</v>
      </c>
      <c r="B85" s="246"/>
      <c r="C85" s="246"/>
      <c r="D85" s="247"/>
      <c r="E85" s="52" t="s">
        <v>27</v>
      </c>
      <c r="F85" s="52">
        <v>1</v>
      </c>
      <c r="G85" s="82">
        <f>157335.63*0.005738</f>
        <v>902.79184494000003</v>
      </c>
      <c r="H85" s="46">
        <v>4</v>
      </c>
      <c r="I85" s="102">
        <f>G85/H85</f>
        <v>225.69796123500001</v>
      </c>
      <c r="J85" s="11"/>
      <c r="K85" s="185"/>
      <c r="L85" s="185"/>
      <c r="M85" s="186"/>
      <c r="N85" s="179"/>
    </row>
    <row r="86" spans="1:15" ht="15" customHeight="1">
      <c r="A86" s="245" t="s">
        <v>117</v>
      </c>
      <c r="B86" s="246"/>
      <c r="C86" s="246"/>
      <c r="D86" s="247"/>
      <c r="E86" s="52" t="s">
        <v>27</v>
      </c>
      <c r="F86" s="52">
        <v>1</v>
      </c>
      <c r="G86" s="82">
        <f>118800*0.005738</f>
        <v>681.67439999999999</v>
      </c>
      <c r="H86" s="46">
        <v>4</v>
      </c>
      <c r="I86" s="102">
        <f t="shared" ref="I86:I94" si="4">G86/H86</f>
        <v>170.4186</v>
      </c>
      <c r="J86" s="11"/>
      <c r="K86" s="185"/>
      <c r="L86" s="185"/>
      <c r="M86" s="186"/>
      <c r="N86" s="179"/>
    </row>
    <row r="87" spans="1:15" ht="15" customHeight="1">
      <c r="A87" s="245" t="s">
        <v>118</v>
      </c>
      <c r="B87" s="246"/>
      <c r="C87" s="246"/>
      <c r="D87" s="247"/>
      <c r="E87" s="52" t="s">
        <v>27</v>
      </c>
      <c r="F87" s="52">
        <v>1</v>
      </c>
      <c r="G87" s="82">
        <f>9600*0.005738</f>
        <v>55.084800000000001</v>
      </c>
      <c r="H87" s="46">
        <v>4</v>
      </c>
      <c r="I87" s="102">
        <f t="shared" si="4"/>
        <v>13.7712</v>
      </c>
      <c r="J87" s="11"/>
      <c r="K87" s="185"/>
      <c r="L87" s="185"/>
      <c r="M87" s="186"/>
      <c r="N87" s="179"/>
    </row>
    <row r="88" spans="1:15" ht="15" customHeight="1">
      <c r="A88" s="245" t="s">
        <v>176</v>
      </c>
      <c r="B88" s="246"/>
      <c r="C88" s="246"/>
      <c r="D88" s="247"/>
      <c r="E88" s="52" t="s">
        <v>27</v>
      </c>
      <c r="F88" s="52">
        <v>1</v>
      </c>
      <c r="G88" s="82">
        <f>2000*0.005738</f>
        <v>11.476000000000001</v>
      </c>
      <c r="H88" s="46">
        <v>4</v>
      </c>
      <c r="I88" s="102">
        <f>G88/H88</f>
        <v>2.8690000000000002</v>
      </c>
      <c r="J88" s="11"/>
      <c r="K88" s="177"/>
      <c r="L88" s="177"/>
      <c r="M88" s="186"/>
      <c r="N88" s="179"/>
    </row>
    <row r="89" spans="1:15" ht="15" customHeight="1">
      <c r="A89" s="245" t="s">
        <v>75</v>
      </c>
      <c r="B89" s="246"/>
      <c r="C89" s="246"/>
      <c r="D89" s="247"/>
      <c r="E89" s="52" t="s">
        <v>27</v>
      </c>
      <c r="F89" s="52">
        <v>1</v>
      </c>
      <c r="G89" s="82">
        <f>(3300+7434)*0.005738</f>
        <v>61.591692000000002</v>
      </c>
      <c r="H89" s="46">
        <v>4</v>
      </c>
      <c r="I89" s="102">
        <f t="shared" si="4"/>
        <v>15.397923</v>
      </c>
      <c r="J89" s="11"/>
      <c r="K89" s="177"/>
      <c r="L89" s="177"/>
      <c r="M89" s="178"/>
      <c r="N89" s="179"/>
    </row>
    <row r="90" spans="1:15" ht="15" customHeight="1">
      <c r="A90" s="274" t="s">
        <v>119</v>
      </c>
      <c r="B90" s="275"/>
      <c r="C90" s="275"/>
      <c r="D90" s="276"/>
      <c r="E90" s="52" t="s">
        <v>27</v>
      </c>
      <c r="F90" s="52">
        <v>1</v>
      </c>
      <c r="G90" s="38">
        <f>32500*0.005738</f>
        <v>186.48500000000001</v>
      </c>
      <c r="H90" s="46">
        <v>4</v>
      </c>
      <c r="I90" s="102">
        <f t="shared" si="4"/>
        <v>46.621250000000003</v>
      </c>
      <c r="J90" s="11"/>
      <c r="K90" s="177"/>
      <c r="L90" s="177"/>
      <c r="M90" s="178"/>
      <c r="N90" s="179"/>
    </row>
    <row r="91" spans="1:15" ht="28.5" customHeight="1">
      <c r="A91" s="245" t="s">
        <v>120</v>
      </c>
      <c r="B91" s="246"/>
      <c r="C91" s="246"/>
      <c r="D91" s="247"/>
      <c r="E91" s="52" t="s">
        <v>27</v>
      </c>
      <c r="F91" s="52">
        <v>1</v>
      </c>
      <c r="G91" s="70">
        <f>52300*0.005738</f>
        <v>300.09739999999999</v>
      </c>
      <c r="H91" s="46">
        <v>4</v>
      </c>
      <c r="I91" s="102">
        <f t="shared" si="4"/>
        <v>75.024349999999998</v>
      </c>
      <c r="J91" s="11"/>
      <c r="K91" s="177"/>
      <c r="L91" s="177"/>
      <c r="M91" s="178"/>
      <c r="N91" s="187"/>
    </row>
    <row r="92" spans="1:15" ht="16.5" customHeight="1">
      <c r="A92" s="80" t="s">
        <v>121</v>
      </c>
      <c r="B92" s="81"/>
      <c r="C92" s="81"/>
      <c r="D92" s="81"/>
      <c r="E92" s="52" t="s">
        <v>27</v>
      </c>
      <c r="F92" s="52">
        <v>1</v>
      </c>
      <c r="G92" s="38">
        <f>13200*0.005738</f>
        <v>75.741600000000005</v>
      </c>
      <c r="H92" s="46">
        <v>4</v>
      </c>
      <c r="I92" s="102">
        <f t="shared" si="4"/>
        <v>18.935400000000001</v>
      </c>
      <c r="J92" s="11"/>
      <c r="K92" s="177"/>
      <c r="L92" s="177"/>
      <c r="M92" s="178"/>
      <c r="N92" s="179"/>
    </row>
    <row r="93" spans="1:15" ht="15" customHeight="1">
      <c r="A93" s="274" t="s">
        <v>123</v>
      </c>
      <c r="B93" s="275"/>
      <c r="C93" s="275"/>
      <c r="D93" s="276"/>
      <c r="E93" s="52" t="s">
        <v>27</v>
      </c>
      <c r="F93" s="52">
        <v>1</v>
      </c>
      <c r="G93" s="48">
        <f>24000*0.005738</f>
        <v>137.71199999999999</v>
      </c>
      <c r="H93" s="46">
        <v>4</v>
      </c>
      <c r="I93" s="102">
        <f t="shared" si="4"/>
        <v>34.427999999999997</v>
      </c>
      <c r="J93" s="11"/>
      <c r="K93" s="177"/>
      <c r="L93" s="177"/>
      <c r="M93" s="178"/>
      <c r="N93" s="179"/>
    </row>
    <row r="94" spans="1:15" s="1" customFormat="1" ht="15" customHeight="1" thickBot="1">
      <c r="A94" s="274" t="s">
        <v>175</v>
      </c>
      <c r="B94" s="275"/>
      <c r="C94" s="275"/>
      <c r="D94" s="276"/>
      <c r="E94" s="52" t="s">
        <v>27</v>
      </c>
      <c r="F94" s="52">
        <v>1</v>
      </c>
      <c r="G94" s="48">
        <f>24000*0.005738</f>
        <v>137.71199999999999</v>
      </c>
      <c r="H94" s="46">
        <v>4</v>
      </c>
      <c r="I94" s="102">
        <f t="shared" si="4"/>
        <v>34.427999999999997</v>
      </c>
      <c r="J94" s="13"/>
      <c r="K94" s="42"/>
      <c r="L94" s="42"/>
      <c r="M94" s="180"/>
      <c r="N94" s="179"/>
      <c r="O94"/>
    </row>
    <row r="95" spans="1:15" ht="15" customHeight="1" thickBot="1">
      <c r="A95" s="174" t="s">
        <v>54</v>
      </c>
      <c r="B95" s="175"/>
      <c r="C95" s="175"/>
      <c r="D95" s="175"/>
      <c r="E95" s="175"/>
      <c r="F95" s="175"/>
      <c r="G95" s="181">
        <f>SUM(G84:G94)</f>
        <v>2930.9347670200004</v>
      </c>
      <c r="H95" s="183"/>
      <c r="I95" s="182">
        <f>SUM(I84:I94)</f>
        <v>732.73369175500011</v>
      </c>
      <c r="K95" s="188"/>
      <c r="L95" s="17"/>
      <c r="M95" s="17"/>
      <c r="N95" s="179"/>
    </row>
    <row r="96" spans="1:15" ht="15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32" ht="15" customHeight="1">
      <c r="A97" s="230" t="s">
        <v>50</v>
      </c>
      <c r="B97" s="230"/>
      <c r="C97" s="230"/>
      <c r="D97" s="230"/>
      <c r="E97" s="230"/>
      <c r="F97" s="230"/>
      <c r="G97" s="230"/>
      <c r="H97" s="230"/>
      <c r="I97" s="230"/>
      <c r="J97" s="230"/>
      <c r="K97" s="230"/>
      <c r="L97" s="230"/>
      <c r="M97" s="230"/>
    </row>
    <row r="98" spans="1:32" ht="69.599999999999994">
      <c r="A98" s="214" t="s">
        <v>28</v>
      </c>
      <c r="B98" s="215"/>
      <c r="C98" s="215"/>
      <c r="D98" s="215"/>
      <c r="E98" s="26" t="s">
        <v>7</v>
      </c>
      <c r="F98" s="9" t="s">
        <v>56</v>
      </c>
      <c r="G98" s="9" t="s">
        <v>48</v>
      </c>
      <c r="H98" s="9" t="s">
        <v>76</v>
      </c>
      <c r="I98" s="9" t="s">
        <v>69</v>
      </c>
      <c r="J98" s="11"/>
      <c r="K98" s="11"/>
      <c r="L98" s="11"/>
      <c r="M98" s="11"/>
      <c r="AB98" s="179"/>
      <c r="AC98" s="179"/>
      <c r="AD98" s="179"/>
      <c r="AE98" s="179"/>
      <c r="AF98" s="179"/>
    </row>
    <row r="99" spans="1:32" ht="43.8" customHeight="1">
      <c r="A99" s="212" t="s">
        <v>126</v>
      </c>
      <c r="B99" s="213"/>
      <c r="C99" s="213"/>
      <c r="D99" s="213"/>
      <c r="E99" s="52" t="s">
        <v>27</v>
      </c>
      <c r="F99" s="52">
        <v>1</v>
      </c>
      <c r="G99" s="82">
        <f>2547.27*0.005738</f>
        <v>14.61623526</v>
      </c>
      <c r="H99" s="46">
        <v>4</v>
      </c>
      <c r="I99" s="103">
        <f>G99/H99</f>
        <v>3.654058815</v>
      </c>
      <c r="J99" s="11"/>
      <c r="K99" s="186"/>
      <c r="L99" s="178"/>
      <c r="M99" s="186"/>
      <c r="N99" s="192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91"/>
      <c r="AC99" s="191"/>
      <c r="AD99" s="191"/>
      <c r="AE99" s="191"/>
      <c r="AF99" s="179"/>
    </row>
    <row r="100" spans="1:32" ht="15" customHeight="1">
      <c r="A100" s="212" t="s">
        <v>127</v>
      </c>
      <c r="B100" s="213"/>
      <c r="C100" s="213"/>
      <c r="D100" s="213"/>
      <c r="E100" s="52" t="s">
        <v>27</v>
      </c>
      <c r="F100" s="52">
        <v>1</v>
      </c>
      <c r="G100" s="82">
        <f>36480*0.005738</f>
        <v>209.32223999999999</v>
      </c>
      <c r="H100" s="46">
        <v>4</v>
      </c>
      <c r="I100" s="103">
        <f t="shared" ref="I100" si="5">G100/H100</f>
        <v>52.330559999999998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28.8" customHeight="1">
      <c r="A101" s="212" t="s">
        <v>128</v>
      </c>
      <c r="B101" s="213"/>
      <c r="C101" s="213"/>
      <c r="D101" s="213"/>
      <c r="E101" s="52" t="s">
        <v>27</v>
      </c>
      <c r="F101" s="52">
        <v>1</v>
      </c>
      <c r="G101" s="82">
        <f>(128994.21+85586)*0.005738</f>
        <v>1231.2612449800001</v>
      </c>
      <c r="H101" s="46">
        <v>4</v>
      </c>
      <c r="I101" s="103">
        <f>G101/H101</f>
        <v>307.81531124500003</v>
      </c>
      <c r="J101" s="11"/>
      <c r="K101" s="186"/>
      <c r="L101" s="178"/>
      <c r="M101" s="186"/>
      <c r="N101" s="191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184</v>
      </c>
      <c r="B102" s="213"/>
      <c r="C102" s="213"/>
      <c r="D102" s="219"/>
      <c r="E102" s="52" t="s">
        <v>27</v>
      </c>
      <c r="F102" s="52">
        <v>1</v>
      </c>
      <c r="G102" s="82">
        <f>3000*0.005738</f>
        <v>17.213999999999999</v>
      </c>
      <c r="H102" s="46">
        <v>4</v>
      </c>
      <c r="I102" s="103">
        <f t="shared" ref="I102:I113" si="6">G102/H102</f>
        <v>4.3034999999999997</v>
      </c>
      <c r="J102" s="11"/>
      <c r="K102" s="178"/>
      <c r="L102" s="178"/>
      <c r="M102" s="178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185</v>
      </c>
      <c r="B103" s="213"/>
      <c r="C103" s="213"/>
      <c r="D103" s="219"/>
      <c r="E103" s="52" t="s">
        <v>27</v>
      </c>
      <c r="F103" s="52">
        <v>1</v>
      </c>
      <c r="G103" s="82">
        <f>(24000+37400)*0.005738</f>
        <v>352.31319999999999</v>
      </c>
      <c r="H103" s="46">
        <v>4</v>
      </c>
      <c r="I103" s="103">
        <f t="shared" si="6"/>
        <v>88.078299999999999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182</v>
      </c>
      <c r="B104" s="213"/>
      <c r="C104" s="213"/>
      <c r="D104" s="219"/>
      <c r="E104" s="52" t="s">
        <v>27</v>
      </c>
      <c r="F104" s="52">
        <v>1</v>
      </c>
      <c r="G104" s="82">
        <f>19350*0.005738</f>
        <v>111.0303</v>
      </c>
      <c r="H104" s="46">
        <v>4</v>
      </c>
      <c r="I104" s="103">
        <f t="shared" si="6"/>
        <v>27.757574999999999</v>
      </c>
      <c r="J104" s="11"/>
      <c r="K104" s="186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42.6" customHeight="1">
      <c r="A105" s="212" t="s">
        <v>177</v>
      </c>
      <c r="B105" s="213"/>
      <c r="C105" s="213"/>
      <c r="D105" s="213"/>
      <c r="E105" s="52" t="s">
        <v>27</v>
      </c>
      <c r="F105" s="52">
        <v>1</v>
      </c>
      <c r="G105" s="70">
        <f>14328.44*0.005738</f>
        <v>82.216588720000004</v>
      </c>
      <c r="H105" s="46">
        <v>4</v>
      </c>
      <c r="I105" s="103">
        <f t="shared" si="6"/>
        <v>20.554147180000001</v>
      </c>
      <c r="J105" s="11"/>
      <c r="K105" s="178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>
      <c r="A106" s="212" t="s">
        <v>130</v>
      </c>
      <c r="B106" s="213"/>
      <c r="C106" s="213"/>
      <c r="D106" s="213"/>
      <c r="E106" s="52" t="s">
        <v>27</v>
      </c>
      <c r="F106" s="52">
        <v>1</v>
      </c>
      <c r="G106" s="82">
        <f>(113262.84+4600)*0.005738</f>
        <v>676.29697592000002</v>
      </c>
      <c r="H106" s="46">
        <v>4</v>
      </c>
      <c r="I106" s="103">
        <f t="shared" si="6"/>
        <v>169.07424398000001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178</v>
      </c>
      <c r="B107" s="213"/>
      <c r="C107" s="213"/>
      <c r="D107" s="219"/>
      <c r="E107" s="52" t="s">
        <v>27</v>
      </c>
      <c r="F107" s="52">
        <v>1</v>
      </c>
      <c r="G107" s="82">
        <f>41300*0.005738</f>
        <v>236.9794</v>
      </c>
      <c r="H107" s="46">
        <v>4</v>
      </c>
      <c r="I107" s="103">
        <f t="shared" si="6"/>
        <v>59.24485</v>
      </c>
      <c r="J107" s="11"/>
      <c r="K107" s="190"/>
      <c r="L107" s="190"/>
      <c r="M107" s="191"/>
      <c r="N107" s="179"/>
      <c r="O107" s="179"/>
      <c r="P107" s="179"/>
      <c r="Q107" s="179"/>
      <c r="R107" s="179"/>
      <c r="S107" s="179"/>
      <c r="T107" s="179"/>
      <c r="U107" s="179"/>
      <c r="V107" s="179"/>
      <c r="W107" s="179"/>
      <c r="X107" s="179"/>
      <c r="Y107" s="179"/>
      <c r="Z107" s="179"/>
      <c r="AA107" s="179"/>
      <c r="AB107" s="179"/>
      <c r="AC107" s="179"/>
      <c r="AD107" s="179"/>
      <c r="AE107" s="179"/>
      <c r="AF107" s="179"/>
    </row>
    <row r="108" spans="1:32">
      <c r="A108" s="212" t="s">
        <v>183</v>
      </c>
      <c r="B108" s="213"/>
      <c r="C108" s="213"/>
      <c r="D108" s="219"/>
      <c r="E108" s="52" t="s">
        <v>27</v>
      </c>
      <c r="F108" s="52">
        <v>1</v>
      </c>
      <c r="G108" s="82">
        <f>7000*0.005738</f>
        <v>40.165999999999997</v>
      </c>
      <c r="H108" s="46">
        <v>4</v>
      </c>
      <c r="I108" s="103">
        <f t="shared" si="6"/>
        <v>10.041499999999999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94" t="s">
        <v>179</v>
      </c>
      <c r="B109" s="295"/>
      <c r="C109" s="295"/>
      <c r="D109" s="296"/>
      <c r="E109" s="52" t="s">
        <v>27</v>
      </c>
      <c r="F109" s="52">
        <v>1</v>
      </c>
      <c r="G109" s="82">
        <f>23130*0.005738</f>
        <v>132.71994000000001</v>
      </c>
      <c r="H109" s="46">
        <v>4</v>
      </c>
      <c r="I109" s="103">
        <f t="shared" si="6"/>
        <v>33.179985000000002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180</v>
      </c>
      <c r="B110" s="295"/>
      <c r="C110" s="295"/>
      <c r="D110" s="296"/>
      <c r="E110" s="52" t="s">
        <v>27</v>
      </c>
      <c r="F110" s="52">
        <v>1</v>
      </c>
      <c r="G110" s="82">
        <f>21956*0.005738</f>
        <v>125.98352800000001</v>
      </c>
      <c r="H110" s="46">
        <v>4</v>
      </c>
      <c r="I110" s="103">
        <f t="shared" si="6"/>
        <v>31.495882000000002</v>
      </c>
      <c r="J110" s="11"/>
      <c r="K110" s="190"/>
      <c r="L110" s="190"/>
      <c r="M110" s="191"/>
      <c r="N110" s="179"/>
      <c r="AB110" s="179"/>
      <c r="AC110" s="179"/>
      <c r="AD110" s="179"/>
      <c r="AE110" s="179"/>
      <c r="AF110" s="179"/>
    </row>
    <row r="111" spans="1:32">
      <c r="A111" s="294" t="s">
        <v>181</v>
      </c>
      <c r="B111" s="295"/>
      <c r="C111" s="295"/>
      <c r="D111" s="296"/>
      <c r="E111" s="52" t="s">
        <v>27</v>
      </c>
      <c r="F111" s="52">
        <v>1</v>
      </c>
      <c r="G111" s="82">
        <f>195935.38*0.005738</f>
        <v>1124.2772104400001</v>
      </c>
      <c r="H111" s="46">
        <v>4</v>
      </c>
      <c r="I111" s="103">
        <f t="shared" si="6"/>
        <v>281.06930261000002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 ht="18" customHeight="1">
      <c r="A112" s="212" t="s">
        <v>131</v>
      </c>
      <c r="B112" s="213"/>
      <c r="C112" s="213"/>
      <c r="D112" s="213"/>
      <c r="E112" s="52" t="s">
        <v>27</v>
      </c>
      <c r="F112" s="52">
        <v>1</v>
      </c>
      <c r="G112" s="70">
        <f>11196.7*0.005738</f>
        <v>64.246664600000003</v>
      </c>
      <c r="H112" s="46">
        <v>4</v>
      </c>
      <c r="I112" s="103">
        <f t="shared" si="6"/>
        <v>16.061666150000001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46.2" customHeight="1" thickBot="1">
      <c r="A113" s="212" t="s">
        <v>132</v>
      </c>
      <c r="B113" s="213"/>
      <c r="C113" s="213"/>
      <c r="D113" s="213"/>
      <c r="E113" s="52" t="s">
        <v>27</v>
      </c>
      <c r="F113" s="52">
        <v>1</v>
      </c>
      <c r="G113" s="70">
        <f>22460*0.005738</f>
        <v>128.87548000000001</v>
      </c>
      <c r="H113" s="46">
        <v>4</v>
      </c>
      <c r="I113" s="103">
        <f t="shared" si="6"/>
        <v>32.218870000000003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20.25" customHeight="1" thickBot="1">
      <c r="A114" s="217" t="s">
        <v>53</v>
      </c>
      <c r="B114" s="218"/>
      <c r="C114" s="218"/>
      <c r="D114" s="218"/>
      <c r="E114" s="99"/>
      <c r="F114" s="51"/>
      <c r="G114" s="73">
        <f>SUM(G99:G113)</f>
        <v>4547.5190079200001</v>
      </c>
      <c r="H114" s="47"/>
      <c r="I114" s="33">
        <f>SUM(I99:I113)</f>
        <v>1136.87975198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s="86" customFormat="1" ht="20.25" customHeight="1">
      <c r="A115" s="87"/>
      <c r="B115" s="87"/>
      <c r="C115" s="87"/>
      <c r="D115" s="87"/>
      <c r="E115" s="87"/>
      <c r="F115" s="87"/>
      <c r="G115" s="87"/>
      <c r="H115" s="87"/>
      <c r="I115" s="83"/>
      <c r="J115" s="84"/>
      <c r="K115" s="85"/>
      <c r="L115" s="85"/>
      <c r="M115" s="88"/>
      <c r="N115"/>
      <c r="O115"/>
      <c r="P115"/>
      <c r="Q115"/>
      <c r="R115"/>
    </row>
    <row r="116" spans="1:32" ht="15" customHeight="1">
      <c r="A116" s="230" t="s">
        <v>89</v>
      </c>
      <c r="B116" s="230"/>
      <c r="C116" s="230"/>
      <c r="D116" s="230"/>
      <c r="E116" s="230"/>
      <c r="F116" s="230"/>
      <c r="G116" s="230"/>
      <c r="H116" s="230"/>
      <c r="I116" s="230"/>
      <c r="J116" s="230"/>
      <c r="K116" s="230"/>
      <c r="L116" s="230"/>
      <c r="M116" s="230"/>
    </row>
    <row r="117" spans="1:32" ht="55.8">
      <c r="A117" s="214" t="s">
        <v>28</v>
      </c>
      <c r="B117" s="215"/>
      <c r="C117" s="215"/>
      <c r="D117" s="215"/>
      <c r="E117" s="9" t="s">
        <v>77</v>
      </c>
      <c r="F117" s="9" t="s">
        <v>48</v>
      </c>
      <c r="G117" s="9" t="s">
        <v>76</v>
      </c>
      <c r="H117" s="9" t="s">
        <v>69</v>
      </c>
      <c r="I117" s="11"/>
      <c r="J117" s="11"/>
      <c r="K117" s="11"/>
      <c r="L117" s="11"/>
    </row>
    <row r="118" spans="1:32">
      <c r="A118" s="212" t="s">
        <v>80</v>
      </c>
      <c r="B118" s="213"/>
      <c r="C118" s="213"/>
      <c r="D118" s="213"/>
      <c r="E118" s="52" t="s">
        <v>27</v>
      </c>
      <c r="F118" s="82">
        <f>(1226746.52+13932+69179+41668.5-163.49)*0.005738</f>
        <v>7754.1181971400001</v>
      </c>
      <c r="G118" s="46">
        <v>4</v>
      </c>
      <c r="H118" s="103">
        <f t="shared" ref="H118:H125" si="7">F118/G118</f>
        <v>1938.529549285</v>
      </c>
      <c r="I118" s="11"/>
      <c r="J118" s="17"/>
      <c r="K118" s="17"/>
      <c r="L118" s="11"/>
    </row>
    <row r="119" spans="1:32">
      <c r="A119" s="212" t="s">
        <v>192</v>
      </c>
      <c r="B119" s="213"/>
      <c r="C119" s="213"/>
      <c r="D119" s="213"/>
      <c r="E119" s="52" t="s">
        <v>27</v>
      </c>
      <c r="F119" s="82">
        <f>99900*0.005738</f>
        <v>573.22619999999995</v>
      </c>
      <c r="G119" s="46">
        <v>4</v>
      </c>
      <c r="H119" s="103">
        <f t="shared" si="7"/>
        <v>143.30654999999999</v>
      </c>
      <c r="I119" s="11"/>
      <c r="J119" s="17"/>
      <c r="K119" s="17"/>
      <c r="L119" s="11"/>
    </row>
    <row r="120" spans="1:32">
      <c r="A120" s="212" t="s">
        <v>191</v>
      </c>
      <c r="B120" s="213"/>
      <c r="C120" s="213"/>
      <c r="D120" s="213"/>
      <c r="E120" s="52" t="s">
        <v>27</v>
      </c>
      <c r="F120" s="189">
        <f>1773120.88*0.005738</f>
        <v>10174.167609439999</v>
      </c>
      <c r="G120" s="46">
        <v>4</v>
      </c>
      <c r="H120" s="103">
        <f t="shared" si="7"/>
        <v>2543.5419023599998</v>
      </c>
      <c r="I120" s="191"/>
      <c r="J120" s="179"/>
    </row>
    <row r="121" spans="1:32">
      <c r="A121" s="212" t="s">
        <v>188</v>
      </c>
      <c r="B121" s="213"/>
      <c r="C121" s="213"/>
      <c r="D121" s="213"/>
      <c r="E121" s="52" t="s">
        <v>27</v>
      </c>
      <c r="F121" s="193">
        <f>29019.5*0.005738</f>
        <v>166.513891</v>
      </c>
      <c r="G121" s="46">
        <v>4</v>
      </c>
      <c r="H121" s="103">
        <f t="shared" si="7"/>
        <v>41.62847275</v>
      </c>
      <c r="I121" s="191"/>
      <c r="J121" s="179"/>
    </row>
    <row r="122" spans="1:32">
      <c r="A122" s="212" t="s">
        <v>189</v>
      </c>
      <c r="B122" s="213"/>
      <c r="C122" s="213"/>
      <c r="D122" s="213"/>
      <c r="E122" s="52" t="s">
        <v>27</v>
      </c>
      <c r="F122" s="59">
        <f>780*0.005738</f>
        <v>4.4756400000000003</v>
      </c>
      <c r="G122" s="46">
        <v>4</v>
      </c>
      <c r="H122" s="103">
        <f>F122/G122</f>
        <v>1.1189100000000001</v>
      </c>
      <c r="I122" s="191"/>
      <c r="J122" s="179"/>
    </row>
    <row r="123" spans="1:32">
      <c r="A123" s="212" t="s">
        <v>193</v>
      </c>
      <c r="B123" s="213"/>
      <c r="C123" s="213"/>
      <c r="D123" s="219"/>
      <c r="E123" s="52" t="s">
        <v>27</v>
      </c>
      <c r="F123" s="59">
        <f>78540*0.005738</f>
        <v>450.66252000000003</v>
      </c>
      <c r="G123" s="46">
        <v>4</v>
      </c>
      <c r="H123" s="103">
        <f>F123/G123</f>
        <v>112.66563000000001</v>
      </c>
      <c r="I123" s="191"/>
      <c r="J123" s="179"/>
    </row>
    <row r="124" spans="1:32">
      <c r="A124" s="212" t="s">
        <v>194</v>
      </c>
      <c r="B124" s="213"/>
      <c r="C124" s="213"/>
      <c r="D124" s="219"/>
      <c r="E124" s="52" t="s">
        <v>27</v>
      </c>
      <c r="F124" s="59">
        <f>(11720+10155)*0.005738</f>
        <v>125.51875</v>
      </c>
      <c r="G124" s="46">
        <v>4</v>
      </c>
      <c r="H124" s="103">
        <f>F124/G124</f>
        <v>31.379687499999999</v>
      </c>
      <c r="I124" s="191"/>
      <c r="J124" s="179"/>
    </row>
    <row r="125" spans="1:32" ht="15" thickBot="1">
      <c r="A125" s="212" t="s">
        <v>190</v>
      </c>
      <c r="B125" s="213"/>
      <c r="C125" s="213"/>
      <c r="D125" s="213"/>
      <c r="E125" s="52" t="s">
        <v>27</v>
      </c>
      <c r="F125" s="38">
        <f>(97062.04+10891.11+3449.6)*0.005738</f>
        <v>639.22897950000004</v>
      </c>
      <c r="G125" s="46">
        <v>4</v>
      </c>
      <c r="H125" s="103">
        <f t="shared" si="7"/>
        <v>159.80724487500001</v>
      </c>
      <c r="I125" s="191"/>
      <c r="J125" s="179"/>
    </row>
    <row r="126" spans="1:32" ht="20.25" customHeight="1" thickBot="1">
      <c r="A126" s="217" t="s">
        <v>53</v>
      </c>
      <c r="B126" s="218"/>
      <c r="C126" s="218"/>
      <c r="D126" s="218"/>
      <c r="E126" s="52" t="s">
        <v>27</v>
      </c>
      <c r="F126" s="194">
        <f>SUM(F118:F125)</f>
        <v>19887.91178708</v>
      </c>
      <c r="G126" s="114"/>
      <c r="H126" s="195">
        <f>SUM(H118:H118)</f>
        <v>1938.529549285</v>
      </c>
      <c r="I126" s="11"/>
      <c r="J126" s="34"/>
      <c r="K126" s="11"/>
      <c r="L126" s="11"/>
    </row>
    <row r="127" spans="1:32" ht="12" customHeight="1">
      <c r="A127" s="89"/>
      <c r="B127" s="89"/>
      <c r="C127" s="89"/>
      <c r="D127" s="89"/>
      <c r="E127" s="90"/>
      <c r="F127" s="91"/>
      <c r="G127" s="92"/>
      <c r="H127" s="91"/>
      <c r="I127" s="93"/>
      <c r="J127" s="71"/>
      <c r="K127" s="94"/>
      <c r="L127" s="94"/>
      <c r="M127" s="50"/>
    </row>
    <row r="128" spans="1:32" ht="15.6">
      <c r="A128" s="273" t="s">
        <v>78</v>
      </c>
      <c r="B128" s="273"/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273"/>
    </row>
    <row r="129" spans="1:13" ht="69.599999999999994">
      <c r="A129" s="231" t="s">
        <v>3</v>
      </c>
      <c r="B129" s="231"/>
      <c r="C129" s="231"/>
      <c r="D129" s="231"/>
      <c r="E129" s="9" t="s">
        <v>4</v>
      </c>
      <c r="F129" s="10" t="s">
        <v>0</v>
      </c>
      <c r="G129" s="35" t="s">
        <v>52</v>
      </c>
      <c r="H129" s="35" t="s">
        <v>44</v>
      </c>
      <c r="I129" s="9" t="s">
        <v>63</v>
      </c>
      <c r="J129" s="9" t="s">
        <v>69</v>
      </c>
      <c r="K129" s="9" t="s">
        <v>46</v>
      </c>
      <c r="L129" s="28"/>
      <c r="M129" s="28"/>
    </row>
    <row r="130" spans="1:13">
      <c r="A130" s="252">
        <v>1</v>
      </c>
      <c r="B130" s="253"/>
      <c r="C130" s="253"/>
      <c r="D130" s="253"/>
      <c r="E130" s="26">
        <v>2</v>
      </c>
      <c r="F130" s="12">
        <v>3</v>
      </c>
      <c r="G130" s="26">
        <v>4</v>
      </c>
      <c r="H130" s="26" t="s">
        <v>125</v>
      </c>
      <c r="I130" s="27">
        <v>6</v>
      </c>
      <c r="J130" s="36">
        <v>7</v>
      </c>
      <c r="K130" s="37">
        <v>8</v>
      </c>
      <c r="L130" s="153"/>
      <c r="M130" s="28"/>
    </row>
    <row r="131" spans="1:13" ht="33" customHeight="1" thickBot="1">
      <c r="A131" s="236" t="s">
        <v>66</v>
      </c>
      <c r="B131" s="236"/>
      <c r="C131" s="236"/>
      <c r="D131" s="236"/>
      <c r="E131" s="38">
        <f>10239022.09/12/13.75</f>
        <v>62054.679333333333</v>
      </c>
      <c r="F131" s="38">
        <f>13.75*0.005738</f>
        <v>7.8897499999999995E-2</v>
      </c>
      <c r="G131" s="38">
        <f>(7736226.265+127846)*0.005738</f>
        <v>45124.046656569997</v>
      </c>
      <c r="H131" s="38">
        <f>(G131*1.302)</f>
        <v>58751.508746854139</v>
      </c>
      <c r="I131" s="46">
        <v>4</v>
      </c>
      <c r="J131" s="38">
        <f>H131/I131</f>
        <v>14687.877186713535</v>
      </c>
      <c r="K131" s="63">
        <f>H131/(8696900+23460820)*100</f>
        <v>0.18269799210533003</v>
      </c>
      <c r="L131" s="154"/>
      <c r="M131" s="16"/>
    </row>
    <row r="132" spans="1:13" ht="15" hidden="1" customHeight="1" thickBot="1">
      <c r="A132" s="262"/>
      <c r="B132" s="263"/>
      <c r="C132" s="263"/>
      <c r="D132" s="263"/>
      <c r="E132" s="38">
        <v>17865.98</v>
      </c>
      <c r="F132" s="64">
        <v>4</v>
      </c>
      <c r="G132" s="46"/>
      <c r="H132" s="39">
        <f>H5</f>
        <v>0</v>
      </c>
      <c r="I132" s="38" t="e">
        <f t="shared" ref="I132:I153" si="8">F132/G132*H132</f>
        <v>#DIV/0!</v>
      </c>
      <c r="J132" s="38">
        <f t="shared" ref="J132:J153" si="9">E132*F132*12*1.302</f>
        <v>1116552.28608</v>
      </c>
      <c r="K132" s="65" t="s">
        <v>38</v>
      </c>
      <c r="L132" s="155"/>
      <c r="M132" s="32" t="e">
        <f t="shared" ref="M132:M156" si="10">I132*J132</f>
        <v>#DIV/0!</v>
      </c>
    </row>
    <row r="133" spans="1:13" ht="15" hidden="1" customHeight="1" thickBot="1">
      <c r="A133" s="293"/>
      <c r="B133" s="293"/>
      <c r="C133" s="293"/>
      <c r="D133" s="293"/>
      <c r="E133" s="38">
        <v>9544</v>
      </c>
      <c r="F133" s="64">
        <v>1</v>
      </c>
      <c r="G133" s="46"/>
      <c r="H133" s="39">
        <f>H5</f>
        <v>0</v>
      </c>
      <c r="I133" s="38" t="e">
        <f t="shared" si="8"/>
        <v>#DIV/0!</v>
      </c>
      <c r="J133" s="38">
        <f t="shared" si="9"/>
        <v>149115.45600000001</v>
      </c>
      <c r="K133" s="39">
        <f>H133/11277167.39*100</f>
        <v>0</v>
      </c>
      <c r="L133" s="39"/>
      <c r="M133" s="15" t="e">
        <f t="shared" si="10"/>
        <v>#DIV/0!</v>
      </c>
    </row>
    <row r="134" spans="1:13" ht="15" hidden="1" customHeight="1" thickBot="1">
      <c r="A134" s="274"/>
      <c r="B134" s="275"/>
      <c r="C134" s="275"/>
      <c r="D134" s="275"/>
      <c r="E134" s="38">
        <v>11560</v>
      </c>
      <c r="F134" s="64">
        <v>1</v>
      </c>
      <c r="G134" s="46"/>
      <c r="H134" s="39">
        <f>H5</f>
        <v>0</v>
      </c>
      <c r="I134" s="38" t="e">
        <f t="shared" si="8"/>
        <v>#DIV/0!</v>
      </c>
      <c r="J134" s="38">
        <f t="shared" si="9"/>
        <v>180613.44</v>
      </c>
      <c r="K134" s="30"/>
      <c r="L134" s="30"/>
      <c r="M134" s="15" t="e">
        <f t="shared" si="10"/>
        <v>#DIV/0!</v>
      </c>
    </row>
    <row r="135" spans="1:13" ht="15" hidden="1" customHeight="1" thickBot="1">
      <c r="A135" s="236"/>
      <c r="B135" s="236"/>
      <c r="C135" s="236"/>
      <c r="D135" s="236"/>
      <c r="E135" s="38">
        <v>9544</v>
      </c>
      <c r="F135" s="66">
        <v>0.5</v>
      </c>
      <c r="G135" s="46"/>
      <c r="H135" s="39">
        <f>H5</f>
        <v>0</v>
      </c>
      <c r="I135" s="38" t="e">
        <f t="shared" si="8"/>
        <v>#DIV/0!</v>
      </c>
      <c r="J135" s="38">
        <f t="shared" si="9"/>
        <v>74557.728000000003</v>
      </c>
      <c r="K135" s="30"/>
      <c r="L135" s="30"/>
      <c r="M135" s="15" t="e">
        <f t="shared" si="10"/>
        <v>#DIV/0!</v>
      </c>
    </row>
    <row r="136" spans="1:13" ht="15" hidden="1" customHeight="1">
      <c r="A136" s="236"/>
      <c r="B136" s="236"/>
      <c r="C136" s="236"/>
      <c r="D136" s="236"/>
      <c r="E136" s="38">
        <v>9544</v>
      </c>
      <c r="F136" s="64">
        <v>1</v>
      </c>
      <c r="G136" s="46"/>
      <c r="H136" s="39">
        <f>H5</f>
        <v>0</v>
      </c>
      <c r="I136" s="38" t="e">
        <f t="shared" si="8"/>
        <v>#DIV/0!</v>
      </c>
      <c r="J136" s="38">
        <f t="shared" si="9"/>
        <v>149115.45600000001</v>
      </c>
      <c r="K136" s="38"/>
      <c r="L136" s="38"/>
      <c r="M136" s="15" t="e">
        <f t="shared" si="10"/>
        <v>#DIV/0!</v>
      </c>
    </row>
    <row r="137" spans="1:13" ht="14.25" hidden="1" customHeight="1" thickBo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H5</f>
        <v>0</v>
      </c>
      <c r="I137" s="38" t="e">
        <f t="shared" si="8"/>
        <v>#DIV/0!</v>
      </c>
      <c r="J137" s="38">
        <f t="shared" si="9"/>
        <v>149115.45600000001</v>
      </c>
      <c r="K137" s="47"/>
      <c r="L137" s="47"/>
      <c r="M137" s="15" t="e">
        <f t="shared" si="10"/>
        <v>#DIV/0!</v>
      </c>
    </row>
    <row r="138" spans="1:13" ht="15" hidden="1" customHeight="1">
      <c r="A138" s="212"/>
      <c r="B138" s="213"/>
      <c r="C138" s="213"/>
      <c r="D138" s="213"/>
      <c r="E138" s="38">
        <v>9544</v>
      </c>
      <c r="F138" s="38"/>
      <c r="G138" s="46"/>
      <c r="H138" s="39">
        <f>H5</f>
        <v>0</v>
      </c>
      <c r="I138" s="38" t="e">
        <f t="shared" si="8"/>
        <v>#DIV/0!</v>
      </c>
      <c r="J138" s="38">
        <f t="shared" si="9"/>
        <v>0</v>
      </c>
      <c r="K138" s="47"/>
      <c r="L138" s="47"/>
      <c r="M138" s="15" t="e">
        <f t="shared" si="10"/>
        <v>#DIV/0!</v>
      </c>
    </row>
    <row r="139" spans="1:13" ht="15" hidden="1" customHeight="1" thickBot="1">
      <c r="A139" s="212"/>
      <c r="B139" s="213"/>
      <c r="C139" s="213"/>
      <c r="D139" s="213"/>
      <c r="E139" s="38">
        <v>9544</v>
      </c>
      <c r="F139" s="67">
        <v>0.25</v>
      </c>
      <c r="G139" s="46"/>
      <c r="H139" s="39">
        <f>H5</f>
        <v>0</v>
      </c>
      <c r="I139" s="38" t="e">
        <f t="shared" si="8"/>
        <v>#DIV/0!</v>
      </c>
      <c r="J139" s="38">
        <f t="shared" si="9"/>
        <v>37278.864000000001</v>
      </c>
      <c r="K139" s="47"/>
      <c r="L139" s="47"/>
      <c r="M139" s="15" t="e">
        <f t="shared" si="10"/>
        <v>#DIV/0!</v>
      </c>
    </row>
    <row r="140" spans="1:13" ht="15" hidden="1" customHeight="1">
      <c r="A140" s="212"/>
      <c r="B140" s="213"/>
      <c r="C140" s="213"/>
      <c r="D140" s="213"/>
      <c r="E140" s="38">
        <v>9544</v>
      </c>
      <c r="F140" s="38"/>
      <c r="G140" s="46"/>
      <c r="H140" s="39">
        <f>H5</f>
        <v>0</v>
      </c>
      <c r="I140" s="38" t="e">
        <f t="shared" si="8"/>
        <v>#DIV/0!</v>
      </c>
      <c r="J140" s="38">
        <f t="shared" si="9"/>
        <v>0</v>
      </c>
      <c r="K140" s="47"/>
      <c r="L140" s="47"/>
      <c r="M140" s="15" t="e">
        <f t="shared" si="10"/>
        <v>#DIV/0!</v>
      </c>
    </row>
    <row r="141" spans="1:13" ht="15" hidden="1" customHeight="1">
      <c r="A141" s="212"/>
      <c r="B141" s="213"/>
      <c r="C141" s="213"/>
      <c r="D141" s="213"/>
      <c r="E141" s="38">
        <v>9544</v>
      </c>
      <c r="F141" s="66">
        <v>0.5</v>
      </c>
      <c r="G141" s="46"/>
      <c r="H141" s="39">
        <f>H5</f>
        <v>0</v>
      </c>
      <c r="I141" s="38" t="e">
        <f t="shared" si="8"/>
        <v>#DIV/0!</v>
      </c>
      <c r="J141" s="38">
        <f t="shared" si="9"/>
        <v>74557.728000000003</v>
      </c>
      <c r="K141" s="47"/>
      <c r="L141" s="47"/>
      <c r="M141" s="15" t="e">
        <f t="shared" si="10"/>
        <v>#DIV/0!</v>
      </c>
    </row>
    <row r="142" spans="1:13" ht="15.75" hidden="1" customHeight="1" thickBot="1">
      <c r="A142" s="212"/>
      <c r="B142" s="213"/>
      <c r="C142" s="213"/>
      <c r="D142" s="213"/>
      <c r="E142" s="38">
        <v>9544</v>
      </c>
      <c r="F142" s="64">
        <v>1</v>
      </c>
      <c r="G142" s="46"/>
      <c r="H142" s="39">
        <f>H5</f>
        <v>0</v>
      </c>
      <c r="I142" s="38" t="e">
        <f t="shared" si="8"/>
        <v>#DIV/0!</v>
      </c>
      <c r="J142" s="38">
        <f t="shared" si="9"/>
        <v>149115.45600000001</v>
      </c>
      <c r="K142" s="47"/>
      <c r="L142" s="47"/>
      <c r="M142" s="15" t="e">
        <f t="shared" si="10"/>
        <v>#DIV/0!</v>
      </c>
    </row>
    <row r="143" spans="1:13" ht="15" hidden="1" customHeight="1">
      <c r="A143" s="236"/>
      <c r="B143" s="236"/>
      <c r="C143" s="236"/>
      <c r="D143" s="236"/>
      <c r="E143" s="38">
        <v>9544</v>
      </c>
      <c r="F143" s="64">
        <v>1</v>
      </c>
      <c r="G143" s="46"/>
      <c r="H143" s="39">
        <f>H5</f>
        <v>0</v>
      </c>
      <c r="I143" s="38" t="e">
        <f t="shared" si="8"/>
        <v>#DIV/0!</v>
      </c>
      <c r="J143" s="38">
        <f t="shared" si="9"/>
        <v>149115.45600000001</v>
      </c>
      <c r="K143" s="47"/>
      <c r="L143" s="47"/>
      <c r="M143" s="15" t="e">
        <f t="shared" si="10"/>
        <v>#DIV/0!</v>
      </c>
    </row>
    <row r="144" spans="1:13" ht="15" hidden="1" customHeight="1">
      <c r="A144" s="236"/>
      <c r="B144" s="236"/>
      <c r="C144" s="236"/>
      <c r="D144" s="236"/>
      <c r="E144" s="38">
        <v>9544</v>
      </c>
      <c r="F144" s="66">
        <v>5.5</v>
      </c>
      <c r="G144" s="46"/>
      <c r="H144" s="39">
        <f>H5</f>
        <v>0</v>
      </c>
      <c r="I144" s="38" t="e">
        <f t="shared" si="8"/>
        <v>#DIV/0!</v>
      </c>
      <c r="J144" s="38">
        <f t="shared" si="9"/>
        <v>820135.00800000003</v>
      </c>
      <c r="K144" s="47"/>
      <c r="L144" s="47"/>
      <c r="M144" s="15" t="e">
        <f t="shared" si="10"/>
        <v>#DIV/0!</v>
      </c>
    </row>
    <row r="145" spans="1:13" ht="15" hidden="1" customHeight="1" thickBot="1">
      <c r="A145" s="236"/>
      <c r="B145" s="236"/>
      <c r="C145" s="236"/>
      <c r="D145" s="236"/>
      <c r="E145" s="38">
        <v>9544</v>
      </c>
      <c r="F145" s="64">
        <v>1</v>
      </c>
      <c r="G145" s="46"/>
      <c r="H145" s="39">
        <f>H5</f>
        <v>0</v>
      </c>
      <c r="I145" s="38" t="e">
        <f t="shared" si="8"/>
        <v>#DIV/0!</v>
      </c>
      <c r="J145" s="38">
        <f t="shared" si="9"/>
        <v>149115.45600000001</v>
      </c>
      <c r="K145" s="47"/>
      <c r="L145" s="47"/>
      <c r="M145" s="15" t="e">
        <f t="shared" si="10"/>
        <v>#DIV/0!</v>
      </c>
    </row>
    <row r="146" spans="1:13" ht="15" hidden="1" customHeight="1" thickBot="1">
      <c r="A146" s="236"/>
      <c r="B146" s="236"/>
      <c r="C146" s="236"/>
      <c r="D146" s="236"/>
      <c r="E146" s="38">
        <v>9544</v>
      </c>
      <c r="F146" s="66">
        <v>0.5</v>
      </c>
      <c r="G146" s="46"/>
      <c r="H146" s="39">
        <f>H5</f>
        <v>0</v>
      </c>
      <c r="I146" s="38" t="e">
        <f t="shared" si="8"/>
        <v>#DIV/0!</v>
      </c>
      <c r="J146" s="38">
        <f t="shared" si="9"/>
        <v>74557.728000000003</v>
      </c>
      <c r="K146" s="47"/>
      <c r="L146" s="47"/>
      <c r="M146" s="15" t="e">
        <f t="shared" si="10"/>
        <v>#DIV/0!</v>
      </c>
    </row>
    <row r="147" spans="1:13" ht="15" hidden="1" customHeight="1" thickBo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H5</f>
        <v>0</v>
      </c>
      <c r="I147" s="38" t="e">
        <f t="shared" si="8"/>
        <v>#DIV/0!</v>
      </c>
      <c r="J147" s="38">
        <f t="shared" si="9"/>
        <v>74557.728000000003</v>
      </c>
      <c r="K147" s="47"/>
      <c r="L147" s="47"/>
      <c r="M147" s="15" t="e">
        <f t="shared" si="10"/>
        <v>#DIV/0!</v>
      </c>
    </row>
    <row r="148" spans="1:13" ht="15" hidden="1" customHeight="1" thickBot="1">
      <c r="A148" s="236"/>
      <c r="B148" s="236"/>
      <c r="C148" s="236"/>
      <c r="D148" s="236"/>
      <c r="E148" s="38">
        <v>9544</v>
      </c>
      <c r="F148" s="64">
        <v>1</v>
      </c>
      <c r="G148" s="46"/>
      <c r="H148" s="39">
        <f>H5</f>
        <v>0</v>
      </c>
      <c r="I148" s="38" t="e">
        <f t="shared" si="8"/>
        <v>#DIV/0!</v>
      </c>
      <c r="J148" s="38">
        <f t="shared" si="9"/>
        <v>149115.45600000001</v>
      </c>
      <c r="K148" s="47"/>
      <c r="L148" s="47"/>
      <c r="M148" s="15" t="e">
        <f t="shared" si="10"/>
        <v>#DIV/0!</v>
      </c>
    </row>
    <row r="149" spans="1:13" ht="15.75" hidden="1" customHeight="1" thickBot="1">
      <c r="A149" s="236"/>
      <c r="B149" s="236"/>
      <c r="C149" s="236"/>
      <c r="D149" s="236"/>
      <c r="E149" s="38">
        <v>9544</v>
      </c>
      <c r="F149" s="64">
        <v>4</v>
      </c>
      <c r="G149" s="46"/>
      <c r="H149" s="39">
        <f>H5</f>
        <v>0</v>
      </c>
      <c r="I149" s="38" t="e">
        <f t="shared" si="8"/>
        <v>#DIV/0!</v>
      </c>
      <c r="J149" s="38">
        <f t="shared" si="9"/>
        <v>596461.82400000002</v>
      </c>
      <c r="K149" s="47"/>
      <c r="L149" s="47"/>
      <c r="M149" s="15" t="e">
        <f t="shared" si="10"/>
        <v>#DIV/0!</v>
      </c>
    </row>
    <row r="150" spans="1:13" ht="16.5" hidden="1" customHeight="1" thickBot="1">
      <c r="A150" s="212"/>
      <c r="B150" s="213"/>
      <c r="C150" s="213"/>
      <c r="D150" s="213"/>
      <c r="E150" s="38">
        <v>9544</v>
      </c>
      <c r="F150" s="64">
        <v>1</v>
      </c>
      <c r="G150" s="46"/>
      <c r="H150" s="39">
        <f>H5</f>
        <v>0</v>
      </c>
      <c r="I150" s="38" t="e">
        <f t="shared" si="8"/>
        <v>#DIV/0!</v>
      </c>
      <c r="J150" s="38">
        <f t="shared" si="9"/>
        <v>149115.45600000001</v>
      </c>
      <c r="K150" s="47"/>
      <c r="L150" s="47"/>
      <c r="M150" s="15" t="e">
        <f t="shared" si="10"/>
        <v>#DIV/0!</v>
      </c>
    </row>
    <row r="151" spans="1:13" ht="16.5" hidden="1" customHeight="1" thickBot="1">
      <c r="A151" s="212"/>
      <c r="B151" s="213"/>
      <c r="C151" s="213"/>
      <c r="D151" s="213"/>
      <c r="E151" s="38">
        <v>9544</v>
      </c>
      <c r="F151" s="67">
        <v>1.75</v>
      </c>
      <c r="G151" s="46"/>
      <c r="H151" s="39">
        <f>H5</f>
        <v>0</v>
      </c>
      <c r="I151" s="38" t="e">
        <f t="shared" si="8"/>
        <v>#DIV/0!</v>
      </c>
      <c r="J151" s="38">
        <f t="shared" si="9"/>
        <v>260952.04800000001</v>
      </c>
      <c r="K151" s="47"/>
      <c r="L151" s="47"/>
      <c r="M151" s="15" t="e">
        <f t="shared" si="10"/>
        <v>#DIV/0!</v>
      </c>
    </row>
    <row r="152" spans="1:13" ht="16.5" hidden="1" customHeight="1">
      <c r="A152" s="212"/>
      <c r="B152" s="213"/>
      <c r="C152" s="213"/>
      <c r="D152" s="213"/>
      <c r="E152" s="38">
        <v>9544</v>
      </c>
      <c r="F152" s="39"/>
      <c r="G152" s="46"/>
      <c r="H152" s="39">
        <f>H5</f>
        <v>0</v>
      </c>
      <c r="I152" s="38" t="e">
        <f t="shared" si="8"/>
        <v>#DIV/0!</v>
      </c>
      <c r="J152" s="38">
        <f t="shared" si="9"/>
        <v>0</v>
      </c>
      <c r="K152" s="47"/>
      <c r="L152" s="47"/>
      <c r="M152" s="15" t="e">
        <f t="shared" si="10"/>
        <v>#DIV/0!</v>
      </c>
    </row>
    <row r="153" spans="1:13" ht="16.5" hidden="1" customHeight="1">
      <c r="A153" s="212"/>
      <c r="B153" s="213"/>
      <c r="C153" s="213"/>
      <c r="D153" s="213"/>
      <c r="E153" s="38">
        <v>9544</v>
      </c>
      <c r="F153" s="66">
        <v>0.5</v>
      </c>
      <c r="G153" s="46"/>
      <c r="H153" s="39">
        <f>H5</f>
        <v>0</v>
      </c>
      <c r="I153" s="38" t="e">
        <f t="shared" si="8"/>
        <v>#DIV/0!</v>
      </c>
      <c r="J153" s="38">
        <f t="shared" si="9"/>
        <v>74557.728000000003</v>
      </c>
      <c r="K153" s="47"/>
      <c r="L153" s="47"/>
      <c r="M153" s="15" t="e">
        <f t="shared" si="10"/>
        <v>#DIV/0!</v>
      </c>
    </row>
    <row r="154" spans="1:13" ht="15" hidden="1" customHeight="1">
      <c r="A154" s="212"/>
      <c r="B154" s="213"/>
      <c r="C154" s="213"/>
      <c r="D154" s="213"/>
      <c r="E154" s="38"/>
      <c r="F154" s="38"/>
      <c r="G154" s="38"/>
      <c r="H154" s="38"/>
      <c r="I154" s="38"/>
      <c r="J154" s="38"/>
      <c r="K154" s="47"/>
      <c r="L154" s="47"/>
      <c r="M154" s="15">
        <f t="shared" si="10"/>
        <v>0</v>
      </c>
    </row>
    <row r="155" spans="1:13" ht="15.75" hidden="1" customHeigh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>
        <f t="shared" si="10"/>
        <v>0</v>
      </c>
    </row>
    <row r="156" spans="1:13" ht="14.25" hidden="1" customHeight="1" thickBot="1">
      <c r="A156" s="212"/>
      <c r="B156" s="213"/>
      <c r="C156" s="213"/>
      <c r="D156" s="213"/>
      <c r="E156" s="38"/>
      <c r="F156" s="38"/>
      <c r="G156" s="38"/>
      <c r="H156" s="38"/>
      <c r="I156" s="46">
        <v>105</v>
      </c>
      <c r="J156" s="48">
        <f>H156/I156</f>
        <v>0</v>
      </c>
      <c r="K156" s="47"/>
      <c r="L156" s="47"/>
      <c r="M156" s="31">
        <f t="shared" si="10"/>
        <v>0</v>
      </c>
    </row>
    <row r="157" spans="1:13" ht="15" thickBot="1">
      <c r="A157" s="216" t="s">
        <v>47</v>
      </c>
      <c r="B157" s="216"/>
      <c r="C157" s="216"/>
      <c r="D157" s="216"/>
      <c r="E157" s="68"/>
      <c r="F157" s="167"/>
      <c r="G157" s="167"/>
      <c r="H157" s="73">
        <f>H131</f>
        <v>58751.508746854139</v>
      </c>
      <c r="I157" s="49"/>
      <c r="J157" s="69">
        <f>J131</f>
        <v>14687.877186713535</v>
      </c>
      <c r="K157" s="47"/>
      <c r="L157" s="47"/>
      <c r="M157" s="16"/>
    </row>
    <row r="158" spans="1:13" ht="15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7"/>
      <c r="L158" s="17"/>
      <c r="M158" s="17"/>
    </row>
    <row r="159" spans="1:13" ht="15.6">
      <c r="A159" s="273" t="s">
        <v>68</v>
      </c>
      <c r="B159" s="273"/>
      <c r="C159" s="273"/>
      <c r="D159" s="273"/>
      <c r="E159" s="273"/>
      <c r="F159" s="273"/>
      <c r="G159" s="273"/>
      <c r="H159" s="273"/>
      <c r="I159" s="273"/>
      <c r="J159" s="273"/>
      <c r="K159" s="273"/>
      <c r="L159" s="273"/>
      <c r="M159" s="273"/>
    </row>
    <row r="160" spans="1:13" ht="69.599999999999994">
      <c r="A160" s="231" t="s">
        <v>3</v>
      </c>
      <c r="B160" s="231"/>
      <c r="C160" s="231"/>
      <c r="D160" s="231"/>
      <c r="E160" s="9" t="s">
        <v>4</v>
      </c>
      <c r="F160" s="10" t="s">
        <v>0</v>
      </c>
      <c r="G160" s="35" t="s">
        <v>52</v>
      </c>
      <c r="H160" s="35" t="s">
        <v>44</v>
      </c>
      <c r="I160" s="9" t="s">
        <v>63</v>
      </c>
      <c r="J160" s="9" t="s">
        <v>69</v>
      </c>
      <c r="K160" s="9" t="s">
        <v>46</v>
      </c>
      <c r="L160" s="28"/>
      <c r="M160" s="28"/>
    </row>
    <row r="161" spans="1:14">
      <c r="A161" s="252">
        <v>1</v>
      </c>
      <c r="B161" s="253"/>
      <c r="C161" s="253"/>
      <c r="D161" s="253"/>
      <c r="E161" s="26">
        <v>2</v>
      </c>
      <c r="F161" s="12">
        <v>3</v>
      </c>
      <c r="G161" s="26">
        <v>4</v>
      </c>
      <c r="H161" s="26">
        <v>5</v>
      </c>
      <c r="I161" s="27">
        <v>6</v>
      </c>
      <c r="J161" s="36">
        <v>7</v>
      </c>
      <c r="K161" s="37">
        <v>8</v>
      </c>
      <c r="L161" s="153"/>
      <c r="M161" s="28"/>
    </row>
    <row r="162" spans="1:14" ht="32.4" customHeight="1" thickBot="1">
      <c r="A162" s="236" t="s">
        <v>67</v>
      </c>
      <c r="B162" s="236"/>
      <c r="C162" s="236"/>
      <c r="D162" s="236"/>
      <c r="E162" s="38">
        <f>20865999.58/12/55.25</f>
        <v>31472.095897435895</v>
      </c>
      <c r="F162" s="38">
        <f>55.25*0.005738</f>
        <v>0.31702449999999999</v>
      </c>
      <c r="G162" s="38">
        <f>(15957574.159+68539.1903)*0.005738</f>
        <v>91957.838398283406</v>
      </c>
      <c r="H162" s="38">
        <f>G162*1.302</f>
        <v>119729.105594565</v>
      </c>
      <c r="I162" s="46">
        <v>4</v>
      </c>
      <c r="J162" s="38">
        <f>H162/I162</f>
        <v>29932.27639864125</v>
      </c>
      <c r="K162" s="63">
        <f>H162/(8696900+23460820)*100</f>
        <v>0.37231839071478012</v>
      </c>
      <c r="L162" s="154"/>
      <c r="M162" s="16"/>
      <c r="N162" s="196"/>
    </row>
    <row r="163" spans="1:14" ht="15" hidden="1" customHeight="1" thickBot="1">
      <c r="A163" s="262"/>
      <c r="B163" s="263"/>
      <c r="C163" s="263"/>
      <c r="D163" s="263"/>
      <c r="E163" s="38">
        <v>17865.98</v>
      </c>
      <c r="F163" s="64">
        <v>4</v>
      </c>
      <c r="G163" s="46"/>
      <c r="H163" s="39">
        <f>H38</f>
        <v>0</v>
      </c>
      <c r="I163" s="38" t="e">
        <f t="shared" ref="I163:I184" si="11">F163/G163*H163</f>
        <v>#DIV/0!</v>
      </c>
      <c r="J163" s="38">
        <f t="shared" ref="J163:J184" si="12">E163*F163*12*1.302</f>
        <v>1116552.28608</v>
      </c>
      <c r="K163" s="65" t="s">
        <v>38</v>
      </c>
      <c r="L163" s="155"/>
      <c r="M163" s="32" t="e">
        <f t="shared" ref="M163:M187" si="13">I163*J163</f>
        <v>#DIV/0!</v>
      </c>
    </row>
    <row r="164" spans="1:14" ht="15" hidden="1" customHeight="1" thickBot="1">
      <c r="A164" s="293"/>
      <c r="B164" s="293"/>
      <c r="C164" s="293"/>
      <c r="D164" s="293"/>
      <c r="E164" s="38">
        <v>9544</v>
      </c>
      <c r="F164" s="64">
        <v>1</v>
      </c>
      <c r="G164" s="46"/>
      <c r="H164" s="39">
        <f>H38</f>
        <v>0</v>
      </c>
      <c r="I164" s="38" t="e">
        <f t="shared" si="11"/>
        <v>#DIV/0!</v>
      </c>
      <c r="J164" s="38">
        <f t="shared" si="12"/>
        <v>149115.45600000001</v>
      </c>
      <c r="K164" s="39">
        <f>H164/11277167.39*100</f>
        <v>0</v>
      </c>
      <c r="L164" s="39"/>
      <c r="M164" s="15" t="e">
        <f t="shared" si="13"/>
        <v>#DIV/0!</v>
      </c>
    </row>
    <row r="165" spans="1:14" ht="15" hidden="1" customHeight="1" thickBot="1">
      <c r="A165" s="274"/>
      <c r="B165" s="275"/>
      <c r="C165" s="275"/>
      <c r="D165" s="275"/>
      <c r="E165" s="38">
        <v>11560</v>
      </c>
      <c r="F165" s="64">
        <v>1</v>
      </c>
      <c r="G165" s="46"/>
      <c r="H165" s="39">
        <f>H38</f>
        <v>0</v>
      </c>
      <c r="I165" s="38" t="e">
        <f t="shared" si="11"/>
        <v>#DIV/0!</v>
      </c>
      <c r="J165" s="38">
        <f t="shared" si="12"/>
        <v>180613.44</v>
      </c>
      <c r="K165" s="30"/>
      <c r="L165" s="30"/>
      <c r="M165" s="15" t="e">
        <f t="shared" si="13"/>
        <v>#DIV/0!</v>
      </c>
    </row>
    <row r="166" spans="1:14" ht="15" hidden="1" customHeight="1" thickBot="1">
      <c r="A166" s="236"/>
      <c r="B166" s="236"/>
      <c r="C166" s="236"/>
      <c r="D166" s="236"/>
      <c r="E166" s="38">
        <v>9544</v>
      </c>
      <c r="F166" s="66">
        <v>0.5</v>
      </c>
      <c r="G166" s="46"/>
      <c r="H166" s="39">
        <f>H38</f>
        <v>0</v>
      </c>
      <c r="I166" s="38" t="e">
        <f t="shared" si="11"/>
        <v>#DIV/0!</v>
      </c>
      <c r="J166" s="38">
        <f t="shared" si="12"/>
        <v>74557.728000000003</v>
      </c>
      <c r="K166" s="30"/>
      <c r="L166" s="30"/>
      <c r="M166" s="15" t="e">
        <f t="shared" si="13"/>
        <v>#DIV/0!</v>
      </c>
    </row>
    <row r="167" spans="1:14" ht="15" hidden="1" customHeight="1" thickBot="1">
      <c r="A167" s="236"/>
      <c r="B167" s="236"/>
      <c r="C167" s="236"/>
      <c r="D167" s="236"/>
      <c r="E167" s="38">
        <v>9544</v>
      </c>
      <c r="F167" s="64">
        <v>1</v>
      </c>
      <c r="G167" s="46"/>
      <c r="H167" s="39">
        <f>H38</f>
        <v>0</v>
      </c>
      <c r="I167" s="38" t="e">
        <f t="shared" si="11"/>
        <v>#DIV/0!</v>
      </c>
      <c r="J167" s="38">
        <f t="shared" si="12"/>
        <v>149115.45600000001</v>
      </c>
      <c r="K167" s="38"/>
      <c r="L167" s="38"/>
      <c r="M167" s="15" t="e">
        <f t="shared" si="13"/>
        <v>#DIV/0!</v>
      </c>
    </row>
    <row r="168" spans="1:14" ht="14.25" hidden="1" customHeigh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H38</f>
        <v>0</v>
      </c>
      <c r="I168" s="38" t="e">
        <f t="shared" si="11"/>
        <v>#DIV/0!</v>
      </c>
      <c r="J168" s="38">
        <f t="shared" si="12"/>
        <v>149115.45600000001</v>
      </c>
      <c r="K168" s="47"/>
      <c r="L168" s="47"/>
      <c r="M168" s="15" t="e">
        <f t="shared" si="13"/>
        <v>#DIV/0!</v>
      </c>
    </row>
    <row r="169" spans="1:14" ht="15" hidden="1" customHeight="1" thickBot="1">
      <c r="A169" s="212"/>
      <c r="B169" s="213"/>
      <c r="C169" s="213"/>
      <c r="D169" s="213"/>
      <c r="E169" s="38">
        <v>9544</v>
      </c>
      <c r="F169" s="38"/>
      <c r="G169" s="46"/>
      <c r="H169" s="39">
        <f>H38</f>
        <v>0</v>
      </c>
      <c r="I169" s="38" t="e">
        <f t="shared" si="11"/>
        <v>#DIV/0!</v>
      </c>
      <c r="J169" s="38">
        <f t="shared" si="12"/>
        <v>0</v>
      </c>
      <c r="K169" s="47"/>
      <c r="L169" s="47"/>
      <c r="M169" s="15" t="e">
        <f t="shared" si="13"/>
        <v>#DIV/0!</v>
      </c>
    </row>
    <row r="170" spans="1:14" ht="15" hidden="1" customHeight="1">
      <c r="A170" s="212"/>
      <c r="B170" s="213"/>
      <c r="C170" s="213"/>
      <c r="D170" s="213"/>
      <c r="E170" s="38">
        <v>9544</v>
      </c>
      <c r="F170" s="67">
        <v>0.25</v>
      </c>
      <c r="G170" s="46"/>
      <c r="H170" s="39">
        <f>H38</f>
        <v>0</v>
      </c>
      <c r="I170" s="38" t="e">
        <f t="shared" si="11"/>
        <v>#DIV/0!</v>
      </c>
      <c r="J170" s="38">
        <f t="shared" si="12"/>
        <v>37278.864000000001</v>
      </c>
      <c r="K170" s="47"/>
      <c r="L170" s="47"/>
      <c r="M170" s="15" t="e">
        <f t="shared" si="13"/>
        <v>#DIV/0!</v>
      </c>
    </row>
    <row r="171" spans="1:14" ht="15" hidden="1" customHeight="1">
      <c r="A171" s="212"/>
      <c r="B171" s="213"/>
      <c r="C171" s="213"/>
      <c r="D171" s="213"/>
      <c r="E171" s="38">
        <v>9544</v>
      </c>
      <c r="F171" s="38"/>
      <c r="G171" s="46"/>
      <c r="H171" s="39">
        <f>H38</f>
        <v>0</v>
      </c>
      <c r="I171" s="38" t="e">
        <f t="shared" si="11"/>
        <v>#DIV/0!</v>
      </c>
      <c r="J171" s="38">
        <f t="shared" si="12"/>
        <v>0</v>
      </c>
      <c r="K171" s="47"/>
      <c r="L171" s="47"/>
      <c r="M171" s="15" t="e">
        <f t="shared" si="13"/>
        <v>#DIV/0!</v>
      </c>
    </row>
    <row r="172" spans="1:14" ht="15" hidden="1" customHeight="1">
      <c r="A172" s="212"/>
      <c r="B172" s="213"/>
      <c r="C172" s="213"/>
      <c r="D172" s="213"/>
      <c r="E172" s="38">
        <v>9544</v>
      </c>
      <c r="F172" s="66">
        <v>0.5</v>
      </c>
      <c r="G172" s="46"/>
      <c r="H172" s="39">
        <f>H38</f>
        <v>0</v>
      </c>
      <c r="I172" s="38" t="e">
        <f t="shared" si="11"/>
        <v>#DIV/0!</v>
      </c>
      <c r="J172" s="38">
        <f t="shared" si="12"/>
        <v>74557.728000000003</v>
      </c>
      <c r="K172" s="47"/>
      <c r="L172" s="47"/>
      <c r="M172" s="15" t="e">
        <f t="shared" si="13"/>
        <v>#DIV/0!</v>
      </c>
    </row>
    <row r="173" spans="1:14" ht="15.75" hidden="1" customHeight="1" thickBot="1">
      <c r="A173" s="212"/>
      <c r="B173" s="213"/>
      <c r="C173" s="213"/>
      <c r="D173" s="213"/>
      <c r="E173" s="38">
        <v>9544</v>
      </c>
      <c r="F173" s="64">
        <v>1</v>
      </c>
      <c r="G173" s="46"/>
      <c r="H173" s="39">
        <f>H38</f>
        <v>0</v>
      </c>
      <c r="I173" s="38" t="e">
        <f t="shared" si="11"/>
        <v>#DIV/0!</v>
      </c>
      <c r="J173" s="38">
        <f t="shared" si="12"/>
        <v>149115.45600000001</v>
      </c>
      <c r="K173" s="47"/>
      <c r="L173" s="47"/>
      <c r="M173" s="15" t="e">
        <f t="shared" si="13"/>
        <v>#DIV/0!</v>
      </c>
    </row>
    <row r="174" spans="1:14" ht="15" hidden="1" customHeight="1">
      <c r="A174" s="236"/>
      <c r="B174" s="236"/>
      <c r="C174" s="236"/>
      <c r="D174" s="236"/>
      <c r="E174" s="38">
        <v>9544</v>
      </c>
      <c r="F174" s="64">
        <v>1</v>
      </c>
      <c r="G174" s="46"/>
      <c r="H174" s="39">
        <f>H38</f>
        <v>0</v>
      </c>
      <c r="I174" s="38" t="e">
        <f t="shared" si="11"/>
        <v>#DIV/0!</v>
      </c>
      <c r="J174" s="38">
        <f t="shared" si="12"/>
        <v>149115.45600000001</v>
      </c>
      <c r="K174" s="47"/>
      <c r="L174" s="47"/>
      <c r="M174" s="15" t="e">
        <f t="shared" si="13"/>
        <v>#DIV/0!</v>
      </c>
    </row>
    <row r="175" spans="1:14" ht="15" hidden="1" customHeight="1">
      <c r="A175" s="236"/>
      <c r="B175" s="236"/>
      <c r="C175" s="236"/>
      <c r="D175" s="236"/>
      <c r="E175" s="38">
        <v>9544</v>
      </c>
      <c r="F175" s="66">
        <v>5.5</v>
      </c>
      <c r="G175" s="46"/>
      <c r="H175" s="39">
        <f>H38</f>
        <v>0</v>
      </c>
      <c r="I175" s="38" t="e">
        <f t="shared" si="11"/>
        <v>#DIV/0!</v>
      </c>
      <c r="J175" s="38">
        <f t="shared" si="12"/>
        <v>820135.00800000003</v>
      </c>
      <c r="K175" s="47"/>
      <c r="L175" s="47"/>
      <c r="M175" s="15" t="e">
        <f t="shared" si="13"/>
        <v>#DIV/0!</v>
      </c>
    </row>
    <row r="176" spans="1:14" ht="15" hidden="1" customHeight="1" thickBot="1">
      <c r="A176" s="236"/>
      <c r="B176" s="236"/>
      <c r="C176" s="236"/>
      <c r="D176" s="236"/>
      <c r="E176" s="38">
        <v>9544</v>
      </c>
      <c r="F176" s="64">
        <v>1</v>
      </c>
      <c r="G176" s="46"/>
      <c r="H176" s="39">
        <f>H38</f>
        <v>0</v>
      </c>
      <c r="I176" s="38" t="e">
        <f t="shared" si="11"/>
        <v>#DIV/0!</v>
      </c>
      <c r="J176" s="38">
        <f t="shared" si="12"/>
        <v>149115.45600000001</v>
      </c>
      <c r="K176" s="47"/>
      <c r="L176" s="47"/>
      <c r="M176" s="15" t="e">
        <f t="shared" si="13"/>
        <v>#DIV/0!</v>
      </c>
    </row>
    <row r="177" spans="1:13" ht="15" hidden="1" customHeight="1" thickBot="1">
      <c r="A177" s="236"/>
      <c r="B177" s="236"/>
      <c r="C177" s="236"/>
      <c r="D177" s="236"/>
      <c r="E177" s="38">
        <v>9544</v>
      </c>
      <c r="F177" s="66">
        <v>0.5</v>
      </c>
      <c r="G177" s="46"/>
      <c r="H177" s="39">
        <f>H38</f>
        <v>0</v>
      </c>
      <c r="I177" s="38" t="e">
        <f t="shared" si="11"/>
        <v>#DIV/0!</v>
      </c>
      <c r="J177" s="38">
        <f t="shared" si="12"/>
        <v>74557.728000000003</v>
      </c>
      <c r="K177" s="47"/>
      <c r="L177" s="47"/>
      <c r="M177" s="15" t="e">
        <f t="shared" si="13"/>
        <v>#DIV/0!</v>
      </c>
    </row>
    <row r="178" spans="1:13" ht="15" hidden="1" customHeight="1" thickBo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H38</f>
        <v>0</v>
      </c>
      <c r="I178" s="38" t="e">
        <f t="shared" si="11"/>
        <v>#DIV/0!</v>
      </c>
      <c r="J178" s="38">
        <f t="shared" si="12"/>
        <v>74557.728000000003</v>
      </c>
      <c r="K178" s="47"/>
      <c r="L178" s="47"/>
      <c r="M178" s="15" t="e">
        <f t="shared" si="13"/>
        <v>#DIV/0!</v>
      </c>
    </row>
    <row r="179" spans="1:13" ht="15" hidden="1" customHeight="1" thickBot="1">
      <c r="A179" s="236"/>
      <c r="B179" s="236"/>
      <c r="C179" s="236"/>
      <c r="D179" s="236"/>
      <c r="E179" s="38">
        <v>9544</v>
      </c>
      <c r="F179" s="64">
        <v>1</v>
      </c>
      <c r="G179" s="46"/>
      <c r="H179" s="39">
        <f>H38</f>
        <v>0</v>
      </c>
      <c r="I179" s="38" t="e">
        <f t="shared" si="11"/>
        <v>#DIV/0!</v>
      </c>
      <c r="J179" s="38">
        <f t="shared" si="12"/>
        <v>149115.45600000001</v>
      </c>
      <c r="K179" s="47"/>
      <c r="L179" s="47"/>
      <c r="M179" s="15" t="e">
        <f t="shared" si="13"/>
        <v>#DIV/0!</v>
      </c>
    </row>
    <row r="180" spans="1:13" ht="15.75" hidden="1" customHeight="1" thickBot="1">
      <c r="A180" s="236"/>
      <c r="B180" s="236"/>
      <c r="C180" s="236"/>
      <c r="D180" s="236"/>
      <c r="E180" s="38">
        <v>9544</v>
      </c>
      <c r="F180" s="64">
        <v>4</v>
      </c>
      <c r="G180" s="46"/>
      <c r="H180" s="39">
        <f>H38</f>
        <v>0</v>
      </c>
      <c r="I180" s="38" t="e">
        <f t="shared" si="11"/>
        <v>#DIV/0!</v>
      </c>
      <c r="J180" s="38">
        <f t="shared" si="12"/>
        <v>596461.82400000002</v>
      </c>
      <c r="K180" s="47"/>
      <c r="L180" s="47"/>
      <c r="M180" s="15" t="e">
        <f t="shared" si="13"/>
        <v>#DIV/0!</v>
      </c>
    </row>
    <row r="181" spans="1:13" ht="16.5" hidden="1" customHeight="1" thickBot="1">
      <c r="A181" s="212"/>
      <c r="B181" s="213"/>
      <c r="C181" s="213"/>
      <c r="D181" s="213"/>
      <c r="E181" s="38">
        <v>9544</v>
      </c>
      <c r="F181" s="64">
        <v>1</v>
      </c>
      <c r="G181" s="46"/>
      <c r="H181" s="39">
        <f>H38</f>
        <v>0</v>
      </c>
      <c r="I181" s="38" t="e">
        <f t="shared" si="11"/>
        <v>#DIV/0!</v>
      </c>
      <c r="J181" s="38">
        <f t="shared" si="12"/>
        <v>149115.45600000001</v>
      </c>
      <c r="K181" s="47"/>
      <c r="L181" s="47"/>
      <c r="M181" s="15" t="e">
        <f t="shared" si="13"/>
        <v>#DIV/0!</v>
      </c>
    </row>
    <row r="182" spans="1:13" ht="16.5" hidden="1" customHeight="1" thickBot="1">
      <c r="A182" s="212"/>
      <c r="B182" s="213"/>
      <c r="C182" s="213"/>
      <c r="D182" s="213"/>
      <c r="E182" s="38">
        <v>9544</v>
      </c>
      <c r="F182" s="67">
        <v>1.75</v>
      </c>
      <c r="G182" s="46"/>
      <c r="H182" s="39">
        <f>H38</f>
        <v>0</v>
      </c>
      <c r="I182" s="38" t="e">
        <f t="shared" si="11"/>
        <v>#DIV/0!</v>
      </c>
      <c r="J182" s="38">
        <f t="shared" si="12"/>
        <v>260952.04800000001</v>
      </c>
      <c r="K182" s="47"/>
      <c r="L182" s="47"/>
      <c r="M182" s="15" t="e">
        <f t="shared" si="13"/>
        <v>#DIV/0!</v>
      </c>
    </row>
    <row r="183" spans="1:13" ht="16.5" hidden="1" customHeight="1">
      <c r="A183" s="212"/>
      <c r="B183" s="213"/>
      <c r="C183" s="213"/>
      <c r="D183" s="213"/>
      <c r="E183" s="38">
        <v>9544</v>
      </c>
      <c r="F183" s="39"/>
      <c r="G183" s="46"/>
      <c r="H183" s="39">
        <f>H38</f>
        <v>0</v>
      </c>
      <c r="I183" s="38" t="e">
        <f t="shared" si="11"/>
        <v>#DIV/0!</v>
      </c>
      <c r="J183" s="38">
        <f t="shared" si="12"/>
        <v>0</v>
      </c>
      <c r="K183" s="47"/>
      <c r="L183" s="47"/>
      <c r="M183" s="15" t="e">
        <f t="shared" si="13"/>
        <v>#DIV/0!</v>
      </c>
    </row>
    <row r="184" spans="1:13" ht="16.5" hidden="1" customHeight="1">
      <c r="A184" s="212"/>
      <c r="B184" s="213"/>
      <c r="C184" s="213"/>
      <c r="D184" s="213"/>
      <c r="E184" s="38">
        <v>9544</v>
      </c>
      <c r="F184" s="66">
        <v>0.5</v>
      </c>
      <c r="G184" s="46"/>
      <c r="H184" s="39">
        <f>H38</f>
        <v>0</v>
      </c>
      <c r="I184" s="38" t="e">
        <f t="shared" si="11"/>
        <v>#DIV/0!</v>
      </c>
      <c r="J184" s="38">
        <f t="shared" si="12"/>
        <v>74557.728000000003</v>
      </c>
      <c r="K184" s="47"/>
      <c r="L184" s="47"/>
      <c r="M184" s="15" t="e">
        <f t="shared" si="13"/>
        <v>#DIV/0!</v>
      </c>
    </row>
    <row r="185" spans="1:13" ht="15" hidden="1" customHeight="1">
      <c r="A185" s="212"/>
      <c r="B185" s="213"/>
      <c r="C185" s="213"/>
      <c r="D185" s="213"/>
      <c r="E185" s="38"/>
      <c r="F185" s="38"/>
      <c r="G185" s="38"/>
      <c r="H185" s="38"/>
      <c r="I185" s="38"/>
      <c r="J185" s="38"/>
      <c r="K185" s="47"/>
      <c r="L185" s="47"/>
      <c r="M185" s="15">
        <f t="shared" si="13"/>
        <v>0</v>
      </c>
    </row>
    <row r="186" spans="1:13" ht="15.75" hidden="1" customHeigh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3"/>
        <v>0</v>
      </c>
    </row>
    <row r="187" spans="1:13" ht="14.2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46">
        <v>105</v>
      </c>
      <c r="J187" s="48">
        <f>H187/I187</f>
        <v>0</v>
      </c>
      <c r="K187" s="47"/>
      <c r="L187" s="47"/>
      <c r="M187" s="31">
        <f t="shared" si="13"/>
        <v>0</v>
      </c>
    </row>
    <row r="188" spans="1:13" ht="15" thickBot="1">
      <c r="A188" s="216" t="s">
        <v>47</v>
      </c>
      <c r="B188" s="216"/>
      <c r="C188" s="216"/>
      <c r="D188" s="216"/>
      <c r="E188" s="68"/>
      <c r="F188" s="167"/>
      <c r="G188" s="167"/>
      <c r="H188" s="73">
        <f>H162</f>
        <v>119729.105594565</v>
      </c>
      <c r="I188" s="49"/>
      <c r="J188" s="69">
        <f>J162</f>
        <v>29932.27639864125</v>
      </c>
      <c r="K188" s="47"/>
      <c r="L188" s="47"/>
      <c r="M188" s="16"/>
    </row>
    <row r="189" spans="1:13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1" spans="1:13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>
      <c r="A192" s="208" t="s">
        <v>61</v>
      </c>
      <c r="B192" s="208"/>
      <c r="C192" s="208"/>
      <c r="D192" s="208"/>
      <c r="E192" s="208"/>
      <c r="F192" s="208"/>
      <c r="G192" s="208"/>
      <c r="H192" s="208"/>
      <c r="I192" s="208"/>
      <c r="J192" s="208"/>
      <c r="K192" s="208"/>
      <c r="L192" s="165"/>
      <c r="M192" s="11"/>
    </row>
    <row r="193" spans="1:17" ht="55.8">
      <c r="A193" s="214" t="s">
        <v>62</v>
      </c>
      <c r="B193" s="215"/>
      <c r="C193" s="215"/>
      <c r="D193" s="284"/>
      <c r="E193" s="171" t="s">
        <v>7</v>
      </c>
      <c r="F193" s="171" t="s">
        <v>55</v>
      </c>
      <c r="G193" s="171" t="s">
        <v>42</v>
      </c>
      <c r="H193" s="171" t="s">
        <v>48</v>
      </c>
      <c r="I193" s="9" t="s">
        <v>63</v>
      </c>
      <c r="J193" s="9" t="s">
        <v>69</v>
      </c>
      <c r="K193" s="199"/>
      <c r="L193" s="28"/>
      <c r="M193" s="11"/>
    </row>
    <row r="194" spans="1:17" ht="36.75" customHeight="1">
      <c r="A194" s="212" t="s">
        <v>133</v>
      </c>
      <c r="B194" s="213"/>
      <c r="C194" s="213"/>
      <c r="D194" s="219"/>
      <c r="E194" s="171"/>
      <c r="F194" s="171"/>
      <c r="G194" s="171"/>
      <c r="H194" s="100">
        <f>632128.1*0.005738</f>
        <v>3627.1510377999998</v>
      </c>
      <c r="I194" s="46">
        <v>4</v>
      </c>
      <c r="J194" s="104">
        <f>H194/I194</f>
        <v>906.78775944999995</v>
      </c>
      <c r="K194" s="40"/>
      <c r="L194" s="28"/>
      <c r="M194" s="11"/>
    </row>
    <row r="195" spans="1:17" ht="34.5" customHeight="1" thickBot="1">
      <c r="A195" s="212" t="s">
        <v>134</v>
      </c>
      <c r="B195" s="213"/>
      <c r="C195" s="213"/>
      <c r="D195" s="219"/>
      <c r="E195" s="171"/>
      <c r="F195" s="171"/>
      <c r="G195" s="171"/>
      <c r="H195" s="100">
        <f>214539.18*0.005738</f>
        <v>1231.0258148400001</v>
      </c>
      <c r="I195" s="46">
        <v>4</v>
      </c>
      <c r="J195" s="104">
        <f>H195/I195</f>
        <v>307.75645371000002</v>
      </c>
      <c r="K195" s="40"/>
      <c r="L195" s="28"/>
      <c r="M195" s="11"/>
    </row>
    <row r="196" spans="1:17" ht="15" thickBot="1">
      <c r="A196" s="285" t="s">
        <v>57</v>
      </c>
      <c r="B196" s="286"/>
      <c r="C196" s="286"/>
      <c r="D196" s="286"/>
      <c r="E196" s="286"/>
      <c r="F196" s="286"/>
      <c r="G196" s="287"/>
      <c r="H196" s="62">
        <f>H195+H194</f>
        <v>4858.1768526400001</v>
      </c>
      <c r="I196" s="58"/>
      <c r="J196" s="33">
        <f>SUM(J194:J195)</f>
        <v>1214.54421316</v>
      </c>
      <c r="K196" s="50"/>
      <c r="L196" s="11"/>
      <c r="M196" s="11"/>
    </row>
    <row r="197" spans="1:17" ht="6.75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7" ht="55.8">
      <c r="A198" s="214" t="s">
        <v>62</v>
      </c>
      <c r="B198" s="215"/>
      <c r="C198" s="215"/>
      <c r="D198" s="284"/>
      <c r="E198" s="171" t="s">
        <v>135</v>
      </c>
      <c r="F198" s="171" t="s">
        <v>55</v>
      </c>
      <c r="G198" s="171" t="s">
        <v>42</v>
      </c>
      <c r="H198" s="171" t="s">
        <v>48</v>
      </c>
      <c r="I198" s="9" t="s">
        <v>63</v>
      </c>
      <c r="J198" s="9" t="s">
        <v>69</v>
      </c>
      <c r="K198" s="40"/>
      <c r="L198" s="28"/>
      <c r="M198" s="11"/>
    </row>
    <row r="199" spans="1:17">
      <c r="A199" s="212" t="s">
        <v>187</v>
      </c>
      <c r="B199" s="213"/>
      <c r="C199" s="213"/>
      <c r="D199" s="219"/>
      <c r="E199" s="171">
        <v>120</v>
      </c>
      <c r="F199" s="171"/>
      <c r="G199" s="171"/>
      <c r="H199" s="100">
        <f>156649.69*0.005738</f>
        <v>898.85592122000003</v>
      </c>
      <c r="I199" s="46">
        <v>4</v>
      </c>
      <c r="J199" s="104">
        <f>H199/I199</f>
        <v>224.71398030500001</v>
      </c>
      <c r="K199" s="40"/>
      <c r="L199" s="28"/>
      <c r="M199" s="11"/>
    </row>
    <row r="200" spans="1:17" ht="15" thickBot="1">
      <c r="A200" s="212" t="s">
        <v>186</v>
      </c>
      <c r="B200" s="213"/>
      <c r="C200" s="213"/>
      <c r="D200" s="219"/>
      <c r="E200" s="171">
        <v>640</v>
      </c>
      <c r="F200" s="171"/>
      <c r="G200" s="171"/>
      <c r="H200" s="100">
        <f>74369.3*0.005738</f>
        <v>426.73104340000003</v>
      </c>
      <c r="I200" s="46">
        <v>4</v>
      </c>
      <c r="J200" s="104">
        <f t="shared" ref="J200:J201" si="14">H200/I200</f>
        <v>106.68276085000001</v>
      </c>
      <c r="K200" s="40"/>
      <c r="L200" s="28"/>
      <c r="M200" s="11"/>
    </row>
    <row r="201" spans="1:17" ht="18" customHeight="1" thickBot="1">
      <c r="A201" s="212" t="s">
        <v>83</v>
      </c>
      <c r="B201" s="213"/>
      <c r="C201" s="213"/>
      <c r="D201" s="219"/>
      <c r="E201" s="171">
        <v>200</v>
      </c>
      <c r="F201" s="171"/>
      <c r="G201" s="171"/>
      <c r="H201" s="100">
        <f>32266.2*0.005738</f>
        <v>185.14345560000001</v>
      </c>
      <c r="I201" s="46">
        <v>4</v>
      </c>
      <c r="J201" s="104">
        <f t="shared" si="14"/>
        <v>46.285863900000003</v>
      </c>
      <c r="K201" s="40"/>
      <c r="L201" s="28"/>
      <c r="M201" s="11"/>
      <c r="Q201" s="101"/>
    </row>
    <row r="202" spans="1:17" ht="15" thickBot="1">
      <c r="A202" s="285" t="s">
        <v>57</v>
      </c>
      <c r="B202" s="286"/>
      <c r="C202" s="286"/>
      <c r="D202" s="286"/>
      <c r="E202" s="286"/>
      <c r="F202" s="286"/>
      <c r="G202" s="287"/>
      <c r="H202" s="62">
        <f>SUM(H199:H201)</f>
        <v>1510.73042022</v>
      </c>
      <c r="I202" s="58"/>
      <c r="J202" s="33">
        <f>SUM(J199:J201)</f>
        <v>377.68260505500001</v>
      </c>
      <c r="K202" s="11"/>
      <c r="L202" s="11"/>
      <c r="M202" s="11"/>
    </row>
    <row r="203" spans="1:17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7">
      <c r="A204" s="230" t="s">
        <v>29</v>
      </c>
      <c r="B204" s="230"/>
      <c r="C204" s="230"/>
      <c r="D204" s="230"/>
      <c r="E204" s="230"/>
      <c r="F204" s="230"/>
      <c r="G204" s="230"/>
      <c r="H204" s="230"/>
      <c r="I204" s="230"/>
      <c r="J204" s="230"/>
      <c r="K204" s="230"/>
      <c r="L204" s="230"/>
      <c r="M204" s="230"/>
    </row>
    <row r="205" spans="1:17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7">
      <c r="A206" s="290" t="s">
        <v>30</v>
      </c>
      <c r="B206" s="291"/>
      <c r="C206" s="292"/>
      <c r="D206" s="214" t="s">
        <v>31</v>
      </c>
      <c r="E206" s="288"/>
      <c r="F206" s="288"/>
      <c r="G206" s="288"/>
      <c r="H206" s="288"/>
      <c r="I206" s="288"/>
      <c r="J206" s="289"/>
      <c r="K206" s="282" t="s">
        <v>35</v>
      </c>
      <c r="L206" s="156"/>
    </row>
    <row r="207" spans="1:17" ht="21.6">
      <c r="A207" s="10" t="s">
        <v>32</v>
      </c>
      <c r="B207" s="125" t="s">
        <v>33</v>
      </c>
      <c r="C207" s="10" t="s">
        <v>34</v>
      </c>
      <c r="D207" s="9" t="s">
        <v>141</v>
      </c>
      <c r="E207" s="9" t="s">
        <v>142</v>
      </c>
      <c r="F207" s="9" t="s">
        <v>143</v>
      </c>
      <c r="G207" s="9" t="s">
        <v>144</v>
      </c>
      <c r="H207" s="9" t="s">
        <v>145</v>
      </c>
      <c r="I207" s="35" t="s">
        <v>146</v>
      </c>
      <c r="J207" s="171" t="s">
        <v>144</v>
      </c>
      <c r="K207" s="283"/>
      <c r="L207" s="156"/>
    </row>
    <row r="208" spans="1:17">
      <c r="A208" s="15">
        <f>J157</f>
        <v>14687.877186713535</v>
      </c>
      <c r="B208" s="15"/>
      <c r="C208" s="15"/>
      <c r="D208" s="15">
        <f>J71</f>
        <v>140.01675377000001</v>
      </c>
      <c r="E208" s="15">
        <f>J80</f>
        <v>3735.2039182899998</v>
      </c>
      <c r="F208" s="15">
        <f>I95</f>
        <v>732.73369175500011</v>
      </c>
      <c r="G208" s="15">
        <f>I114</f>
        <v>1136.87975198</v>
      </c>
      <c r="H208" s="15">
        <f>H126</f>
        <v>1938.529549285</v>
      </c>
      <c r="I208" s="106">
        <f>J188</f>
        <v>29932.27639864125</v>
      </c>
      <c r="J208" s="105">
        <f>J196+J202</f>
        <v>1592.2268182150001</v>
      </c>
      <c r="K208" s="105">
        <f>SUM(D208:J208)+A208</f>
        <v>53895.744068649787</v>
      </c>
      <c r="L208" s="157"/>
    </row>
    <row r="209" spans="1:14" ht="15" thickBo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4" ht="15" thickBot="1">
      <c r="A210" s="14" t="s">
        <v>64</v>
      </c>
      <c r="B210" s="14"/>
      <c r="C210" s="14"/>
      <c r="D210" s="11"/>
      <c r="E210" s="11"/>
      <c r="F210" s="11"/>
      <c r="G210" s="11"/>
      <c r="H210" s="11"/>
      <c r="I210" s="11"/>
      <c r="J210" s="72">
        <f>H71+H80+G95+G114+F126+H157+H188+H196+H202</f>
        <v>227716.76986453915</v>
      </c>
      <c r="K210" s="11"/>
      <c r="L210" s="11"/>
      <c r="M210" s="11"/>
    </row>
    <row r="211" spans="1:14">
      <c r="A211" s="11"/>
      <c r="B211" s="11"/>
      <c r="C211" s="11"/>
      <c r="D211" s="11"/>
      <c r="E211" s="11"/>
      <c r="F211" s="11"/>
      <c r="G211" s="11"/>
      <c r="H211" s="11"/>
      <c r="I211" s="11"/>
      <c r="J211" s="184"/>
      <c r="K211" s="11"/>
      <c r="L211" s="11"/>
      <c r="M211" s="11"/>
    </row>
    <row r="212" spans="1:14" ht="18">
      <c r="A212" s="3" t="s">
        <v>136</v>
      </c>
      <c r="B212" s="3"/>
      <c r="C212" s="3"/>
      <c r="I212" s="3" t="s">
        <v>137</v>
      </c>
      <c r="N212" s="196"/>
    </row>
    <row r="214" spans="1:14" ht="15.6">
      <c r="A214" s="118" t="s">
        <v>43</v>
      </c>
      <c r="B214" s="7"/>
      <c r="J214" s="198"/>
      <c r="M214" s="196"/>
    </row>
    <row r="215" spans="1:14" ht="15.6">
      <c r="A215" s="147" t="s">
        <v>196</v>
      </c>
      <c r="B215" s="7"/>
    </row>
    <row r="216" spans="1:14" ht="15.6">
      <c r="A216" s="118" t="s">
        <v>85</v>
      </c>
      <c r="C216" s="7"/>
    </row>
    <row r="217" spans="1:14" ht="15.6">
      <c r="A217" s="2"/>
      <c r="B217" s="2"/>
      <c r="C217" s="2"/>
    </row>
  </sheetData>
  <mergeCells count="210"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68:D168"/>
    <mergeCell ref="A196:G196"/>
    <mergeCell ref="A198:D198"/>
    <mergeCell ref="A199:D199"/>
    <mergeCell ref="A200:D200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69:D169"/>
    <mergeCell ref="A184:D184"/>
    <mergeCell ref="A188:D188"/>
    <mergeCell ref="A187:D187"/>
    <mergeCell ref="A185:D185"/>
    <mergeCell ref="A186:D186"/>
    <mergeCell ref="A193:D193"/>
    <mergeCell ref="A192:K192"/>
    <mergeCell ref="A194:D194"/>
    <mergeCell ref="A195:D195"/>
    <mergeCell ref="A181:D181"/>
    <mergeCell ref="A182:D182"/>
    <mergeCell ref="A174:D174"/>
    <mergeCell ref="A175:D175"/>
    <mergeCell ref="A176:D176"/>
    <mergeCell ref="A177:D177"/>
    <mergeCell ref="A178:D178"/>
    <mergeCell ref="A179:D179"/>
    <mergeCell ref="A180:D180"/>
    <mergeCell ref="A125:D125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14:D114"/>
    <mergeCell ref="A104:D104"/>
    <mergeCell ref="A105:D105"/>
    <mergeCell ref="A106:D106"/>
    <mergeCell ref="A110:D110"/>
    <mergeCell ref="A111:D111"/>
    <mergeCell ref="A109:D109"/>
    <mergeCell ref="A107:D107"/>
    <mergeCell ref="A108:D108"/>
    <mergeCell ref="A112:D112"/>
    <mergeCell ref="A113:D113"/>
    <mergeCell ref="A82:M82"/>
    <mergeCell ref="A83:D83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3:D93"/>
    <mergeCell ref="A97:M97"/>
    <mergeCell ref="A98:D98"/>
    <mergeCell ref="A77:D77"/>
    <mergeCell ref="A78:D78"/>
    <mergeCell ref="A79:D79"/>
    <mergeCell ref="A80:D80"/>
    <mergeCell ref="A71:D71"/>
    <mergeCell ref="A75:D75"/>
    <mergeCell ref="A76:D76"/>
    <mergeCell ref="A73:M73"/>
    <mergeCell ref="A74:D74"/>
    <mergeCell ref="A68:D68"/>
    <mergeCell ref="A69:D69"/>
    <mergeCell ref="A70:D70"/>
    <mergeCell ref="A59:D59"/>
    <mergeCell ref="A60:D60"/>
    <mergeCell ref="A61:D61"/>
    <mergeCell ref="A62:D62"/>
    <mergeCell ref="A63:D63"/>
    <mergeCell ref="A66:M66"/>
    <mergeCell ref="A67:D67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4:D44"/>
    <mergeCell ref="A45:D45"/>
    <mergeCell ref="A46:D46"/>
    <mergeCell ref="A38:E38"/>
    <mergeCell ref="G38:K38"/>
    <mergeCell ref="A39:E39"/>
    <mergeCell ref="G39:K39"/>
    <mergeCell ref="A53:D53"/>
    <mergeCell ref="A54:D54"/>
    <mergeCell ref="G32:K32"/>
    <mergeCell ref="A33:E33"/>
    <mergeCell ref="G33:K33"/>
    <mergeCell ref="A34:E34"/>
    <mergeCell ref="G34:K34"/>
    <mergeCell ref="A35:E35"/>
    <mergeCell ref="G35:K35"/>
    <mergeCell ref="A36:E36"/>
    <mergeCell ref="G36:K36"/>
    <mergeCell ref="A2:D2"/>
    <mergeCell ref="E2:G2"/>
    <mergeCell ref="A3:B3"/>
    <mergeCell ref="A7:M7"/>
    <mergeCell ref="A25:E25"/>
    <mergeCell ref="G25:K2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6:M6"/>
    <mergeCell ref="A11:M11"/>
    <mergeCell ref="A15:E15"/>
    <mergeCell ref="G15:K15"/>
    <mergeCell ref="A40:D40"/>
    <mergeCell ref="G40:N40"/>
    <mergeCell ref="A41:M41"/>
    <mergeCell ref="A43:D43"/>
    <mergeCell ref="A64:K6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A201:D201"/>
    <mergeCell ref="A202:G202"/>
    <mergeCell ref="A204:M204"/>
    <mergeCell ref="A206:C206"/>
    <mergeCell ref="D206:J206"/>
    <mergeCell ref="K206:K207"/>
    <mergeCell ref="A116:M116"/>
    <mergeCell ref="A117:D117"/>
    <mergeCell ref="A121:D121"/>
    <mergeCell ref="A122:D122"/>
    <mergeCell ref="A128:M128"/>
    <mergeCell ref="A152:D152"/>
    <mergeCell ref="A153:D153"/>
    <mergeCell ref="A159:M159"/>
    <mergeCell ref="A183:D183"/>
    <mergeCell ref="A126:D126"/>
    <mergeCell ref="A129:D129"/>
    <mergeCell ref="A130:D130"/>
    <mergeCell ref="A131:D131"/>
    <mergeCell ref="A118:D118"/>
    <mergeCell ref="A119:D119"/>
    <mergeCell ref="A120:D120"/>
    <mergeCell ref="A123:D123"/>
    <mergeCell ref="A124:D124"/>
  </mergeCells>
  <pageMargins left="0.51181102362204722" right="0.31496062992125984" top="0.15748031496062992" bottom="0.39370078740157483" header="0.31496062992125984" footer="0.31496062992125984"/>
  <pageSetup paperSize="9" scale="6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P210"/>
  <sheetViews>
    <sheetView topLeftCell="A78" zoomScale="80" zoomScaleNormal="80" workbookViewId="0">
      <selection activeCell="T71" sqref="S71:T71"/>
    </sheetView>
  </sheetViews>
  <sheetFormatPr defaultRowHeight="14.4"/>
  <cols>
    <col min="1" max="1" width="10.44140625" customWidth="1"/>
    <col min="2" max="3" width="6.5546875" customWidth="1"/>
    <col min="4" max="4" width="11.33203125" customWidth="1"/>
    <col min="5" max="5" width="11.44140625" customWidth="1"/>
    <col min="6" max="6" width="11.109375" customWidth="1"/>
    <col min="7" max="7" width="12.33203125" customWidth="1"/>
    <col min="8" max="8" width="13" customWidth="1"/>
    <col min="9" max="9" width="10.109375" customWidth="1"/>
    <col min="10" max="10" width="11.6640625" customWidth="1"/>
    <col min="11" max="11" width="12.33203125" customWidth="1"/>
    <col min="12" max="12" width="12.33203125" hidden="1" customWidth="1"/>
    <col min="13" max="13" width="12.5546875" customWidth="1"/>
    <col min="16" max="16" width="11.33203125" customWidth="1"/>
  </cols>
  <sheetData>
    <row r="1" spans="1:13" hidden="1"/>
    <row r="2" spans="1:13" ht="15.6" hidden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96"/>
      <c r="F3" s="43"/>
      <c r="G3" s="43"/>
    </row>
    <row r="4" spans="1:13" ht="27.75" customHeight="1">
      <c r="A4" s="256"/>
      <c r="B4" s="256"/>
      <c r="C4" s="256"/>
      <c r="D4" s="119"/>
      <c r="E4" s="256"/>
      <c r="F4" s="256"/>
      <c r="G4" s="45"/>
      <c r="H4" s="251" t="s">
        <v>140</v>
      </c>
      <c r="I4" s="211"/>
      <c r="J4" s="211"/>
      <c r="K4" s="211"/>
      <c r="L4" s="149"/>
    </row>
    <row r="5" spans="1:13" ht="7.5" customHeight="1">
      <c r="A5" s="4"/>
      <c r="B5" s="4"/>
      <c r="C5" s="4"/>
      <c r="D5" s="95"/>
      <c r="E5" s="4"/>
      <c r="F5" s="4"/>
      <c r="G5" s="95"/>
    </row>
    <row r="6" spans="1:13">
      <c r="A6" s="97"/>
      <c r="B6" s="97"/>
      <c r="C6" s="97"/>
      <c r="D6" s="97"/>
      <c r="E6" s="97"/>
      <c r="F6" s="97"/>
      <c r="G6" s="97"/>
    </row>
    <row r="7" spans="1:13" ht="15.6">
      <c r="A7" s="209" t="s">
        <v>138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8" spans="1:13" ht="15.6">
      <c r="A8" s="209" t="s">
        <v>73</v>
      </c>
      <c r="B8" s="210"/>
      <c r="C8" s="210"/>
      <c r="D8" s="210"/>
      <c r="E8" s="210"/>
      <c r="F8" s="210"/>
      <c r="G8" s="211"/>
      <c r="H8" s="211"/>
      <c r="I8" s="211"/>
      <c r="J8" s="211"/>
      <c r="K8" s="211"/>
      <c r="L8" s="211"/>
      <c r="M8" s="211"/>
    </row>
    <row r="9" spans="1:13" ht="12" customHeight="1"/>
    <row r="10" spans="1:13" ht="7.5" customHeight="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6">
      <c r="A11" s="8" t="s">
        <v>173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>
      <c r="A12" s="249" t="s">
        <v>114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</row>
    <row r="13" spans="1:13" ht="15.6">
      <c r="A13" s="8" t="s">
        <v>58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113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6">
      <c r="A15" s="8" t="s">
        <v>110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>
      <c r="A16" s="261" t="s">
        <v>66</v>
      </c>
      <c r="B16" s="261"/>
      <c r="C16" s="261"/>
      <c r="D16" s="261"/>
      <c r="E16" s="261"/>
      <c r="F16" s="9" t="s">
        <v>65</v>
      </c>
      <c r="G16" s="261" t="s">
        <v>67</v>
      </c>
      <c r="H16" s="261"/>
      <c r="I16" s="261"/>
      <c r="J16" s="261"/>
      <c r="K16" s="261"/>
      <c r="L16" s="150"/>
      <c r="M16" s="9" t="s">
        <v>65</v>
      </c>
    </row>
    <row r="17" spans="1:13">
      <c r="A17" s="234" t="s">
        <v>90</v>
      </c>
      <c r="B17" s="234"/>
      <c r="C17" s="234"/>
      <c r="D17" s="234"/>
      <c r="E17" s="234"/>
      <c r="F17" s="152">
        <f>4.92*0.002</f>
        <v>9.8399999999999998E-3</v>
      </c>
      <c r="G17" s="235" t="s">
        <v>1</v>
      </c>
      <c r="H17" s="235"/>
      <c r="I17" s="235"/>
      <c r="J17" s="235"/>
      <c r="K17" s="235"/>
      <c r="L17" s="112">
        <v>1</v>
      </c>
      <c r="M17" s="112">
        <f>L17*0.002</f>
        <v>2E-3</v>
      </c>
    </row>
    <row r="18" spans="1:13">
      <c r="A18" s="234" t="s">
        <v>91</v>
      </c>
      <c r="B18" s="234"/>
      <c r="C18" s="234"/>
      <c r="D18" s="234"/>
      <c r="E18" s="234"/>
      <c r="F18" s="152">
        <f>8.83*0.002</f>
        <v>1.7660000000000002E-2</v>
      </c>
      <c r="G18" s="224" t="s">
        <v>92</v>
      </c>
      <c r="H18" s="225"/>
      <c r="I18" s="225"/>
      <c r="J18" s="225"/>
      <c r="K18" s="237"/>
      <c r="L18" s="112">
        <v>4</v>
      </c>
      <c r="M18" s="112">
        <f t="shared" ref="M18:M40" si="0">L18*0.002</f>
        <v>8.0000000000000002E-3</v>
      </c>
    </row>
    <row r="19" spans="1:13">
      <c r="A19" s="234"/>
      <c r="B19" s="234"/>
      <c r="C19" s="234"/>
      <c r="D19" s="234"/>
      <c r="E19" s="234"/>
      <c r="F19" s="152"/>
      <c r="G19" s="234" t="s">
        <v>93</v>
      </c>
      <c r="H19" s="234"/>
      <c r="I19" s="234"/>
      <c r="J19" s="234"/>
      <c r="K19" s="234"/>
      <c r="L19" s="112">
        <v>1</v>
      </c>
      <c r="M19" s="112">
        <f t="shared" si="0"/>
        <v>2E-3</v>
      </c>
    </row>
    <row r="20" spans="1:13">
      <c r="A20" s="234"/>
      <c r="B20" s="234"/>
      <c r="C20" s="234"/>
      <c r="D20" s="234"/>
      <c r="E20" s="234"/>
      <c r="F20" s="152"/>
      <c r="G20" s="241" t="s">
        <v>72</v>
      </c>
      <c r="H20" s="242"/>
      <c r="I20" s="242"/>
      <c r="J20" s="242"/>
      <c r="K20" s="243"/>
      <c r="L20" s="112">
        <v>1</v>
      </c>
      <c r="M20" s="112">
        <f t="shared" si="0"/>
        <v>2E-3</v>
      </c>
    </row>
    <row r="21" spans="1:13" ht="15" customHeight="1">
      <c r="A21" s="234"/>
      <c r="B21" s="234"/>
      <c r="C21" s="234"/>
      <c r="D21" s="234"/>
      <c r="E21" s="234"/>
      <c r="F21" s="152"/>
      <c r="G21" s="235" t="s">
        <v>94</v>
      </c>
      <c r="H21" s="235"/>
      <c r="I21" s="235"/>
      <c r="J21" s="235"/>
      <c r="K21" s="235"/>
      <c r="L21" s="112">
        <v>0.5</v>
      </c>
      <c r="M21" s="112">
        <f t="shared" si="0"/>
        <v>1E-3</v>
      </c>
    </row>
    <row r="22" spans="1:13" ht="15" customHeight="1">
      <c r="A22" s="234"/>
      <c r="B22" s="234"/>
      <c r="C22" s="234"/>
      <c r="D22" s="234"/>
      <c r="E22" s="234"/>
      <c r="F22" s="152"/>
      <c r="G22" s="235" t="s">
        <v>70</v>
      </c>
      <c r="H22" s="235"/>
      <c r="I22" s="235"/>
      <c r="J22" s="235"/>
      <c r="K22" s="235"/>
      <c r="L22" s="113">
        <v>1</v>
      </c>
      <c r="M22" s="112">
        <f t="shared" si="0"/>
        <v>2E-3</v>
      </c>
    </row>
    <row r="23" spans="1:13" ht="15.75" customHeight="1">
      <c r="A23" s="234"/>
      <c r="B23" s="234"/>
      <c r="C23" s="234"/>
      <c r="D23" s="234"/>
      <c r="E23" s="234"/>
      <c r="F23" s="152"/>
      <c r="G23" s="236" t="s">
        <v>95</v>
      </c>
      <c r="H23" s="236"/>
      <c r="I23" s="236"/>
      <c r="J23" s="236"/>
      <c r="K23" s="236"/>
      <c r="L23" s="113">
        <v>0.5</v>
      </c>
      <c r="M23" s="112">
        <f t="shared" si="0"/>
        <v>1E-3</v>
      </c>
    </row>
    <row r="24" spans="1:13" ht="15.75" hidden="1" customHeight="1">
      <c r="A24" s="224"/>
      <c r="B24" s="225"/>
      <c r="C24" s="225"/>
      <c r="D24" s="225"/>
      <c r="E24" s="237"/>
      <c r="F24" s="152"/>
      <c r="G24" s="238"/>
      <c r="H24" s="239"/>
      <c r="I24" s="239"/>
      <c r="J24" s="239"/>
      <c r="K24" s="240"/>
      <c r="L24" s="113"/>
      <c r="M24" s="112">
        <f t="shared" si="0"/>
        <v>0</v>
      </c>
    </row>
    <row r="25" spans="1:13" ht="15.75" customHeight="1">
      <c r="A25" s="224"/>
      <c r="B25" s="225"/>
      <c r="C25" s="225"/>
      <c r="D25" s="225"/>
      <c r="E25" s="237"/>
      <c r="F25" s="152"/>
      <c r="G25" s="238" t="s">
        <v>96</v>
      </c>
      <c r="H25" s="239"/>
      <c r="I25" s="239"/>
      <c r="J25" s="239"/>
      <c r="K25" s="240"/>
      <c r="L25" s="113">
        <v>1</v>
      </c>
      <c r="M25" s="112">
        <f t="shared" si="0"/>
        <v>2E-3</v>
      </c>
    </row>
    <row r="26" spans="1:13" ht="15.75" hidden="1" customHeight="1">
      <c r="A26" s="224"/>
      <c r="B26" s="225"/>
      <c r="C26" s="225"/>
      <c r="D26" s="225"/>
      <c r="E26" s="237"/>
      <c r="F26" s="159"/>
      <c r="G26" s="238"/>
      <c r="H26" s="239"/>
      <c r="I26" s="239"/>
      <c r="J26" s="239"/>
      <c r="K26" s="240"/>
      <c r="L26" s="115"/>
      <c r="M26" s="112">
        <f t="shared" si="0"/>
        <v>0</v>
      </c>
    </row>
    <row r="27" spans="1:13" ht="15.75" customHeight="1">
      <c r="A27" s="224"/>
      <c r="B27" s="225"/>
      <c r="C27" s="225"/>
      <c r="D27" s="225"/>
      <c r="E27" s="237"/>
      <c r="F27" s="159"/>
      <c r="G27" s="258" t="s">
        <v>97</v>
      </c>
      <c r="H27" s="259"/>
      <c r="I27" s="259"/>
      <c r="J27" s="259"/>
      <c r="K27" s="260"/>
      <c r="L27" s="115">
        <v>2</v>
      </c>
      <c r="M27" s="112">
        <f t="shared" si="0"/>
        <v>4.0000000000000001E-3</v>
      </c>
    </row>
    <row r="28" spans="1:13" ht="15.75" customHeight="1">
      <c r="A28" s="224"/>
      <c r="B28" s="225"/>
      <c r="C28" s="225"/>
      <c r="D28" s="225"/>
      <c r="E28" s="237"/>
      <c r="F28" s="159"/>
      <c r="G28" s="238" t="s">
        <v>71</v>
      </c>
      <c r="H28" s="239"/>
      <c r="I28" s="239"/>
      <c r="J28" s="239"/>
      <c r="K28" s="240"/>
      <c r="L28" s="115">
        <v>1</v>
      </c>
      <c r="M28" s="112">
        <f t="shared" si="0"/>
        <v>2E-3</v>
      </c>
    </row>
    <row r="29" spans="1:13" ht="15" customHeight="1">
      <c r="A29" s="257"/>
      <c r="B29" s="257"/>
      <c r="C29" s="257"/>
      <c r="D29" s="257"/>
      <c r="E29" s="257"/>
      <c r="F29" s="159"/>
      <c r="G29" s="236" t="s">
        <v>98</v>
      </c>
      <c r="H29" s="236"/>
      <c r="I29" s="236"/>
      <c r="J29" s="236"/>
      <c r="K29" s="236"/>
      <c r="L29" s="115">
        <v>4.75</v>
      </c>
      <c r="M29" s="112">
        <f t="shared" si="0"/>
        <v>9.4999999999999998E-3</v>
      </c>
    </row>
    <row r="30" spans="1:13" ht="15.75" customHeight="1">
      <c r="A30" s="257"/>
      <c r="B30" s="257"/>
      <c r="C30" s="257"/>
      <c r="D30" s="257"/>
      <c r="E30" s="257"/>
      <c r="F30" s="159"/>
      <c r="G30" s="236" t="s">
        <v>99</v>
      </c>
      <c r="H30" s="236"/>
      <c r="I30" s="236"/>
      <c r="J30" s="236"/>
      <c r="K30" s="236"/>
      <c r="L30" s="115">
        <v>3.5</v>
      </c>
      <c r="M30" s="112">
        <f t="shared" si="0"/>
        <v>7.0000000000000001E-3</v>
      </c>
    </row>
    <row r="31" spans="1:13">
      <c r="A31" s="254"/>
      <c r="B31" s="254"/>
      <c r="C31" s="254"/>
      <c r="D31" s="254"/>
      <c r="E31" s="254"/>
      <c r="F31" s="160"/>
      <c r="G31" s="236" t="s">
        <v>100</v>
      </c>
      <c r="H31" s="236"/>
      <c r="I31" s="236"/>
      <c r="J31" s="236"/>
      <c r="K31" s="236"/>
      <c r="L31" s="115">
        <v>2</v>
      </c>
      <c r="M31" s="112">
        <f t="shared" si="0"/>
        <v>4.0000000000000001E-3</v>
      </c>
    </row>
    <row r="32" spans="1:13" ht="27.75" customHeight="1">
      <c r="A32" s="254"/>
      <c r="B32" s="254"/>
      <c r="C32" s="254"/>
      <c r="D32" s="254"/>
      <c r="E32" s="254"/>
      <c r="F32" s="160"/>
      <c r="G32" s="236" t="s">
        <v>101</v>
      </c>
      <c r="H32" s="236"/>
      <c r="I32" s="236"/>
      <c r="J32" s="236"/>
      <c r="K32" s="236"/>
      <c r="L32" s="115">
        <v>1</v>
      </c>
      <c r="M32" s="112">
        <f t="shared" si="0"/>
        <v>2E-3</v>
      </c>
    </row>
    <row r="33" spans="1:15">
      <c r="A33" s="254"/>
      <c r="B33" s="254"/>
      <c r="C33" s="254"/>
      <c r="D33" s="254"/>
      <c r="E33" s="254"/>
      <c r="F33" s="160"/>
      <c r="G33" s="236" t="s">
        <v>102</v>
      </c>
      <c r="H33" s="236"/>
      <c r="I33" s="236"/>
      <c r="J33" s="236"/>
      <c r="K33" s="236"/>
      <c r="L33" s="115">
        <v>0.5</v>
      </c>
      <c r="M33" s="112">
        <f t="shared" si="0"/>
        <v>1E-3</v>
      </c>
    </row>
    <row r="34" spans="1:15" ht="12.75" customHeight="1">
      <c r="A34" s="254"/>
      <c r="B34" s="254"/>
      <c r="C34" s="254"/>
      <c r="D34" s="254"/>
      <c r="E34" s="254"/>
      <c r="F34" s="160"/>
      <c r="G34" s="212" t="s">
        <v>103</v>
      </c>
      <c r="H34" s="213"/>
      <c r="I34" s="213"/>
      <c r="J34" s="213"/>
      <c r="K34" s="219"/>
      <c r="L34" s="115">
        <v>0.5</v>
      </c>
      <c r="M34" s="112">
        <f t="shared" si="0"/>
        <v>1E-3</v>
      </c>
    </row>
    <row r="35" spans="1:15" ht="15" customHeight="1">
      <c r="A35" s="254"/>
      <c r="B35" s="254"/>
      <c r="C35" s="254"/>
      <c r="D35" s="254"/>
      <c r="E35" s="254"/>
      <c r="F35" s="160"/>
      <c r="G35" s="212" t="s">
        <v>104</v>
      </c>
      <c r="H35" s="213"/>
      <c r="I35" s="213"/>
      <c r="J35" s="213"/>
      <c r="K35" s="219"/>
      <c r="L35" s="115">
        <v>16</v>
      </c>
      <c r="M35" s="112">
        <f t="shared" si="0"/>
        <v>3.2000000000000001E-2</v>
      </c>
    </row>
    <row r="36" spans="1:15">
      <c r="A36" s="264"/>
      <c r="B36" s="265"/>
      <c r="C36" s="265"/>
      <c r="D36" s="265"/>
      <c r="E36" s="266"/>
      <c r="F36" s="160"/>
      <c r="G36" s="224" t="s">
        <v>105</v>
      </c>
      <c r="H36" s="225"/>
      <c r="I36" s="225"/>
      <c r="J36" s="225"/>
      <c r="K36" s="226"/>
      <c r="L36" s="112">
        <v>2</v>
      </c>
      <c r="M36" s="112">
        <f t="shared" si="0"/>
        <v>4.0000000000000001E-3</v>
      </c>
    </row>
    <row r="37" spans="1:15" ht="15" customHeight="1">
      <c r="A37" s="264"/>
      <c r="B37" s="265"/>
      <c r="C37" s="265"/>
      <c r="D37" s="265"/>
      <c r="E37" s="266"/>
      <c r="F37" s="160"/>
      <c r="G37" s="224" t="s">
        <v>106</v>
      </c>
      <c r="H37" s="225"/>
      <c r="I37" s="225"/>
      <c r="J37" s="225"/>
      <c r="K37" s="226"/>
      <c r="L37" s="112">
        <v>1</v>
      </c>
      <c r="M37" s="112">
        <f t="shared" si="0"/>
        <v>2E-3</v>
      </c>
    </row>
    <row r="38" spans="1:15" ht="15" customHeight="1">
      <c r="A38" s="264"/>
      <c r="B38" s="265"/>
      <c r="C38" s="265"/>
      <c r="D38" s="265"/>
      <c r="E38" s="266"/>
      <c r="F38" s="160"/>
      <c r="G38" s="224" t="s">
        <v>107</v>
      </c>
      <c r="H38" s="225"/>
      <c r="I38" s="225"/>
      <c r="J38" s="225"/>
      <c r="K38" s="226"/>
      <c r="L38" s="112">
        <v>1</v>
      </c>
      <c r="M38" s="112">
        <f t="shared" si="0"/>
        <v>2E-3</v>
      </c>
    </row>
    <row r="39" spans="1:15" ht="15" customHeight="1">
      <c r="A39" s="264"/>
      <c r="B39" s="265"/>
      <c r="C39" s="265"/>
      <c r="D39" s="265"/>
      <c r="E39" s="266"/>
      <c r="F39" s="160"/>
      <c r="G39" s="224" t="s">
        <v>108</v>
      </c>
      <c r="H39" s="225"/>
      <c r="I39" s="225"/>
      <c r="J39" s="225"/>
      <c r="K39" s="226"/>
      <c r="L39" s="115">
        <v>10</v>
      </c>
      <c r="M39" s="112">
        <f t="shared" si="0"/>
        <v>0.02</v>
      </c>
    </row>
    <row r="40" spans="1:15" ht="15" customHeight="1">
      <c r="A40" s="248" t="s">
        <v>2</v>
      </c>
      <c r="B40" s="248"/>
      <c r="C40" s="248"/>
      <c r="D40" s="248"/>
      <c r="E40" s="248"/>
      <c r="F40" s="161">
        <f>SUM(F17:F35)</f>
        <v>2.7500000000000004E-2</v>
      </c>
      <c r="G40" s="244" t="s">
        <v>2</v>
      </c>
      <c r="H40" s="244"/>
      <c r="I40" s="244"/>
      <c r="J40" s="244"/>
      <c r="K40" s="244"/>
      <c r="L40" s="117">
        <f>SUM(L17:L39)</f>
        <v>55.25</v>
      </c>
      <c r="M40" s="161">
        <f t="shared" si="0"/>
        <v>0.1105</v>
      </c>
    </row>
    <row r="41" spans="1:15" ht="98.25" hidden="1" customHeight="1">
      <c r="A41" s="248" t="s">
        <v>2</v>
      </c>
      <c r="B41" s="248"/>
      <c r="C41" s="248"/>
      <c r="D41" s="248"/>
      <c r="E41" s="78">
        <f>SUM(E17:E29)</f>
        <v>0</v>
      </c>
      <c r="F41" s="98"/>
      <c r="G41" s="280" t="s">
        <v>2</v>
      </c>
      <c r="H41" s="280"/>
      <c r="I41" s="280"/>
      <c r="J41" s="280"/>
      <c r="K41" s="280"/>
      <c r="L41" s="280"/>
      <c r="M41" s="280"/>
      <c r="N41" s="280"/>
      <c r="O41" s="98" t="e">
        <f>SUM(#REF!)</f>
        <v>#REF!</v>
      </c>
    </row>
    <row r="42" spans="1:15" hidden="1">
      <c r="A42" s="208" t="s">
        <v>15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5" hidden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5" ht="80.25" hidden="1" customHeight="1">
      <c r="A44" s="277" t="s">
        <v>6</v>
      </c>
      <c r="B44" s="277"/>
      <c r="C44" s="277"/>
      <c r="D44" s="277"/>
      <c r="E44" s="19" t="s">
        <v>7</v>
      </c>
      <c r="F44" s="19" t="s">
        <v>8</v>
      </c>
      <c r="G44" s="19" t="s">
        <v>9</v>
      </c>
      <c r="H44" s="19" t="s">
        <v>10</v>
      </c>
      <c r="I44" s="19"/>
      <c r="J44" s="19" t="s">
        <v>11</v>
      </c>
      <c r="K44" s="19" t="s">
        <v>12</v>
      </c>
      <c r="L44" s="19"/>
      <c r="M44" s="19" t="s">
        <v>5</v>
      </c>
    </row>
    <row r="45" spans="1:15" ht="15" hidden="1" customHeight="1">
      <c r="A45" s="278">
        <v>1</v>
      </c>
      <c r="B45" s="279"/>
      <c r="C45" s="279"/>
      <c r="D45" s="279"/>
      <c r="E45" s="19">
        <v>2</v>
      </c>
      <c r="F45" s="19">
        <v>3</v>
      </c>
      <c r="G45" s="19">
        <v>4</v>
      </c>
      <c r="H45" s="19" t="s">
        <v>36</v>
      </c>
      <c r="I45" s="19"/>
      <c r="J45" s="19">
        <v>6</v>
      </c>
      <c r="K45" s="19">
        <v>7</v>
      </c>
      <c r="L45" s="19"/>
      <c r="M45" s="19" t="s">
        <v>37</v>
      </c>
    </row>
    <row r="46" spans="1:15" ht="15" hidden="1" customHeight="1">
      <c r="A46" s="227" t="s">
        <v>39</v>
      </c>
      <c r="B46" s="227"/>
      <c r="C46" s="227"/>
      <c r="D46" s="227"/>
      <c r="E46" s="20" t="s">
        <v>13</v>
      </c>
      <c r="F46" s="19">
        <v>7</v>
      </c>
      <c r="G46" s="20">
        <v>10</v>
      </c>
      <c r="H46" s="21">
        <f>F46/G46</f>
        <v>0.7</v>
      </c>
      <c r="I46" s="21"/>
      <c r="J46" s="19">
        <v>20</v>
      </c>
      <c r="K46" s="22">
        <v>7100</v>
      </c>
      <c r="L46" s="22"/>
      <c r="M46" s="22">
        <f>H46*K46</f>
        <v>4970</v>
      </c>
    </row>
    <row r="47" spans="1:15" ht="15" hidden="1" customHeight="1">
      <c r="A47" s="227" t="s">
        <v>40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ref="H47:H63" si="1">F47/G47</f>
        <v>0.1</v>
      </c>
      <c r="I47" s="21"/>
      <c r="J47" s="19">
        <v>20</v>
      </c>
      <c r="K47" s="22">
        <v>538700</v>
      </c>
      <c r="L47" s="22"/>
      <c r="M47" s="22">
        <f t="shared" ref="M47:M64" si="2">H47*K47</f>
        <v>53870</v>
      </c>
    </row>
    <row r="48" spans="1:15" ht="15" hidden="1" customHeight="1">
      <c r="A48" s="227" t="s">
        <v>41</v>
      </c>
      <c r="B48" s="227"/>
      <c r="C48" s="227"/>
      <c r="D48" s="227"/>
      <c r="E48" s="20" t="s">
        <v>13</v>
      </c>
      <c r="F48" s="19">
        <v>1</v>
      </c>
      <c r="G48" s="20">
        <v>10</v>
      </c>
      <c r="H48" s="21">
        <f t="shared" si="1"/>
        <v>0.1</v>
      </c>
      <c r="I48" s="21"/>
      <c r="J48" s="19">
        <v>20</v>
      </c>
      <c r="K48" s="22">
        <v>380000</v>
      </c>
      <c r="L48" s="22"/>
      <c r="M48" s="22">
        <f t="shared" si="2"/>
        <v>38000</v>
      </c>
    </row>
    <row r="49" spans="1:13" ht="12.7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1"/>
        <v>0</v>
      </c>
      <c r="I49" s="21"/>
      <c r="J49" s="19"/>
      <c r="K49" s="22"/>
      <c r="L49" s="22"/>
      <c r="M49" s="22">
        <f t="shared" si="2"/>
        <v>0</v>
      </c>
    </row>
    <row r="50" spans="1:13" ht="15" hidden="1" customHeight="1">
      <c r="A50" s="227"/>
      <c r="B50" s="227"/>
      <c r="C50" s="227"/>
      <c r="D50" s="227"/>
      <c r="E50" s="20" t="s">
        <v>13</v>
      </c>
      <c r="F50" s="19"/>
      <c r="G50" s="20">
        <v>10</v>
      </c>
      <c r="H50" s="21">
        <f t="shared" si="1"/>
        <v>0</v>
      </c>
      <c r="I50" s="21"/>
      <c r="J50" s="19"/>
      <c r="K50" s="22"/>
      <c r="L50" s="22"/>
      <c r="M50" s="22">
        <f t="shared" si="2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1"/>
        <v>0</v>
      </c>
      <c r="I51" s="21"/>
      <c r="J51" s="19"/>
      <c r="K51" s="22"/>
      <c r="L51" s="22"/>
      <c r="M51" s="22">
        <f t="shared" si="2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1"/>
        <v>0</v>
      </c>
      <c r="I52" s="21"/>
      <c r="J52" s="19"/>
      <c r="K52" s="22"/>
      <c r="L52" s="22"/>
      <c r="M52" s="22">
        <f t="shared" si="2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1"/>
        <v>0</v>
      </c>
      <c r="I53" s="21"/>
      <c r="J53" s="19"/>
      <c r="K53" s="22"/>
      <c r="L53" s="22"/>
      <c r="M53" s="22">
        <f t="shared" si="2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1"/>
        <v>0</v>
      </c>
      <c r="I54" s="21"/>
      <c r="J54" s="19"/>
      <c r="K54" s="22"/>
      <c r="L54" s="22"/>
      <c r="M54" s="22">
        <f t="shared" si="2"/>
        <v>0</v>
      </c>
    </row>
    <row r="55" spans="1:13" ht="15" hidden="1" customHeight="1">
      <c r="A55" s="228"/>
      <c r="B55" s="229"/>
      <c r="C55" s="229"/>
      <c r="D55" s="229"/>
      <c r="E55" s="20" t="s">
        <v>13</v>
      </c>
      <c r="F55" s="19"/>
      <c r="G55" s="20">
        <v>10</v>
      </c>
      <c r="H55" s="21">
        <f t="shared" si="1"/>
        <v>0</v>
      </c>
      <c r="I55" s="21"/>
      <c r="J55" s="19"/>
      <c r="K55" s="22"/>
      <c r="L55" s="22"/>
      <c r="M55" s="22">
        <f t="shared" si="2"/>
        <v>0</v>
      </c>
    </row>
    <row r="56" spans="1:13" hidden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1"/>
        <v>0</v>
      </c>
      <c r="I56" s="21"/>
      <c r="J56" s="20"/>
      <c r="K56" s="23"/>
      <c r="L56" s="23"/>
      <c r="M56" s="22">
        <f t="shared" si="2"/>
        <v>0</v>
      </c>
    </row>
    <row r="57" spans="1:13" hidden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1"/>
        <v>0</v>
      </c>
      <c r="I57" s="21"/>
      <c r="J57" s="20"/>
      <c r="K57" s="23"/>
      <c r="L57" s="23"/>
      <c r="M57" s="22">
        <f t="shared" si="2"/>
        <v>0</v>
      </c>
    </row>
    <row r="58" spans="1:13" hidden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1"/>
        <v>0</v>
      </c>
      <c r="I58" s="21"/>
      <c r="J58" s="20"/>
      <c r="K58" s="23"/>
      <c r="L58" s="23"/>
      <c r="M58" s="22">
        <f t="shared" si="2"/>
        <v>0</v>
      </c>
    </row>
    <row r="59" spans="1:13" hidden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1"/>
        <v>0</v>
      </c>
      <c r="I59" s="21"/>
      <c r="J59" s="20"/>
      <c r="K59" s="23"/>
      <c r="L59" s="23"/>
      <c r="M59" s="22">
        <f t="shared" si="2"/>
        <v>0</v>
      </c>
    </row>
    <row r="60" spans="1:13" hidden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1"/>
        <v>0</v>
      </c>
      <c r="I60" s="21"/>
      <c r="J60" s="20"/>
      <c r="K60" s="23"/>
      <c r="L60" s="23"/>
      <c r="M60" s="22">
        <f t="shared" si="2"/>
        <v>0</v>
      </c>
    </row>
    <row r="61" spans="1:13" hidden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1"/>
        <v>0</v>
      </c>
      <c r="I61" s="21"/>
      <c r="J61" s="20"/>
      <c r="K61" s="23"/>
      <c r="L61" s="23"/>
      <c r="M61" s="22">
        <f t="shared" si="2"/>
        <v>0</v>
      </c>
    </row>
    <row r="62" spans="1:13" hidden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1"/>
        <v>0</v>
      </c>
      <c r="I62" s="21"/>
      <c r="J62" s="20"/>
      <c r="K62" s="23"/>
      <c r="L62" s="23"/>
      <c r="M62" s="22">
        <f t="shared" si="2"/>
        <v>0</v>
      </c>
    </row>
    <row r="63" spans="1:13" hidden="1">
      <c r="A63" s="232"/>
      <c r="B63" s="233"/>
      <c r="C63" s="233"/>
      <c r="D63" s="233"/>
      <c r="E63" s="20" t="s">
        <v>13</v>
      </c>
      <c r="F63" s="20"/>
      <c r="G63" s="20">
        <v>10</v>
      </c>
      <c r="H63" s="21">
        <f t="shared" si="1"/>
        <v>0</v>
      </c>
      <c r="I63" s="21"/>
      <c r="J63" s="20"/>
      <c r="K63" s="23"/>
      <c r="L63" s="23"/>
      <c r="M63" s="22">
        <f t="shared" si="2"/>
        <v>0</v>
      </c>
    </row>
    <row r="64" spans="1:13" hidden="1">
      <c r="A64" s="267" t="s">
        <v>59</v>
      </c>
      <c r="B64" s="267"/>
      <c r="C64" s="267"/>
      <c r="D64" s="267"/>
      <c r="E64" s="20"/>
      <c r="F64" s="20"/>
      <c r="G64" s="20"/>
      <c r="H64" s="24"/>
      <c r="I64" s="24"/>
      <c r="J64" s="20"/>
      <c r="K64" s="23"/>
      <c r="L64" s="23"/>
      <c r="M64" s="23">
        <f t="shared" si="2"/>
        <v>0</v>
      </c>
    </row>
    <row r="65" spans="1:13" ht="9" hidden="1" customHeight="1">
      <c r="A65" s="268" t="s">
        <v>14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70"/>
      <c r="L65" s="151"/>
      <c r="M65" s="23">
        <f>M64+M48+M47+M46</f>
        <v>96840</v>
      </c>
    </row>
    <row r="66" spans="1:13" ht="20.2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>
      <c r="A67" s="230" t="s">
        <v>88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</row>
    <row r="68" spans="1:13" ht="73.5" customHeight="1">
      <c r="A68" s="231" t="s">
        <v>17</v>
      </c>
      <c r="B68" s="231"/>
      <c r="C68" s="231"/>
      <c r="D68" s="231"/>
      <c r="E68" s="9" t="s">
        <v>79</v>
      </c>
      <c r="F68" s="25" t="s">
        <v>55</v>
      </c>
      <c r="G68" s="9" t="s">
        <v>42</v>
      </c>
      <c r="H68" s="9" t="s">
        <v>48</v>
      </c>
      <c r="I68" s="9" t="s">
        <v>63</v>
      </c>
      <c r="J68" s="9" t="s">
        <v>69</v>
      </c>
      <c r="K68" s="11"/>
      <c r="L68" s="11"/>
      <c r="M68" s="11"/>
    </row>
    <row r="69" spans="1:13" ht="18.75" customHeight="1">
      <c r="A69" s="271">
        <v>1</v>
      </c>
      <c r="B69" s="272"/>
      <c r="C69" s="272"/>
      <c r="D69" s="272"/>
      <c r="E69" s="9">
        <v>2</v>
      </c>
      <c r="F69" s="9">
        <v>3</v>
      </c>
      <c r="G69" s="26">
        <v>4</v>
      </c>
      <c r="H69" s="26">
        <v>5</v>
      </c>
      <c r="I69" s="27">
        <v>6</v>
      </c>
      <c r="J69" s="27" t="s">
        <v>45</v>
      </c>
      <c r="K69" s="11"/>
      <c r="L69" s="11"/>
      <c r="M69" s="28"/>
    </row>
    <row r="70" spans="1:13">
      <c r="A70" s="220" t="s">
        <v>51</v>
      </c>
      <c r="B70" s="220"/>
      <c r="C70" s="220"/>
      <c r="D70" s="220"/>
      <c r="E70" s="30">
        <v>5</v>
      </c>
      <c r="F70" s="29">
        <v>12</v>
      </c>
      <c r="G70" s="38">
        <v>687.02</v>
      </c>
      <c r="H70" s="38">
        <f>41221.2*0.002</f>
        <v>82.442399999999992</v>
      </c>
      <c r="I70" s="46">
        <v>1</v>
      </c>
      <c r="J70" s="38">
        <f>H70/I70</f>
        <v>82.442399999999992</v>
      </c>
      <c r="K70" s="11"/>
      <c r="L70" s="11"/>
      <c r="M70" s="17"/>
    </row>
    <row r="71" spans="1:13" ht="15" thickBot="1">
      <c r="A71" s="220" t="s">
        <v>60</v>
      </c>
      <c r="B71" s="220"/>
      <c r="C71" s="220"/>
      <c r="D71" s="220"/>
      <c r="E71" s="30">
        <v>1</v>
      </c>
      <c r="F71" s="30">
        <v>12</v>
      </c>
      <c r="G71" s="38">
        <v>3743.23</v>
      </c>
      <c r="H71" s="38">
        <f>44918.8*0.002</f>
        <v>89.837600000000009</v>
      </c>
      <c r="I71" s="46">
        <v>1</v>
      </c>
      <c r="J71" s="38">
        <f>H71/I71</f>
        <v>89.837600000000009</v>
      </c>
      <c r="K71" s="11"/>
      <c r="L71" s="11"/>
      <c r="M71" s="11"/>
    </row>
    <row r="72" spans="1:13" ht="15" thickBot="1">
      <c r="A72" s="222" t="s">
        <v>25</v>
      </c>
      <c r="B72" s="223"/>
      <c r="C72" s="223"/>
      <c r="D72" s="223"/>
      <c r="E72" s="56"/>
      <c r="F72" s="56"/>
      <c r="G72" s="56"/>
      <c r="H72" s="73">
        <f>SUM(H70:H71)</f>
        <v>172.28</v>
      </c>
      <c r="I72" s="49"/>
      <c r="J72" s="57">
        <f>SUM(J70:J71)</f>
        <v>172.28</v>
      </c>
      <c r="K72" s="11"/>
      <c r="L72" s="11"/>
      <c r="M72" s="11"/>
    </row>
    <row r="73" spans="1:13" ht="1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>
      <c r="A74" s="230" t="s">
        <v>16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</row>
    <row r="75" spans="1:13" ht="73.5" customHeight="1">
      <c r="A75" s="231" t="s">
        <v>17</v>
      </c>
      <c r="B75" s="231"/>
      <c r="C75" s="231"/>
      <c r="D75" s="231"/>
      <c r="E75" s="9" t="s">
        <v>7</v>
      </c>
      <c r="F75" s="25" t="s">
        <v>55</v>
      </c>
      <c r="G75" s="9" t="s">
        <v>42</v>
      </c>
      <c r="H75" s="9" t="s">
        <v>48</v>
      </c>
      <c r="I75" s="9" t="s">
        <v>63</v>
      </c>
      <c r="J75" s="9" t="s">
        <v>69</v>
      </c>
      <c r="K75" s="11"/>
      <c r="L75" s="11"/>
      <c r="M75" s="11"/>
    </row>
    <row r="76" spans="1:13" ht="18.75" customHeight="1">
      <c r="A76" s="271">
        <v>1</v>
      </c>
      <c r="B76" s="272"/>
      <c r="C76" s="272"/>
      <c r="D76" s="272"/>
      <c r="E76" s="9">
        <v>2</v>
      </c>
      <c r="F76" s="9">
        <v>3</v>
      </c>
      <c r="G76" s="26">
        <v>4</v>
      </c>
      <c r="H76" s="26">
        <v>5</v>
      </c>
      <c r="I76" s="27">
        <v>6</v>
      </c>
      <c r="J76" s="27" t="s">
        <v>45</v>
      </c>
      <c r="K76" s="11"/>
      <c r="L76" s="11"/>
      <c r="M76" s="28"/>
    </row>
    <row r="77" spans="1:13">
      <c r="A77" s="220" t="s">
        <v>19</v>
      </c>
      <c r="B77" s="220"/>
      <c r="C77" s="220"/>
      <c r="D77" s="220"/>
      <c r="E77" s="30" t="s">
        <v>22</v>
      </c>
      <c r="F77" s="29">
        <v>123860</v>
      </c>
      <c r="G77" s="38">
        <v>6.62</v>
      </c>
      <c r="H77" s="38">
        <f>820000*0.002</f>
        <v>1640</v>
      </c>
      <c r="I77" s="46">
        <v>1</v>
      </c>
      <c r="J77" s="38">
        <f>H77/I77</f>
        <v>1640</v>
      </c>
      <c r="K77" s="11"/>
      <c r="L77" s="11"/>
      <c r="M77" s="17"/>
    </row>
    <row r="78" spans="1:13">
      <c r="A78" s="220" t="s">
        <v>20</v>
      </c>
      <c r="B78" s="220"/>
      <c r="C78" s="220"/>
      <c r="D78" s="220"/>
      <c r="E78" s="30" t="s">
        <v>23</v>
      </c>
      <c r="F78" s="30">
        <v>660</v>
      </c>
      <c r="G78" s="38">
        <v>1618.59</v>
      </c>
      <c r="H78" s="38">
        <f>1259700*0.002</f>
        <v>2519.4</v>
      </c>
      <c r="I78" s="46">
        <v>1</v>
      </c>
      <c r="J78" s="38">
        <f>H78/I78</f>
        <v>2519.4</v>
      </c>
      <c r="K78" s="11"/>
      <c r="L78" s="11"/>
      <c r="M78" s="11"/>
    </row>
    <row r="79" spans="1:13">
      <c r="A79" s="220" t="s">
        <v>49</v>
      </c>
      <c r="B79" s="220"/>
      <c r="C79" s="220"/>
      <c r="D79" s="220"/>
      <c r="E79" s="30" t="s">
        <v>24</v>
      </c>
      <c r="F79" s="30">
        <v>2600</v>
      </c>
      <c r="G79" s="38">
        <v>39.22</v>
      </c>
      <c r="H79" s="38">
        <f>150000*0.002</f>
        <v>300</v>
      </c>
      <c r="I79" s="46">
        <v>1</v>
      </c>
      <c r="J79" s="38">
        <f>H79/I79</f>
        <v>300</v>
      </c>
      <c r="K79" s="11"/>
      <c r="L79" s="11"/>
      <c r="M79" s="11"/>
    </row>
    <row r="80" spans="1:13" ht="15" thickBot="1">
      <c r="A80" s="221" t="s">
        <v>21</v>
      </c>
      <c r="B80" s="221"/>
      <c r="C80" s="221"/>
      <c r="D80" s="221"/>
      <c r="E80" s="55" t="s">
        <v>24</v>
      </c>
      <c r="F80" s="30">
        <v>2800</v>
      </c>
      <c r="G80" s="48">
        <v>53.32</v>
      </c>
      <c r="H80" s="48">
        <f>165500*0.002</f>
        <v>331</v>
      </c>
      <c r="I80" s="46">
        <v>1</v>
      </c>
      <c r="J80" s="48">
        <f>H80/I80</f>
        <v>331</v>
      </c>
      <c r="K80" s="11"/>
      <c r="L80" s="11"/>
      <c r="M80" s="11"/>
    </row>
    <row r="81" spans="1:13" ht="15" thickBot="1">
      <c r="A81" s="222" t="s">
        <v>25</v>
      </c>
      <c r="B81" s="223"/>
      <c r="C81" s="223"/>
      <c r="D81" s="223"/>
      <c r="E81" s="56"/>
      <c r="F81" s="56"/>
      <c r="G81" s="56"/>
      <c r="H81" s="73">
        <f>SUM(H77:H80)</f>
        <v>4790.3999999999996</v>
      </c>
      <c r="I81" s="49"/>
      <c r="J81" s="57">
        <f>SUM(J77:J80)</f>
        <v>4790.3999999999996</v>
      </c>
      <c r="K81" s="11"/>
      <c r="L81" s="11"/>
      <c r="M81" s="11"/>
    </row>
    <row r="82" spans="1:13" ht="18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11"/>
      <c r="L82" s="11"/>
      <c r="M82" s="11"/>
    </row>
    <row r="83" spans="1:13">
      <c r="A83" s="230" t="s">
        <v>26</v>
      </c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</row>
    <row r="84" spans="1:13" ht="83.4">
      <c r="A84" s="281" t="s">
        <v>28</v>
      </c>
      <c r="B84" s="281"/>
      <c r="C84" s="281"/>
      <c r="D84" s="281"/>
      <c r="E84" s="26" t="s">
        <v>7</v>
      </c>
      <c r="F84" s="26" t="s">
        <v>18</v>
      </c>
      <c r="G84" s="9" t="s">
        <v>48</v>
      </c>
      <c r="H84" s="9" t="s">
        <v>76</v>
      </c>
      <c r="I84" s="9" t="s">
        <v>69</v>
      </c>
      <c r="J84" s="11"/>
      <c r="K84" s="11"/>
      <c r="L84" s="11"/>
    </row>
    <row r="85" spans="1:13" ht="15" customHeight="1">
      <c r="A85" s="245" t="s">
        <v>115</v>
      </c>
      <c r="B85" s="246"/>
      <c r="C85" s="246"/>
      <c r="D85" s="247"/>
      <c r="E85" s="52" t="s">
        <v>27</v>
      </c>
      <c r="F85" s="26">
        <v>1</v>
      </c>
      <c r="G85" s="9">
        <f>38400*0.002</f>
        <v>76.8</v>
      </c>
      <c r="H85" s="46">
        <v>1</v>
      </c>
      <c r="I85" s="102">
        <f>G85/H85</f>
        <v>76.8</v>
      </c>
      <c r="J85" s="11"/>
      <c r="K85" s="11"/>
      <c r="L85" s="11"/>
    </row>
    <row r="86" spans="1:13" ht="15" customHeight="1">
      <c r="A86" s="245" t="s">
        <v>116</v>
      </c>
      <c r="B86" s="246"/>
      <c r="C86" s="246"/>
      <c r="D86" s="247"/>
      <c r="E86" s="52" t="s">
        <v>27</v>
      </c>
      <c r="F86" s="52">
        <v>1</v>
      </c>
      <c r="G86" s="82">
        <f>160000*0.002</f>
        <v>320</v>
      </c>
      <c r="H86" s="46">
        <v>1</v>
      </c>
      <c r="I86" s="102">
        <f>G86/H86</f>
        <v>320</v>
      </c>
      <c r="J86" s="11"/>
      <c r="K86" s="11"/>
      <c r="L86" s="11"/>
    </row>
    <row r="87" spans="1:13" ht="15" customHeight="1">
      <c r="A87" s="245" t="s">
        <v>117</v>
      </c>
      <c r="B87" s="246"/>
      <c r="C87" s="246"/>
      <c r="D87" s="247"/>
      <c r="E87" s="52" t="s">
        <v>27</v>
      </c>
      <c r="F87" s="52">
        <v>1</v>
      </c>
      <c r="G87" s="82">
        <f>99000*0.002</f>
        <v>198</v>
      </c>
      <c r="H87" s="46">
        <v>1</v>
      </c>
      <c r="I87" s="102">
        <f t="shared" ref="I87:I95" si="3">G87/H87</f>
        <v>198</v>
      </c>
      <c r="J87" s="11"/>
      <c r="K87" s="11"/>
      <c r="L87" s="11"/>
    </row>
    <row r="88" spans="1:13" ht="15" customHeight="1">
      <c r="A88" s="245" t="s">
        <v>118</v>
      </c>
      <c r="B88" s="246"/>
      <c r="C88" s="246"/>
      <c r="D88" s="247"/>
      <c r="E88" s="52" t="s">
        <v>27</v>
      </c>
      <c r="F88" s="52">
        <v>1</v>
      </c>
      <c r="G88" s="82">
        <f>9600*0.002</f>
        <v>19.2</v>
      </c>
      <c r="H88" s="46">
        <v>1</v>
      </c>
      <c r="I88" s="102">
        <f t="shared" si="3"/>
        <v>19.2</v>
      </c>
      <c r="J88" s="11"/>
      <c r="K88" s="11"/>
      <c r="L88" s="11"/>
    </row>
    <row r="89" spans="1:13" ht="15" customHeight="1">
      <c r="A89" s="245" t="s">
        <v>75</v>
      </c>
      <c r="B89" s="246"/>
      <c r="C89" s="246"/>
      <c r="D89" s="247"/>
      <c r="E89" s="52" t="s">
        <v>27</v>
      </c>
      <c r="F89" s="52">
        <v>1</v>
      </c>
      <c r="G89" s="82">
        <f>3300*0.002</f>
        <v>6.6000000000000005</v>
      </c>
      <c r="H89" s="46">
        <v>1</v>
      </c>
      <c r="I89" s="102">
        <f t="shared" si="3"/>
        <v>6.6000000000000005</v>
      </c>
      <c r="J89" s="11"/>
      <c r="K89" s="11"/>
      <c r="L89" s="11"/>
    </row>
    <row r="90" spans="1:13" ht="15" customHeight="1">
      <c r="A90" s="274" t="s">
        <v>119</v>
      </c>
      <c r="B90" s="275"/>
      <c r="C90" s="275"/>
      <c r="D90" s="276"/>
      <c r="E90" s="52" t="s">
        <v>27</v>
      </c>
      <c r="F90" s="52">
        <v>1</v>
      </c>
      <c r="G90" s="38">
        <f>32500*0.002</f>
        <v>65</v>
      </c>
      <c r="H90" s="46">
        <v>1</v>
      </c>
      <c r="I90" s="102">
        <f t="shared" si="3"/>
        <v>65</v>
      </c>
      <c r="J90" s="11"/>
      <c r="K90" s="11"/>
      <c r="L90" s="11"/>
    </row>
    <row r="91" spans="1:13" ht="28.5" customHeight="1">
      <c r="A91" s="245" t="s">
        <v>120</v>
      </c>
      <c r="B91" s="246"/>
      <c r="C91" s="246"/>
      <c r="D91" s="247"/>
      <c r="E91" s="52" t="s">
        <v>27</v>
      </c>
      <c r="F91" s="52">
        <v>1</v>
      </c>
      <c r="G91" s="70">
        <f>51600*0.002</f>
        <v>103.2</v>
      </c>
      <c r="H91" s="46">
        <v>1</v>
      </c>
      <c r="I91" s="102">
        <f t="shared" si="3"/>
        <v>103.2</v>
      </c>
      <c r="J91" s="11"/>
      <c r="K91" s="16"/>
      <c r="L91" s="16"/>
    </row>
    <row r="92" spans="1:13" ht="16.5" customHeight="1">
      <c r="A92" s="80" t="s">
        <v>121</v>
      </c>
      <c r="B92" s="81"/>
      <c r="C92" s="81"/>
      <c r="D92" s="81"/>
      <c r="E92" s="52" t="s">
        <v>27</v>
      </c>
      <c r="F92" s="52">
        <v>1</v>
      </c>
      <c r="G92" s="38">
        <f>3200*0.002</f>
        <v>6.4</v>
      </c>
      <c r="H92" s="46">
        <v>1</v>
      </c>
      <c r="I92" s="102">
        <f t="shared" si="3"/>
        <v>6.4</v>
      </c>
      <c r="J92" s="11"/>
      <c r="K92" s="11"/>
      <c r="L92" s="11"/>
    </row>
    <row r="93" spans="1:13" ht="15" customHeight="1">
      <c r="A93" s="80" t="s">
        <v>122</v>
      </c>
      <c r="B93" s="81"/>
      <c r="C93" s="81"/>
      <c r="D93" s="81"/>
      <c r="E93" s="52" t="s">
        <v>27</v>
      </c>
      <c r="F93" s="52">
        <v>1</v>
      </c>
      <c r="G93" s="38">
        <f>30000*0.002</f>
        <v>60</v>
      </c>
      <c r="H93" s="46">
        <v>1</v>
      </c>
      <c r="I93" s="102">
        <f t="shared" si="3"/>
        <v>60</v>
      </c>
      <c r="J93" s="11"/>
      <c r="K93" s="11"/>
      <c r="L93" s="11"/>
    </row>
    <row r="94" spans="1:13" ht="15" customHeight="1">
      <c r="A94" s="274" t="s">
        <v>123</v>
      </c>
      <c r="B94" s="275"/>
      <c r="C94" s="275"/>
      <c r="D94" s="276"/>
      <c r="E94" s="52" t="s">
        <v>27</v>
      </c>
      <c r="F94" s="52">
        <v>1</v>
      </c>
      <c r="G94" s="48">
        <f>24000*0.002</f>
        <v>48</v>
      </c>
      <c r="H94" s="46">
        <v>1</v>
      </c>
      <c r="I94" s="102">
        <f t="shared" si="3"/>
        <v>48</v>
      </c>
      <c r="J94" s="11"/>
      <c r="K94" s="11"/>
      <c r="L94" s="11"/>
    </row>
    <row r="95" spans="1:13" s="1" customFormat="1" ht="15" customHeight="1" thickBot="1">
      <c r="A95" s="274" t="s">
        <v>124</v>
      </c>
      <c r="B95" s="275"/>
      <c r="C95" s="275"/>
      <c r="D95" s="276"/>
      <c r="E95" s="52" t="s">
        <v>27</v>
      </c>
      <c r="F95" s="52">
        <v>1</v>
      </c>
      <c r="G95" s="48">
        <f>25000*0.002</f>
        <v>50</v>
      </c>
      <c r="H95" s="46">
        <v>1</v>
      </c>
      <c r="I95" s="102">
        <f t="shared" si="3"/>
        <v>50</v>
      </c>
      <c r="J95" s="13"/>
      <c r="K95" s="13"/>
      <c r="L95" s="13"/>
    </row>
    <row r="96" spans="1:13" ht="15" customHeight="1" thickBot="1">
      <c r="A96" s="110" t="s">
        <v>54</v>
      </c>
      <c r="B96" s="111"/>
      <c r="C96" s="111"/>
      <c r="D96" s="111"/>
      <c r="E96" s="111"/>
      <c r="F96" s="111"/>
      <c r="G96" s="74">
        <f>SUM(G85:G95)</f>
        <v>953.2</v>
      </c>
      <c r="I96" s="33">
        <f>SUM(I85:I95)</f>
        <v>953.2</v>
      </c>
      <c r="K96" s="11"/>
      <c r="L96" s="11"/>
      <c r="M96" s="11"/>
    </row>
    <row r="97" spans="1:13" ht="18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5" customHeight="1">
      <c r="A98" s="230" t="s">
        <v>50</v>
      </c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</row>
    <row r="99" spans="1:13" ht="83.4">
      <c r="A99" s="214" t="s">
        <v>28</v>
      </c>
      <c r="B99" s="215"/>
      <c r="C99" s="215"/>
      <c r="D99" s="215"/>
      <c r="E99" s="26" t="s">
        <v>7</v>
      </c>
      <c r="F99" s="9" t="s">
        <v>56</v>
      </c>
      <c r="G99" s="9" t="s">
        <v>48</v>
      </c>
      <c r="H99" s="9" t="s">
        <v>76</v>
      </c>
      <c r="I99" s="9" t="s">
        <v>69</v>
      </c>
      <c r="J99" s="11"/>
      <c r="K99" s="11"/>
      <c r="L99" s="11"/>
      <c r="M99" s="11"/>
    </row>
    <row r="100" spans="1:13" ht="15" customHeight="1">
      <c r="A100" s="212" t="s">
        <v>126</v>
      </c>
      <c r="B100" s="213"/>
      <c r="C100" s="213"/>
      <c r="D100" s="213"/>
      <c r="E100" s="52" t="s">
        <v>27</v>
      </c>
      <c r="F100" s="52">
        <v>1</v>
      </c>
      <c r="G100" s="82">
        <f>9400*0.002</f>
        <v>18.8</v>
      </c>
      <c r="H100" s="46">
        <v>1</v>
      </c>
      <c r="I100" s="103">
        <f>G100/H100</f>
        <v>18.8</v>
      </c>
      <c r="J100" s="11"/>
      <c r="K100" s="11"/>
      <c r="L100" s="11"/>
      <c r="M100" s="11"/>
    </row>
    <row r="101" spans="1:13" ht="15" customHeight="1">
      <c r="A101" s="212" t="s">
        <v>127</v>
      </c>
      <c r="B101" s="213"/>
      <c r="C101" s="213"/>
      <c r="D101" s="213"/>
      <c r="E101" s="52" t="s">
        <v>27</v>
      </c>
      <c r="F101" s="52">
        <v>1</v>
      </c>
      <c r="G101" s="82">
        <f>34580*0.002</f>
        <v>69.16</v>
      </c>
      <c r="H101" s="46">
        <v>1</v>
      </c>
      <c r="I101" s="103">
        <f t="shared" ref="I101:I106" si="4">G101/H101</f>
        <v>69.16</v>
      </c>
      <c r="J101" s="11"/>
      <c r="K101" s="11"/>
      <c r="L101" s="11"/>
      <c r="M101" s="11"/>
    </row>
    <row r="102" spans="1:13" ht="15" customHeight="1">
      <c r="A102" s="212" t="s">
        <v>128</v>
      </c>
      <c r="B102" s="213"/>
      <c r="C102" s="213"/>
      <c r="D102" s="213"/>
      <c r="E102" s="52" t="s">
        <v>27</v>
      </c>
      <c r="F102" s="52">
        <v>1</v>
      </c>
      <c r="G102" s="82">
        <f>110960*0.002</f>
        <v>221.92000000000002</v>
      </c>
      <c r="H102" s="46">
        <v>1</v>
      </c>
      <c r="I102" s="103">
        <f t="shared" si="4"/>
        <v>221.92000000000002</v>
      </c>
      <c r="J102" s="11"/>
      <c r="K102" s="11"/>
      <c r="L102" s="11"/>
      <c r="M102" s="11"/>
    </row>
    <row r="103" spans="1:13" ht="15" customHeight="1">
      <c r="A103" s="212" t="s">
        <v>129</v>
      </c>
      <c r="B103" s="213"/>
      <c r="C103" s="213"/>
      <c r="D103" s="213"/>
      <c r="E103" s="52" t="s">
        <v>27</v>
      </c>
      <c r="F103" s="52">
        <v>1</v>
      </c>
      <c r="G103" s="82">
        <f>10120*0.002</f>
        <v>20.240000000000002</v>
      </c>
      <c r="H103" s="46">
        <v>1</v>
      </c>
      <c r="I103" s="103">
        <f t="shared" si="4"/>
        <v>20.240000000000002</v>
      </c>
      <c r="J103" s="11"/>
      <c r="K103" s="11"/>
      <c r="L103" s="11"/>
      <c r="M103" s="11"/>
    </row>
    <row r="104" spans="1:13" ht="15" customHeight="1">
      <c r="A104" s="212" t="s">
        <v>130</v>
      </c>
      <c r="B104" s="213"/>
      <c r="C104" s="213"/>
      <c r="D104" s="213"/>
      <c r="E104" s="52" t="s">
        <v>27</v>
      </c>
      <c r="F104" s="52">
        <v>1</v>
      </c>
      <c r="G104" s="82">
        <f>113400*0.002</f>
        <v>226.8</v>
      </c>
      <c r="H104" s="46">
        <v>1</v>
      </c>
      <c r="I104" s="103">
        <f t="shared" si="4"/>
        <v>226.8</v>
      </c>
      <c r="J104" s="11"/>
      <c r="K104" s="11"/>
      <c r="L104" s="11"/>
      <c r="M104" s="11"/>
    </row>
    <row r="105" spans="1:13" ht="18" customHeight="1">
      <c r="A105" s="212" t="s">
        <v>131</v>
      </c>
      <c r="B105" s="213"/>
      <c r="C105" s="213"/>
      <c r="D105" s="213"/>
      <c r="E105" s="52" t="s">
        <v>27</v>
      </c>
      <c r="F105" s="52">
        <v>1</v>
      </c>
      <c r="G105" s="70">
        <f>15000*0.002</f>
        <v>30</v>
      </c>
      <c r="H105" s="46">
        <v>1</v>
      </c>
      <c r="I105" s="103">
        <f t="shared" si="4"/>
        <v>30</v>
      </c>
      <c r="J105" s="11"/>
      <c r="K105" s="11"/>
      <c r="L105" s="11"/>
      <c r="M105" s="11"/>
    </row>
    <row r="106" spans="1:13" ht="28.5" customHeight="1" thickBot="1">
      <c r="A106" s="212" t="s">
        <v>132</v>
      </c>
      <c r="B106" s="213"/>
      <c r="C106" s="213"/>
      <c r="D106" s="213"/>
      <c r="E106" s="52" t="s">
        <v>27</v>
      </c>
      <c r="F106" s="52">
        <v>1</v>
      </c>
      <c r="G106" s="70">
        <f>14400*0.002</f>
        <v>28.8</v>
      </c>
      <c r="H106" s="46">
        <v>1</v>
      </c>
      <c r="I106" s="103">
        <f t="shared" si="4"/>
        <v>28.8</v>
      </c>
      <c r="J106" s="11"/>
      <c r="K106" s="11"/>
      <c r="L106" s="11"/>
      <c r="M106" s="11"/>
    </row>
    <row r="107" spans="1:13" ht="15.75" hidden="1" customHeight="1" thickBot="1">
      <c r="F107" s="76"/>
      <c r="H107" s="46">
        <v>5231</v>
      </c>
      <c r="I107" s="77"/>
      <c r="J107" s="11"/>
      <c r="K107" s="11"/>
      <c r="L107" s="11"/>
      <c r="M107" s="11"/>
    </row>
    <row r="108" spans="1:13" ht="14.25" hidden="1" customHeight="1">
      <c r="F108" s="25"/>
      <c r="G108" s="61"/>
      <c r="H108" s="46"/>
      <c r="I108" s="53"/>
      <c r="J108" s="11"/>
      <c r="K108" s="11"/>
      <c r="L108" s="11"/>
      <c r="M108" s="11"/>
    </row>
    <row r="109" spans="1:13" ht="16.5" hidden="1" customHeight="1">
      <c r="A109" s="212"/>
      <c r="B109" s="213"/>
      <c r="C109" s="213"/>
      <c r="D109" s="213"/>
      <c r="E109" s="109"/>
      <c r="F109" s="25"/>
      <c r="G109" s="59"/>
      <c r="H109" s="46">
        <v>3260</v>
      </c>
      <c r="I109" s="53">
        <f t="shared" ref="I109:I110" si="5">G109/H109</f>
        <v>0</v>
      </c>
      <c r="J109" s="11"/>
      <c r="K109" s="11"/>
      <c r="L109" s="11"/>
      <c r="M109" s="11"/>
    </row>
    <row r="110" spans="1:13" ht="17.25" hidden="1" customHeight="1">
      <c r="A110" s="212"/>
      <c r="B110" s="213"/>
      <c r="C110" s="213"/>
      <c r="D110" s="213"/>
      <c r="E110" s="109"/>
      <c r="F110" s="60"/>
      <c r="G110" s="38"/>
      <c r="H110" s="46">
        <v>3260</v>
      </c>
      <c r="I110" s="53">
        <f t="shared" si="5"/>
        <v>0</v>
      </c>
      <c r="J110" s="11"/>
      <c r="K110" s="11"/>
      <c r="L110" s="11"/>
      <c r="M110" s="11"/>
    </row>
    <row r="111" spans="1:13" ht="20.25" customHeight="1" thickBot="1">
      <c r="A111" s="217" t="s">
        <v>53</v>
      </c>
      <c r="B111" s="218"/>
      <c r="C111" s="218"/>
      <c r="D111" s="218"/>
      <c r="E111" s="99"/>
      <c r="F111" s="51"/>
      <c r="G111" s="73">
        <f>SUM(G100:G110)</f>
        <v>615.72</v>
      </c>
      <c r="H111" s="47"/>
      <c r="I111" s="33">
        <f>SUM(I100:I110)</f>
        <v>615.72</v>
      </c>
      <c r="J111" s="11"/>
      <c r="K111" s="34"/>
      <c r="L111" s="34"/>
      <c r="M111" s="11"/>
    </row>
    <row r="112" spans="1:13" s="86" customFormat="1" ht="12.75" customHeight="1">
      <c r="A112" s="87"/>
      <c r="B112" s="87"/>
      <c r="C112" s="87"/>
      <c r="D112" s="87"/>
      <c r="E112" s="87"/>
      <c r="F112" s="87"/>
      <c r="G112" s="87"/>
      <c r="H112" s="87"/>
      <c r="I112" s="83"/>
      <c r="J112" s="84"/>
      <c r="K112" s="85"/>
      <c r="L112" s="85"/>
      <c r="M112" s="88"/>
    </row>
    <row r="113" spans="1:13" ht="15" customHeight="1">
      <c r="A113" s="230" t="s">
        <v>89</v>
      </c>
      <c r="B113" s="230"/>
      <c r="C113" s="230"/>
      <c r="D113" s="230"/>
      <c r="E113" s="230"/>
      <c r="F113" s="230"/>
      <c r="G113" s="230"/>
      <c r="H113" s="230"/>
      <c r="I113" s="230"/>
      <c r="J113" s="230"/>
      <c r="K113" s="230"/>
      <c r="L113" s="230"/>
      <c r="M113" s="230"/>
    </row>
    <row r="114" spans="1:13" ht="55.8">
      <c r="A114" s="214" t="s">
        <v>28</v>
      </c>
      <c r="B114" s="215"/>
      <c r="C114" s="215"/>
      <c r="D114" s="215"/>
      <c r="E114" s="9" t="s">
        <v>77</v>
      </c>
      <c r="F114" s="9" t="s">
        <v>48</v>
      </c>
      <c r="G114" s="9" t="s">
        <v>76</v>
      </c>
      <c r="H114" s="9" t="s">
        <v>69</v>
      </c>
      <c r="I114" s="11"/>
      <c r="J114" s="11"/>
      <c r="K114" s="11"/>
      <c r="L114" s="11"/>
    </row>
    <row r="115" spans="1:13" ht="15" thickBot="1">
      <c r="A115" s="212" t="s">
        <v>80</v>
      </c>
      <c r="B115" s="213"/>
      <c r="C115" s="213"/>
      <c r="D115" s="213"/>
      <c r="E115" s="52" t="s">
        <v>27</v>
      </c>
      <c r="F115" s="82">
        <f>(10000)*0.002</f>
        <v>20</v>
      </c>
      <c r="G115" s="46">
        <v>1</v>
      </c>
      <c r="H115" s="103">
        <f t="shared" ref="H115" si="6">F115/G115</f>
        <v>20</v>
      </c>
      <c r="I115" s="11"/>
      <c r="J115" s="11"/>
      <c r="K115" s="11"/>
      <c r="L115" s="11"/>
    </row>
    <row r="116" spans="1:13" ht="15.75" hidden="1" customHeight="1">
      <c r="E116" s="76"/>
      <c r="G116" s="9">
        <v>189</v>
      </c>
      <c r="H116" s="77"/>
      <c r="I116" s="11"/>
      <c r="J116" s="11"/>
      <c r="K116" s="11"/>
      <c r="L116" s="11"/>
    </row>
    <row r="117" spans="1:13" ht="14.25" hidden="1" customHeight="1">
      <c r="E117" s="25"/>
      <c r="F117" s="61"/>
      <c r="G117" s="9">
        <v>189</v>
      </c>
      <c r="H117" s="53"/>
      <c r="I117" s="11"/>
      <c r="J117" s="11"/>
      <c r="K117" s="11"/>
      <c r="L117" s="11"/>
    </row>
    <row r="118" spans="1:13" ht="16.5" hidden="1" customHeight="1" thickBot="1">
      <c r="A118" s="212"/>
      <c r="B118" s="213"/>
      <c r="C118" s="213"/>
      <c r="D118" s="213"/>
      <c r="E118" s="25"/>
      <c r="F118" s="59"/>
      <c r="G118" s="9">
        <v>189</v>
      </c>
      <c r="H118" s="53">
        <f t="shared" ref="H118:H119" si="7">F118/G118</f>
        <v>0</v>
      </c>
      <c r="I118" s="11"/>
      <c r="J118" s="11"/>
      <c r="K118" s="11"/>
      <c r="L118" s="11"/>
    </row>
    <row r="119" spans="1:13" ht="17.25" hidden="1" customHeight="1">
      <c r="A119" s="212"/>
      <c r="B119" s="213"/>
      <c r="C119" s="213"/>
      <c r="D119" s="213"/>
      <c r="E119" s="60"/>
      <c r="F119" s="38"/>
      <c r="G119" s="9">
        <v>189</v>
      </c>
      <c r="H119" s="53">
        <f t="shared" si="7"/>
        <v>0</v>
      </c>
      <c r="I119" s="11"/>
      <c r="J119" s="11"/>
      <c r="K119" s="11"/>
      <c r="L119" s="11"/>
    </row>
    <row r="120" spans="1:13" ht="20.25" customHeight="1" thickBot="1">
      <c r="A120" s="217" t="s">
        <v>53</v>
      </c>
      <c r="B120" s="218"/>
      <c r="C120" s="218"/>
      <c r="D120" s="218"/>
      <c r="E120" s="51"/>
      <c r="F120" s="73">
        <f>SUM(F115:F119)</f>
        <v>20</v>
      </c>
      <c r="G120" s="47"/>
      <c r="H120" s="54">
        <f>SUM(H115:H115)</f>
        <v>20</v>
      </c>
      <c r="I120" s="11"/>
      <c r="J120" s="34"/>
      <c r="K120" s="11"/>
      <c r="L120" s="11"/>
    </row>
    <row r="121" spans="1:13" ht="11.25" customHeight="1">
      <c r="A121" s="89"/>
      <c r="B121" s="89"/>
      <c r="C121" s="89"/>
      <c r="D121" s="89"/>
      <c r="E121" s="90"/>
      <c r="F121" s="91"/>
      <c r="G121" s="92"/>
      <c r="H121" s="91"/>
      <c r="I121" s="93"/>
      <c r="J121" s="71"/>
      <c r="K121" s="94"/>
      <c r="L121" s="94"/>
      <c r="M121" s="50"/>
    </row>
    <row r="122" spans="1:13" ht="15.6">
      <c r="A122" s="273" t="s">
        <v>78</v>
      </c>
      <c r="B122" s="273"/>
      <c r="C122" s="273"/>
      <c r="D122" s="273"/>
      <c r="E122" s="273"/>
      <c r="F122" s="273"/>
      <c r="G122" s="273"/>
      <c r="H122" s="273"/>
      <c r="I122" s="273"/>
      <c r="J122" s="273"/>
      <c r="K122" s="273"/>
      <c r="L122" s="273"/>
      <c r="M122" s="273"/>
    </row>
    <row r="123" spans="1:13" ht="69.599999999999994">
      <c r="A123" s="231" t="s">
        <v>3</v>
      </c>
      <c r="B123" s="231"/>
      <c r="C123" s="231"/>
      <c r="D123" s="231"/>
      <c r="E123" s="9" t="s">
        <v>4</v>
      </c>
      <c r="F123" s="10" t="s">
        <v>0</v>
      </c>
      <c r="G123" s="35" t="s">
        <v>52</v>
      </c>
      <c r="H123" s="35" t="s">
        <v>44</v>
      </c>
      <c r="I123" s="9" t="s">
        <v>63</v>
      </c>
      <c r="J123" s="9" t="s">
        <v>69</v>
      </c>
      <c r="K123" s="9" t="s">
        <v>46</v>
      </c>
      <c r="L123" s="28"/>
      <c r="M123" s="28"/>
    </row>
    <row r="124" spans="1:13">
      <c r="A124" s="252">
        <v>1</v>
      </c>
      <c r="B124" s="253"/>
      <c r="C124" s="253"/>
      <c r="D124" s="253"/>
      <c r="E124" s="26">
        <v>2</v>
      </c>
      <c r="F124" s="12">
        <v>3</v>
      </c>
      <c r="G124" s="26">
        <v>4</v>
      </c>
      <c r="H124" s="26" t="s">
        <v>125</v>
      </c>
      <c r="I124" s="27">
        <v>6</v>
      </c>
      <c r="J124" s="36">
        <v>7</v>
      </c>
      <c r="K124" s="37">
        <v>8</v>
      </c>
      <c r="L124" s="153"/>
      <c r="M124" s="28"/>
    </row>
    <row r="125" spans="1:13" ht="15" thickBot="1">
      <c r="A125" s="236" t="s">
        <v>66</v>
      </c>
      <c r="B125" s="236"/>
      <c r="C125" s="236"/>
      <c r="D125" s="236"/>
      <c r="E125" s="38">
        <f>9144000/12/13.75</f>
        <v>55418.181818181816</v>
      </c>
      <c r="F125" s="38">
        <f>13.75*0.002</f>
        <v>2.75E-2</v>
      </c>
      <c r="G125" s="38">
        <f>7023041.475*0.002</f>
        <v>14046.08295</v>
      </c>
      <c r="H125" s="38">
        <f>(G125*1.302)</f>
        <v>18288.0000009</v>
      </c>
      <c r="I125" s="46">
        <v>1</v>
      </c>
      <c r="J125" s="38">
        <f>H125/I125</f>
        <v>18288.0000009</v>
      </c>
      <c r="K125" s="63">
        <f>H125/(8696900+23460820)*100</f>
        <v>5.6869703451923832E-2</v>
      </c>
      <c r="L125" s="154"/>
      <c r="M125" s="16"/>
    </row>
    <row r="126" spans="1:13" ht="15" hidden="1" thickBot="1">
      <c r="A126" s="262"/>
      <c r="B126" s="263"/>
      <c r="C126" s="263"/>
      <c r="D126" s="263"/>
      <c r="E126" s="38">
        <v>17865.98</v>
      </c>
      <c r="F126" s="64">
        <v>4</v>
      </c>
      <c r="G126" s="46"/>
      <c r="H126" s="39">
        <f>H6</f>
        <v>0</v>
      </c>
      <c r="I126" s="38" t="e">
        <f t="shared" ref="I126:I147" si="8">F126/G126*H126</f>
        <v>#DIV/0!</v>
      </c>
      <c r="J126" s="38">
        <f t="shared" ref="J126:J147" si="9">E126*F126*12*1.302</f>
        <v>1116552.28608</v>
      </c>
      <c r="K126" s="65" t="s">
        <v>38</v>
      </c>
      <c r="L126" s="155"/>
      <c r="M126" s="32" t="e">
        <f t="shared" ref="M126:M150" si="10">I126*J126</f>
        <v>#DIV/0!</v>
      </c>
    </row>
    <row r="127" spans="1:13" ht="15" hidden="1" thickBot="1">
      <c r="A127" s="293"/>
      <c r="B127" s="293"/>
      <c r="C127" s="293"/>
      <c r="D127" s="293"/>
      <c r="E127" s="38">
        <v>9544</v>
      </c>
      <c r="F127" s="64">
        <v>1</v>
      </c>
      <c r="G127" s="46"/>
      <c r="H127" s="39">
        <f>H6</f>
        <v>0</v>
      </c>
      <c r="I127" s="38" t="e">
        <f t="shared" si="8"/>
        <v>#DIV/0!</v>
      </c>
      <c r="J127" s="38">
        <f t="shared" si="9"/>
        <v>149115.45600000001</v>
      </c>
      <c r="K127" s="39">
        <f>H127/11277167.39*100</f>
        <v>0</v>
      </c>
      <c r="L127" s="39"/>
      <c r="M127" s="15" t="e">
        <f t="shared" si="10"/>
        <v>#DIV/0!</v>
      </c>
    </row>
    <row r="128" spans="1:13" ht="15" hidden="1" customHeight="1">
      <c r="A128" s="274"/>
      <c r="B128" s="275"/>
      <c r="C128" s="275"/>
      <c r="D128" s="275"/>
      <c r="E128" s="38">
        <v>11560</v>
      </c>
      <c r="F128" s="64">
        <v>1</v>
      </c>
      <c r="G128" s="46"/>
      <c r="H128" s="39">
        <f>H6</f>
        <v>0</v>
      </c>
      <c r="I128" s="38" t="e">
        <f t="shared" si="8"/>
        <v>#DIV/0!</v>
      </c>
      <c r="J128" s="38">
        <f t="shared" si="9"/>
        <v>180613.44</v>
      </c>
      <c r="K128" s="30"/>
      <c r="L128" s="30"/>
      <c r="M128" s="15" t="e">
        <f t="shared" si="10"/>
        <v>#DIV/0!</v>
      </c>
    </row>
    <row r="129" spans="1:13" ht="15" hidden="1" thickBot="1">
      <c r="A129" s="236"/>
      <c r="B129" s="236"/>
      <c r="C129" s="236"/>
      <c r="D129" s="236"/>
      <c r="E129" s="38">
        <v>9544</v>
      </c>
      <c r="F129" s="66">
        <v>0.5</v>
      </c>
      <c r="G129" s="46"/>
      <c r="H129" s="39">
        <f>H6</f>
        <v>0</v>
      </c>
      <c r="I129" s="38" t="e">
        <f t="shared" si="8"/>
        <v>#DIV/0!</v>
      </c>
      <c r="J129" s="38">
        <f t="shared" si="9"/>
        <v>74557.728000000003</v>
      </c>
      <c r="K129" s="30"/>
      <c r="L129" s="30"/>
      <c r="M129" s="15" t="e">
        <f t="shared" si="10"/>
        <v>#DIV/0!</v>
      </c>
    </row>
    <row r="130" spans="1:13" ht="15" hidden="1" thickBot="1">
      <c r="A130" s="236"/>
      <c r="B130" s="236"/>
      <c r="C130" s="236"/>
      <c r="D130" s="236"/>
      <c r="E130" s="38">
        <v>9544</v>
      </c>
      <c r="F130" s="64">
        <v>1</v>
      </c>
      <c r="G130" s="46"/>
      <c r="H130" s="39">
        <f>H6</f>
        <v>0</v>
      </c>
      <c r="I130" s="38" t="e">
        <f t="shared" si="8"/>
        <v>#DIV/0!</v>
      </c>
      <c r="J130" s="38">
        <f t="shared" si="9"/>
        <v>149115.45600000001</v>
      </c>
      <c r="K130" s="38"/>
      <c r="L130" s="38"/>
      <c r="M130" s="15" t="e">
        <f t="shared" si="10"/>
        <v>#DIV/0!</v>
      </c>
    </row>
    <row r="131" spans="1:13" ht="14.25" hidden="1" customHeight="1">
      <c r="A131" s="236"/>
      <c r="B131" s="236"/>
      <c r="C131" s="236"/>
      <c r="D131" s="236"/>
      <c r="E131" s="38">
        <v>9544</v>
      </c>
      <c r="F131" s="64">
        <v>1</v>
      </c>
      <c r="G131" s="46"/>
      <c r="H131" s="39">
        <f>H6</f>
        <v>0</v>
      </c>
      <c r="I131" s="38" t="e">
        <f t="shared" si="8"/>
        <v>#DIV/0!</v>
      </c>
      <c r="J131" s="38">
        <f t="shared" si="9"/>
        <v>149115.45600000001</v>
      </c>
      <c r="K131" s="47"/>
      <c r="L131" s="47"/>
      <c r="M131" s="15" t="e">
        <f t="shared" si="10"/>
        <v>#DIV/0!</v>
      </c>
    </row>
    <row r="132" spans="1:13" ht="15" hidden="1" thickBot="1">
      <c r="A132" s="212"/>
      <c r="B132" s="213"/>
      <c r="C132" s="213"/>
      <c r="D132" s="213"/>
      <c r="E132" s="38">
        <v>9544</v>
      </c>
      <c r="F132" s="38"/>
      <c r="G132" s="46"/>
      <c r="H132" s="39">
        <f>H6</f>
        <v>0</v>
      </c>
      <c r="I132" s="38" t="e">
        <f t="shared" si="8"/>
        <v>#DIV/0!</v>
      </c>
      <c r="J132" s="38">
        <f t="shared" si="9"/>
        <v>0</v>
      </c>
      <c r="K132" s="47"/>
      <c r="L132" s="47"/>
      <c r="M132" s="15" t="e">
        <f t="shared" si="10"/>
        <v>#DIV/0!</v>
      </c>
    </row>
    <row r="133" spans="1:13" ht="15" hidden="1" thickBot="1">
      <c r="A133" s="212"/>
      <c r="B133" s="213"/>
      <c r="C133" s="213"/>
      <c r="D133" s="213"/>
      <c r="E133" s="38">
        <v>9544</v>
      </c>
      <c r="F133" s="67">
        <v>0.25</v>
      </c>
      <c r="G133" s="46"/>
      <c r="H133" s="39">
        <f>H6</f>
        <v>0</v>
      </c>
      <c r="I133" s="38" t="e">
        <f t="shared" si="8"/>
        <v>#DIV/0!</v>
      </c>
      <c r="J133" s="38">
        <f t="shared" si="9"/>
        <v>37278.864000000001</v>
      </c>
      <c r="K133" s="47"/>
      <c r="L133" s="47"/>
      <c r="M133" s="15" t="e">
        <f t="shared" si="10"/>
        <v>#DIV/0!</v>
      </c>
    </row>
    <row r="134" spans="1:13" ht="15" hidden="1" thickBot="1">
      <c r="A134" s="212"/>
      <c r="B134" s="213"/>
      <c r="C134" s="213"/>
      <c r="D134" s="213"/>
      <c r="E134" s="38">
        <v>9544</v>
      </c>
      <c r="F134" s="38"/>
      <c r="G134" s="46"/>
      <c r="H134" s="39">
        <f>H6</f>
        <v>0</v>
      </c>
      <c r="I134" s="38" t="e">
        <f t="shared" si="8"/>
        <v>#DIV/0!</v>
      </c>
      <c r="J134" s="38">
        <f t="shared" si="9"/>
        <v>0</v>
      </c>
      <c r="K134" s="47"/>
      <c r="L134" s="47"/>
      <c r="M134" s="15" t="e">
        <f t="shared" si="10"/>
        <v>#DIV/0!</v>
      </c>
    </row>
    <row r="135" spans="1:13" ht="15" hidden="1" thickBot="1">
      <c r="A135" s="212"/>
      <c r="B135" s="213"/>
      <c r="C135" s="213"/>
      <c r="D135" s="213"/>
      <c r="E135" s="38">
        <v>9544</v>
      </c>
      <c r="F135" s="66">
        <v>0.5</v>
      </c>
      <c r="G135" s="46"/>
      <c r="H135" s="39">
        <f>H6</f>
        <v>0</v>
      </c>
      <c r="I135" s="38" t="e">
        <f t="shared" si="8"/>
        <v>#DIV/0!</v>
      </c>
      <c r="J135" s="38">
        <f t="shared" si="9"/>
        <v>74557.728000000003</v>
      </c>
      <c r="K135" s="47"/>
      <c r="L135" s="47"/>
      <c r="M135" s="15" t="e">
        <f t="shared" si="10"/>
        <v>#DIV/0!</v>
      </c>
    </row>
    <row r="136" spans="1:13" ht="15.75" hidden="1" customHeight="1">
      <c r="A136" s="212"/>
      <c r="B136" s="213"/>
      <c r="C136" s="213"/>
      <c r="D136" s="213"/>
      <c r="E136" s="38">
        <v>9544</v>
      </c>
      <c r="F136" s="64">
        <v>1</v>
      </c>
      <c r="G136" s="46"/>
      <c r="H136" s="39">
        <f>H6</f>
        <v>0</v>
      </c>
      <c r="I136" s="38" t="e">
        <f t="shared" si="8"/>
        <v>#DIV/0!</v>
      </c>
      <c r="J136" s="38">
        <f t="shared" si="9"/>
        <v>149115.45600000001</v>
      </c>
      <c r="K136" s="47"/>
      <c r="L136" s="47"/>
      <c r="M136" s="15" t="e">
        <f t="shared" si="10"/>
        <v>#DIV/0!</v>
      </c>
    </row>
    <row r="137" spans="1:13" ht="15" hidden="1" customHeight="1" thickBo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H6</f>
        <v>0</v>
      </c>
      <c r="I137" s="38" t="e">
        <f t="shared" si="8"/>
        <v>#DIV/0!</v>
      </c>
      <c r="J137" s="38">
        <f t="shared" si="9"/>
        <v>149115.45600000001</v>
      </c>
      <c r="K137" s="47"/>
      <c r="L137" s="47"/>
      <c r="M137" s="15" t="e">
        <f t="shared" si="10"/>
        <v>#DIV/0!</v>
      </c>
    </row>
    <row r="138" spans="1:13" ht="15" hidden="1" customHeight="1">
      <c r="A138" s="236"/>
      <c r="B138" s="236"/>
      <c r="C138" s="236"/>
      <c r="D138" s="236"/>
      <c r="E138" s="38">
        <v>9544</v>
      </c>
      <c r="F138" s="66">
        <v>5.5</v>
      </c>
      <c r="G138" s="46"/>
      <c r="H138" s="39">
        <f>H6</f>
        <v>0</v>
      </c>
      <c r="I138" s="38" t="e">
        <f t="shared" si="8"/>
        <v>#DIV/0!</v>
      </c>
      <c r="J138" s="38">
        <f t="shared" si="9"/>
        <v>820135.00800000003</v>
      </c>
      <c r="K138" s="47"/>
      <c r="L138" s="47"/>
      <c r="M138" s="15" t="e">
        <f t="shared" si="10"/>
        <v>#DIV/0!</v>
      </c>
    </row>
    <row r="139" spans="1:13" ht="15" hidden="1" customHeight="1" thickBot="1">
      <c r="A139" s="236"/>
      <c r="B139" s="236"/>
      <c r="C139" s="236"/>
      <c r="D139" s="236"/>
      <c r="E139" s="38">
        <v>9544</v>
      </c>
      <c r="F139" s="64">
        <v>1</v>
      </c>
      <c r="G139" s="46"/>
      <c r="H139" s="39">
        <f>H6</f>
        <v>0</v>
      </c>
      <c r="I139" s="38" t="e">
        <f t="shared" si="8"/>
        <v>#DIV/0!</v>
      </c>
      <c r="J139" s="38">
        <f t="shared" si="9"/>
        <v>149115.45600000001</v>
      </c>
      <c r="K139" s="47"/>
      <c r="L139" s="47"/>
      <c r="M139" s="15" t="e">
        <f t="shared" si="10"/>
        <v>#DIV/0!</v>
      </c>
    </row>
    <row r="140" spans="1:13" ht="15" hidden="1" customHeight="1">
      <c r="A140" s="236"/>
      <c r="B140" s="236"/>
      <c r="C140" s="236"/>
      <c r="D140" s="236"/>
      <c r="E140" s="38">
        <v>9544</v>
      </c>
      <c r="F140" s="66">
        <v>0.5</v>
      </c>
      <c r="G140" s="46"/>
      <c r="H140" s="39">
        <f>H6</f>
        <v>0</v>
      </c>
      <c r="I140" s="38" t="e">
        <f t="shared" si="8"/>
        <v>#DIV/0!</v>
      </c>
      <c r="J140" s="38">
        <f t="shared" si="9"/>
        <v>74557.728000000003</v>
      </c>
      <c r="K140" s="47"/>
      <c r="L140" s="47"/>
      <c r="M140" s="15" t="e">
        <f t="shared" si="10"/>
        <v>#DIV/0!</v>
      </c>
    </row>
    <row r="141" spans="1:13" ht="15" hidden="1" customHeight="1">
      <c r="A141" s="236"/>
      <c r="B141" s="236"/>
      <c r="C141" s="236"/>
      <c r="D141" s="236"/>
      <c r="E141" s="38">
        <v>9544</v>
      </c>
      <c r="F141" s="66">
        <v>0.5</v>
      </c>
      <c r="G141" s="46"/>
      <c r="H141" s="39">
        <f>H6</f>
        <v>0</v>
      </c>
      <c r="I141" s="38" t="e">
        <f t="shared" si="8"/>
        <v>#DIV/0!</v>
      </c>
      <c r="J141" s="38">
        <f t="shared" si="9"/>
        <v>74557.728000000003</v>
      </c>
      <c r="K141" s="47"/>
      <c r="L141" s="47"/>
      <c r="M141" s="15" t="e">
        <f t="shared" si="10"/>
        <v>#DIV/0!</v>
      </c>
    </row>
    <row r="142" spans="1:13" ht="15" hidden="1" thickBot="1">
      <c r="A142" s="236"/>
      <c r="B142" s="236"/>
      <c r="C142" s="236"/>
      <c r="D142" s="236"/>
      <c r="E142" s="38">
        <v>9544</v>
      </c>
      <c r="F142" s="64">
        <v>1</v>
      </c>
      <c r="G142" s="46"/>
      <c r="H142" s="39">
        <f>H6</f>
        <v>0</v>
      </c>
      <c r="I142" s="38" t="e">
        <f t="shared" si="8"/>
        <v>#DIV/0!</v>
      </c>
      <c r="J142" s="38">
        <f t="shared" si="9"/>
        <v>149115.45600000001</v>
      </c>
      <c r="K142" s="47"/>
      <c r="L142" s="47"/>
      <c r="M142" s="15" t="e">
        <f t="shared" si="10"/>
        <v>#DIV/0!</v>
      </c>
    </row>
    <row r="143" spans="1:13" ht="15.75" hidden="1" customHeight="1">
      <c r="A143" s="236"/>
      <c r="B143" s="236"/>
      <c r="C143" s="236"/>
      <c r="D143" s="236"/>
      <c r="E143" s="38">
        <v>9544</v>
      </c>
      <c r="F143" s="64">
        <v>4</v>
      </c>
      <c r="G143" s="46"/>
      <c r="H143" s="39">
        <f>H6</f>
        <v>0</v>
      </c>
      <c r="I143" s="38" t="e">
        <f t="shared" si="8"/>
        <v>#DIV/0!</v>
      </c>
      <c r="J143" s="38">
        <f t="shared" si="9"/>
        <v>596461.82400000002</v>
      </c>
      <c r="K143" s="47"/>
      <c r="L143" s="47"/>
      <c r="M143" s="15" t="e">
        <f t="shared" si="10"/>
        <v>#DIV/0!</v>
      </c>
    </row>
    <row r="144" spans="1:13" ht="16.5" hidden="1" customHeight="1">
      <c r="A144" s="212"/>
      <c r="B144" s="213"/>
      <c r="C144" s="213"/>
      <c r="D144" s="213"/>
      <c r="E144" s="38">
        <v>9544</v>
      </c>
      <c r="F144" s="64">
        <v>1</v>
      </c>
      <c r="G144" s="46"/>
      <c r="H144" s="39">
        <f>H6</f>
        <v>0</v>
      </c>
      <c r="I144" s="38" t="e">
        <f t="shared" si="8"/>
        <v>#DIV/0!</v>
      </c>
      <c r="J144" s="38">
        <f t="shared" si="9"/>
        <v>149115.45600000001</v>
      </c>
      <c r="K144" s="47"/>
      <c r="L144" s="47"/>
      <c r="M144" s="15" t="e">
        <f t="shared" si="10"/>
        <v>#DIV/0!</v>
      </c>
    </row>
    <row r="145" spans="1:13" ht="16.5" hidden="1" customHeight="1" thickBot="1">
      <c r="A145" s="212"/>
      <c r="B145" s="213"/>
      <c r="C145" s="213"/>
      <c r="D145" s="213"/>
      <c r="E145" s="38">
        <v>9544</v>
      </c>
      <c r="F145" s="67">
        <v>1.75</v>
      </c>
      <c r="G145" s="46"/>
      <c r="H145" s="39">
        <f>H6</f>
        <v>0</v>
      </c>
      <c r="I145" s="38" t="e">
        <f t="shared" si="8"/>
        <v>#DIV/0!</v>
      </c>
      <c r="J145" s="38">
        <f t="shared" si="9"/>
        <v>260952.04800000001</v>
      </c>
      <c r="K145" s="47"/>
      <c r="L145" s="47"/>
      <c r="M145" s="15" t="e">
        <f t="shared" si="10"/>
        <v>#DIV/0!</v>
      </c>
    </row>
    <row r="146" spans="1:13" ht="16.5" hidden="1" customHeight="1" thickBot="1">
      <c r="A146" s="212"/>
      <c r="B146" s="213"/>
      <c r="C146" s="213"/>
      <c r="D146" s="213"/>
      <c r="E146" s="38">
        <v>9544</v>
      </c>
      <c r="F146" s="39"/>
      <c r="G146" s="46"/>
      <c r="H146" s="39">
        <f>H6</f>
        <v>0</v>
      </c>
      <c r="I146" s="38" t="e">
        <f t="shared" si="8"/>
        <v>#DIV/0!</v>
      </c>
      <c r="J146" s="38">
        <f t="shared" si="9"/>
        <v>0</v>
      </c>
      <c r="K146" s="47"/>
      <c r="L146" s="47"/>
      <c r="M146" s="15" t="e">
        <f t="shared" si="10"/>
        <v>#DIV/0!</v>
      </c>
    </row>
    <row r="147" spans="1:13" ht="16.5" hidden="1" customHeight="1" thickBot="1">
      <c r="A147" s="212"/>
      <c r="B147" s="213"/>
      <c r="C147" s="213"/>
      <c r="D147" s="213"/>
      <c r="E147" s="38">
        <v>9544</v>
      </c>
      <c r="F147" s="66">
        <v>0.5</v>
      </c>
      <c r="G147" s="46"/>
      <c r="H147" s="39">
        <f>H6</f>
        <v>0</v>
      </c>
      <c r="I147" s="38" t="e">
        <f t="shared" si="8"/>
        <v>#DIV/0!</v>
      </c>
      <c r="J147" s="38">
        <f t="shared" si="9"/>
        <v>74557.728000000003</v>
      </c>
      <c r="K147" s="47"/>
      <c r="L147" s="47"/>
      <c r="M147" s="15" t="e">
        <f t="shared" si="10"/>
        <v>#DIV/0!</v>
      </c>
    </row>
    <row r="148" spans="1:13" ht="15" hidden="1" customHeight="1" thickBot="1">
      <c r="A148" s="212"/>
      <c r="B148" s="213"/>
      <c r="C148" s="213"/>
      <c r="D148" s="213"/>
      <c r="E148" s="38"/>
      <c r="F148" s="38"/>
      <c r="G148" s="38"/>
      <c r="H148" s="38"/>
      <c r="I148" s="38"/>
      <c r="J148" s="38"/>
      <c r="K148" s="47"/>
      <c r="L148" s="47"/>
      <c r="M148" s="15">
        <f t="shared" si="10"/>
        <v>0</v>
      </c>
    </row>
    <row r="149" spans="1:13" ht="15.75" hidden="1" customHeight="1" thickBot="1">
      <c r="A149" s="212"/>
      <c r="B149" s="213"/>
      <c r="C149" s="213"/>
      <c r="D149" s="213"/>
      <c r="E149" s="38"/>
      <c r="F149" s="38"/>
      <c r="G149" s="38"/>
      <c r="H149" s="38"/>
      <c r="I149" s="38"/>
      <c r="J149" s="38"/>
      <c r="K149" s="47"/>
      <c r="L149" s="47"/>
      <c r="M149" s="15">
        <f t="shared" si="10"/>
        <v>0</v>
      </c>
    </row>
    <row r="150" spans="1:13" ht="14.25" hidden="1" customHeight="1" thickBot="1">
      <c r="A150" s="212"/>
      <c r="B150" s="213"/>
      <c r="C150" s="213"/>
      <c r="D150" s="213"/>
      <c r="E150" s="38"/>
      <c r="F150" s="38"/>
      <c r="G150" s="38"/>
      <c r="H150" s="38"/>
      <c r="I150" s="46">
        <v>105</v>
      </c>
      <c r="J150" s="48">
        <f>H150/I150</f>
        <v>0</v>
      </c>
      <c r="K150" s="47"/>
      <c r="L150" s="47"/>
      <c r="M150" s="31">
        <f t="shared" si="10"/>
        <v>0</v>
      </c>
    </row>
    <row r="151" spans="1:13" ht="15" thickBot="1">
      <c r="A151" s="216" t="s">
        <v>47</v>
      </c>
      <c r="B151" s="216"/>
      <c r="C151" s="216"/>
      <c r="D151" s="216"/>
      <c r="E151" s="68"/>
      <c r="F151" s="108"/>
      <c r="G151" s="108"/>
      <c r="H151" s="73">
        <f>H125</f>
        <v>18288.0000009</v>
      </c>
      <c r="I151" s="49"/>
      <c r="J151" s="69">
        <f>J125</f>
        <v>18288.0000009</v>
      </c>
      <c r="K151" s="47"/>
      <c r="L151" s="47"/>
      <c r="M151" s="16"/>
    </row>
    <row r="152" spans="1:13" ht="19.5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7"/>
      <c r="L152" s="17"/>
      <c r="M152" s="17"/>
    </row>
    <row r="153" spans="1:13" ht="15.6">
      <c r="A153" s="273" t="s">
        <v>68</v>
      </c>
      <c r="B153" s="273"/>
      <c r="C153" s="273"/>
      <c r="D153" s="273"/>
      <c r="E153" s="273"/>
      <c r="F153" s="273"/>
      <c r="G153" s="273"/>
      <c r="H153" s="273"/>
      <c r="I153" s="273"/>
      <c r="J153" s="273"/>
      <c r="K153" s="273"/>
      <c r="L153" s="273"/>
      <c r="M153" s="273"/>
    </row>
    <row r="154" spans="1:13" ht="69.599999999999994">
      <c r="A154" s="231" t="s">
        <v>3</v>
      </c>
      <c r="B154" s="231"/>
      <c r="C154" s="231"/>
      <c r="D154" s="231"/>
      <c r="E154" s="9" t="s">
        <v>4</v>
      </c>
      <c r="F154" s="10" t="s">
        <v>0</v>
      </c>
      <c r="G154" s="35" t="s">
        <v>52</v>
      </c>
      <c r="H154" s="35" t="s">
        <v>44</v>
      </c>
      <c r="I154" s="9" t="s">
        <v>63</v>
      </c>
      <c r="J154" s="9" t="s">
        <v>69</v>
      </c>
      <c r="K154" s="9" t="s">
        <v>46</v>
      </c>
      <c r="L154" s="28"/>
      <c r="M154" s="28"/>
    </row>
    <row r="155" spans="1:13">
      <c r="A155" s="252">
        <v>1</v>
      </c>
      <c r="B155" s="253"/>
      <c r="C155" s="253"/>
      <c r="D155" s="253"/>
      <c r="E155" s="26">
        <v>2</v>
      </c>
      <c r="F155" s="12">
        <v>3</v>
      </c>
      <c r="G155" s="26">
        <v>4</v>
      </c>
      <c r="H155" s="26">
        <v>5</v>
      </c>
      <c r="I155" s="27">
        <v>6</v>
      </c>
      <c r="J155" s="36">
        <v>7</v>
      </c>
      <c r="K155" s="37">
        <v>8</v>
      </c>
      <c r="L155" s="153"/>
      <c r="M155" s="28"/>
    </row>
    <row r="156" spans="1:13" ht="15" thickBot="1">
      <c r="A156" s="236" t="s">
        <v>67</v>
      </c>
      <c r="B156" s="236"/>
      <c r="C156" s="236"/>
      <c r="D156" s="236"/>
      <c r="E156" s="38">
        <f>18861400/12/55.25</f>
        <v>28448.567119155352</v>
      </c>
      <c r="F156" s="38">
        <f>55.25*0.002</f>
        <v>0.1105</v>
      </c>
      <c r="G156" s="38">
        <f>14486482.34*0.002</f>
        <v>28972.964680000001</v>
      </c>
      <c r="H156" s="38">
        <f>G156*1.302</f>
        <v>37722.80001336</v>
      </c>
      <c r="I156" s="46">
        <v>1</v>
      </c>
      <c r="J156" s="38">
        <f>H156/I156</f>
        <v>37722.80001336</v>
      </c>
      <c r="K156" s="63">
        <f>H156/(8696900+23460820)*100</f>
        <v>0.11730558016351907</v>
      </c>
      <c r="L156" s="154"/>
      <c r="M156" s="16"/>
    </row>
    <row r="157" spans="1:13" ht="15" hidden="1" thickBot="1">
      <c r="A157" s="262"/>
      <c r="B157" s="263"/>
      <c r="C157" s="263"/>
      <c r="D157" s="263"/>
      <c r="E157" s="38">
        <v>17865.98</v>
      </c>
      <c r="F157" s="64">
        <v>4</v>
      </c>
      <c r="G157" s="46"/>
      <c r="H157" s="39">
        <f>H39</f>
        <v>0</v>
      </c>
      <c r="I157" s="38" t="e">
        <f t="shared" ref="I157:I178" si="11">F157/G157*H157</f>
        <v>#DIV/0!</v>
      </c>
      <c r="J157" s="38">
        <f t="shared" ref="J157:J178" si="12">E157*F157*12*1.302</f>
        <v>1116552.28608</v>
      </c>
      <c r="K157" s="65" t="s">
        <v>38</v>
      </c>
      <c r="L157" s="155"/>
      <c r="M157" s="32" t="e">
        <f t="shared" ref="M157:M181" si="13">I157*J157</f>
        <v>#DIV/0!</v>
      </c>
    </row>
    <row r="158" spans="1:13" ht="15" hidden="1" thickBot="1">
      <c r="A158" s="293"/>
      <c r="B158" s="293"/>
      <c r="C158" s="293"/>
      <c r="D158" s="293"/>
      <c r="E158" s="38">
        <v>9544</v>
      </c>
      <c r="F158" s="64">
        <v>1</v>
      </c>
      <c r="G158" s="46"/>
      <c r="H158" s="39">
        <f>H39</f>
        <v>0</v>
      </c>
      <c r="I158" s="38" t="e">
        <f t="shared" si="11"/>
        <v>#DIV/0!</v>
      </c>
      <c r="J158" s="38">
        <f t="shared" si="12"/>
        <v>149115.45600000001</v>
      </c>
      <c r="K158" s="39">
        <f>H158/11277167.39*100</f>
        <v>0</v>
      </c>
      <c r="L158" s="39"/>
      <c r="M158" s="15" t="e">
        <f t="shared" si="13"/>
        <v>#DIV/0!</v>
      </c>
    </row>
    <row r="159" spans="1:13" ht="15" hidden="1" customHeight="1">
      <c r="A159" s="274"/>
      <c r="B159" s="275"/>
      <c r="C159" s="275"/>
      <c r="D159" s="275"/>
      <c r="E159" s="38">
        <v>11560</v>
      </c>
      <c r="F159" s="64">
        <v>1</v>
      </c>
      <c r="G159" s="46"/>
      <c r="H159" s="39">
        <f>H39</f>
        <v>0</v>
      </c>
      <c r="I159" s="38" t="e">
        <f t="shared" si="11"/>
        <v>#DIV/0!</v>
      </c>
      <c r="J159" s="38">
        <f t="shared" si="12"/>
        <v>180613.44</v>
      </c>
      <c r="K159" s="30"/>
      <c r="L159" s="30"/>
      <c r="M159" s="15" t="e">
        <f t="shared" si="13"/>
        <v>#DIV/0!</v>
      </c>
    </row>
    <row r="160" spans="1:13" ht="15" hidden="1" thickBot="1">
      <c r="A160" s="236"/>
      <c r="B160" s="236"/>
      <c r="C160" s="236"/>
      <c r="D160" s="236"/>
      <c r="E160" s="38">
        <v>9544</v>
      </c>
      <c r="F160" s="66">
        <v>0.5</v>
      </c>
      <c r="G160" s="46"/>
      <c r="H160" s="39">
        <f>H39</f>
        <v>0</v>
      </c>
      <c r="I160" s="38" t="e">
        <f t="shared" si="11"/>
        <v>#DIV/0!</v>
      </c>
      <c r="J160" s="38">
        <f t="shared" si="12"/>
        <v>74557.728000000003</v>
      </c>
      <c r="K160" s="30"/>
      <c r="L160" s="30"/>
      <c r="M160" s="15" t="e">
        <f t="shared" si="13"/>
        <v>#DIV/0!</v>
      </c>
    </row>
    <row r="161" spans="1:13" ht="15" hidden="1" thickBot="1">
      <c r="A161" s="236"/>
      <c r="B161" s="236"/>
      <c r="C161" s="236"/>
      <c r="D161" s="236"/>
      <c r="E161" s="38">
        <v>9544</v>
      </c>
      <c r="F161" s="64">
        <v>1</v>
      </c>
      <c r="G161" s="46"/>
      <c r="H161" s="39">
        <f>H39</f>
        <v>0</v>
      </c>
      <c r="I161" s="38" t="e">
        <f t="shared" si="11"/>
        <v>#DIV/0!</v>
      </c>
      <c r="J161" s="38">
        <f t="shared" si="12"/>
        <v>149115.45600000001</v>
      </c>
      <c r="K161" s="38"/>
      <c r="L161" s="38"/>
      <c r="M161" s="15" t="e">
        <f t="shared" si="13"/>
        <v>#DIV/0!</v>
      </c>
    </row>
    <row r="162" spans="1:13" ht="14.25" hidden="1" customHeight="1">
      <c r="A162" s="236"/>
      <c r="B162" s="236"/>
      <c r="C162" s="236"/>
      <c r="D162" s="236"/>
      <c r="E162" s="38">
        <v>9544</v>
      </c>
      <c r="F162" s="64">
        <v>1</v>
      </c>
      <c r="G162" s="46"/>
      <c r="H162" s="39">
        <f>H39</f>
        <v>0</v>
      </c>
      <c r="I162" s="38" t="e">
        <f t="shared" si="11"/>
        <v>#DIV/0!</v>
      </c>
      <c r="J162" s="38">
        <f t="shared" si="12"/>
        <v>149115.45600000001</v>
      </c>
      <c r="K162" s="47"/>
      <c r="L162" s="47"/>
      <c r="M162" s="15" t="e">
        <f t="shared" si="13"/>
        <v>#DIV/0!</v>
      </c>
    </row>
    <row r="163" spans="1:13" ht="15" hidden="1" thickBot="1">
      <c r="A163" s="212"/>
      <c r="B163" s="213"/>
      <c r="C163" s="213"/>
      <c r="D163" s="213"/>
      <c r="E163" s="38">
        <v>9544</v>
      </c>
      <c r="F163" s="38"/>
      <c r="G163" s="46"/>
      <c r="H163" s="39">
        <f>H39</f>
        <v>0</v>
      </c>
      <c r="I163" s="38" t="e">
        <f t="shared" si="11"/>
        <v>#DIV/0!</v>
      </c>
      <c r="J163" s="38">
        <f t="shared" si="12"/>
        <v>0</v>
      </c>
      <c r="K163" s="47"/>
      <c r="L163" s="47"/>
      <c r="M163" s="15" t="e">
        <f t="shared" si="13"/>
        <v>#DIV/0!</v>
      </c>
    </row>
    <row r="164" spans="1:13" ht="15" hidden="1" thickBot="1">
      <c r="A164" s="212"/>
      <c r="B164" s="213"/>
      <c r="C164" s="213"/>
      <c r="D164" s="213"/>
      <c r="E164" s="38">
        <v>9544</v>
      </c>
      <c r="F164" s="67">
        <v>0.25</v>
      </c>
      <c r="G164" s="46"/>
      <c r="H164" s="39">
        <f>H39</f>
        <v>0</v>
      </c>
      <c r="I164" s="38" t="e">
        <f t="shared" si="11"/>
        <v>#DIV/0!</v>
      </c>
      <c r="J164" s="38">
        <f t="shared" si="12"/>
        <v>37278.864000000001</v>
      </c>
      <c r="K164" s="47"/>
      <c r="L164" s="47"/>
      <c r="M164" s="15" t="e">
        <f t="shared" si="13"/>
        <v>#DIV/0!</v>
      </c>
    </row>
    <row r="165" spans="1:13" ht="15" hidden="1" thickBot="1">
      <c r="A165" s="212"/>
      <c r="B165" s="213"/>
      <c r="C165" s="213"/>
      <c r="D165" s="213"/>
      <c r="E165" s="38">
        <v>9544</v>
      </c>
      <c r="F165" s="38"/>
      <c r="G165" s="46"/>
      <c r="H165" s="39">
        <f>H39</f>
        <v>0</v>
      </c>
      <c r="I165" s="38" t="e">
        <f t="shared" si="11"/>
        <v>#DIV/0!</v>
      </c>
      <c r="J165" s="38">
        <f t="shared" si="12"/>
        <v>0</v>
      </c>
      <c r="K165" s="47"/>
      <c r="L165" s="47"/>
      <c r="M165" s="15" t="e">
        <f t="shared" si="13"/>
        <v>#DIV/0!</v>
      </c>
    </row>
    <row r="166" spans="1:13" ht="15" hidden="1" thickBot="1">
      <c r="A166" s="212"/>
      <c r="B166" s="213"/>
      <c r="C166" s="213"/>
      <c r="D166" s="213"/>
      <c r="E166" s="38">
        <v>9544</v>
      </c>
      <c r="F166" s="66">
        <v>0.5</v>
      </c>
      <c r="G166" s="46"/>
      <c r="H166" s="39">
        <f>H39</f>
        <v>0</v>
      </c>
      <c r="I166" s="38" t="e">
        <f t="shared" si="11"/>
        <v>#DIV/0!</v>
      </c>
      <c r="J166" s="38">
        <f t="shared" si="12"/>
        <v>74557.728000000003</v>
      </c>
      <c r="K166" s="47"/>
      <c r="L166" s="47"/>
      <c r="M166" s="15" t="e">
        <f t="shared" si="13"/>
        <v>#DIV/0!</v>
      </c>
    </row>
    <row r="167" spans="1:13" ht="15.75" hidden="1" customHeight="1" thickBot="1">
      <c r="A167" s="212"/>
      <c r="B167" s="213"/>
      <c r="C167" s="213"/>
      <c r="D167" s="213"/>
      <c r="E167" s="38">
        <v>9544</v>
      </c>
      <c r="F167" s="64">
        <v>1</v>
      </c>
      <c r="G167" s="46"/>
      <c r="H167" s="39">
        <f>H39</f>
        <v>0</v>
      </c>
      <c r="I167" s="38" t="e">
        <f t="shared" si="11"/>
        <v>#DIV/0!</v>
      </c>
      <c r="J167" s="38">
        <f t="shared" si="12"/>
        <v>149115.45600000001</v>
      </c>
      <c r="K167" s="47"/>
      <c r="L167" s="47"/>
      <c r="M167" s="15" t="e">
        <f t="shared" si="13"/>
        <v>#DIV/0!</v>
      </c>
    </row>
    <row r="168" spans="1:13" ht="15" hidden="1" customHeigh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H39</f>
        <v>0</v>
      </c>
      <c r="I168" s="38" t="e">
        <f t="shared" si="11"/>
        <v>#DIV/0!</v>
      </c>
      <c r="J168" s="38">
        <f t="shared" si="12"/>
        <v>149115.45600000001</v>
      </c>
      <c r="K168" s="47"/>
      <c r="L168" s="47"/>
      <c r="M168" s="15" t="e">
        <f t="shared" si="13"/>
        <v>#DIV/0!</v>
      </c>
    </row>
    <row r="169" spans="1:13" ht="15" hidden="1" customHeight="1" thickBot="1">
      <c r="A169" s="236"/>
      <c r="B169" s="236"/>
      <c r="C169" s="236"/>
      <c r="D169" s="236"/>
      <c r="E169" s="38">
        <v>9544</v>
      </c>
      <c r="F169" s="66">
        <v>5.5</v>
      </c>
      <c r="G169" s="46"/>
      <c r="H169" s="39">
        <f>H39</f>
        <v>0</v>
      </c>
      <c r="I169" s="38" t="e">
        <f t="shared" si="11"/>
        <v>#DIV/0!</v>
      </c>
      <c r="J169" s="38">
        <f t="shared" si="12"/>
        <v>820135.00800000003</v>
      </c>
      <c r="K169" s="47"/>
      <c r="L169" s="47"/>
      <c r="M169" s="15" t="e">
        <f t="shared" si="13"/>
        <v>#DIV/0!</v>
      </c>
    </row>
    <row r="170" spans="1:13" ht="15" hidden="1" customHeight="1">
      <c r="A170" s="236"/>
      <c r="B170" s="236"/>
      <c r="C170" s="236"/>
      <c r="D170" s="236"/>
      <c r="E170" s="38">
        <v>9544</v>
      </c>
      <c r="F170" s="64">
        <v>1</v>
      </c>
      <c r="G170" s="46"/>
      <c r="H170" s="39">
        <f>H39</f>
        <v>0</v>
      </c>
      <c r="I170" s="38" t="e">
        <f t="shared" si="11"/>
        <v>#DIV/0!</v>
      </c>
      <c r="J170" s="38">
        <f t="shared" si="12"/>
        <v>149115.45600000001</v>
      </c>
      <c r="K170" s="47"/>
      <c r="L170" s="47"/>
      <c r="M170" s="15" t="e">
        <f t="shared" si="13"/>
        <v>#DIV/0!</v>
      </c>
    </row>
    <row r="171" spans="1:13" ht="15" hidden="1" customHeight="1">
      <c r="A171" s="236"/>
      <c r="B171" s="236"/>
      <c r="C171" s="236"/>
      <c r="D171" s="236"/>
      <c r="E171" s="38">
        <v>9544</v>
      </c>
      <c r="F171" s="66">
        <v>0.5</v>
      </c>
      <c r="G171" s="46"/>
      <c r="H171" s="39">
        <f>H39</f>
        <v>0</v>
      </c>
      <c r="I171" s="38" t="e">
        <f t="shared" si="11"/>
        <v>#DIV/0!</v>
      </c>
      <c r="J171" s="38">
        <f t="shared" si="12"/>
        <v>74557.728000000003</v>
      </c>
      <c r="K171" s="47"/>
      <c r="L171" s="47"/>
      <c r="M171" s="15" t="e">
        <f t="shared" si="13"/>
        <v>#DIV/0!</v>
      </c>
    </row>
    <row r="172" spans="1:13" ht="15" hidden="1" customHeight="1">
      <c r="A172" s="236"/>
      <c r="B172" s="236"/>
      <c r="C172" s="236"/>
      <c r="D172" s="236"/>
      <c r="E172" s="38">
        <v>9544</v>
      </c>
      <c r="F172" s="66">
        <v>0.5</v>
      </c>
      <c r="G172" s="46"/>
      <c r="H172" s="39">
        <f>H39</f>
        <v>0</v>
      </c>
      <c r="I172" s="38" t="e">
        <f t="shared" si="11"/>
        <v>#DIV/0!</v>
      </c>
      <c r="J172" s="38">
        <f t="shared" si="12"/>
        <v>74557.728000000003</v>
      </c>
      <c r="K172" s="47"/>
      <c r="L172" s="47"/>
      <c r="M172" s="15" t="e">
        <f t="shared" si="13"/>
        <v>#DIV/0!</v>
      </c>
    </row>
    <row r="173" spans="1:13" ht="15" hidden="1" thickBot="1">
      <c r="A173" s="236"/>
      <c r="B173" s="236"/>
      <c r="C173" s="236"/>
      <c r="D173" s="236"/>
      <c r="E173" s="38">
        <v>9544</v>
      </c>
      <c r="F173" s="64">
        <v>1</v>
      </c>
      <c r="G173" s="46"/>
      <c r="H173" s="39">
        <f>H39</f>
        <v>0</v>
      </c>
      <c r="I173" s="38" t="e">
        <f t="shared" si="11"/>
        <v>#DIV/0!</v>
      </c>
      <c r="J173" s="38">
        <f t="shared" si="12"/>
        <v>149115.45600000001</v>
      </c>
      <c r="K173" s="47"/>
      <c r="L173" s="47"/>
      <c r="M173" s="15" t="e">
        <f t="shared" si="13"/>
        <v>#DIV/0!</v>
      </c>
    </row>
    <row r="174" spans="1:13" ht="15.75" hidden="1" customHeight="1">
      <c r="A174" s="236"/>
      <c r="B174" s="236"/>
      <c r="C174" s="236"/>
      <c r="D174" s="236"/>
      <c r="E174" s="38">
        <v>9544</v>
      </c>
      <c r="F174" s="64">
        <v>4</v>
      </c>
      <c r="G174" s="46"/>
      <c r="H174" s="39">
        <f>H39</f>
        <v>0</v>
      </c>
      <c r="I174" s="38" t="e">
        <f t="shared" si="11"/>
        <v>#DIV/0!</v>
      </c>
      <c r="J174" s="38">
        <f t="shared" si="12"/>
        <v>596461.82400000002</v>
      </c>
      <c r="K174" s="47"/>
      <c r="L174" s="47"/>
      <c r="M174" s="15" t="e">
        <f t="shared" si="13"/>
        <v>#DIV/0!</v>
      </c>
    </row>
    <row r="175" spans="1:13" ht="16.5" hidden="1" customHeight="1">
      <c r="A175" s="212"/>
      <c r="B175" s="213"/>
      <c r="C175" s="213"/>
      <c r="D175" s="213"/>
      <c r="E175" s="38">
        <v>9544</v>
      </c>
      <c r="F175" s="64">
        <v>1</v>
      </c>
      <c r="G175" s="46"/>
      <c r="H175" s="39">
        <f>H39</f>
        <v>0</v>
      </c>
      <c r="I175" s="38" t="e">
        <f t="shared" si="11"/>
        <v>#DIV/0!</v>
      </c>
      <c r="J175" s="38">
        <f t="shared" si="12"/>
        <v>149115.45600000001</v>
      </c>
      <c r="K175" s="47"/>
      <c r="L175" s="47"/>
      <c r="M175" s="15" t="e">
        <f t="shared" si="13"/>
        <v>#DIV/0!</v>
      </c>
    </row>
    <row r="176" spans="1:13" ht="16.5" hidden="1" customHeight="1" thickBot="1">
      <c r="A176" s="212"/>
      <c r="B176" s="213"/>
      <c r="C176" s="213"/>
      <c r="D176" s="213"/>
      <c r="E176" s="38">
        <v>9544</v>
      </c>
      <c r="F176" s="67">
        <v>1.75</v>
      </c>
      <c r="G176" s="46"/>
      <c r="H176" s="39">
        <f>H39</f>
        <v>0</v>
      </c>
      <c r="I176" s="38" t="e">
        <f t="shared" si="11"/>
        <v>#DIV/0!</v>
      </c>
      <c r="J176" s="38">
        <f t="shared" si="12"/>
        <v>260952.04800000001</v>
      </c>
      <c r="K176" s="47"/>
      <c r="L176" s="47"/>
      <c r="M176" s="15" t="e">
        <f t="shared" si="13"/>
        <v>#DIV/0!</v>
      </c>
    </row>
    <row r="177" spans="1:13" ht="16.5" hidden="1" customHeight="1" thickBot="1">
      <c r="A177" s="212"/>
      <c r="B177" s="213"/>
      <c r="C177" s="213"/>
      <c r="D177" s="213"/>
      <c r="E177" s="38">
        <v>9544</v>
      </c>
      <c r="F177" s="39"/>
      <c r="G177" s="46"/>
      <c r="H177" s="39">
        <f>H39</f>
        <v>0</v>
      </c>
      <c r="I177" s="38" t="e">
        <f t="shared" si="11"/>
        <v>#DIV/0!</v>
      </c>
      <c r="J177" s="38">
        <f t="shared" si="12"/>
        <v>0</v>
      </c>
      <c r="K177" s="47"/>
      <c r="L177" s="47"/>
      <c r="M177" s="15" t="e">
        <f t="shared" si="13"/>
        <v>#DIV/0!</v>
      </c>
    </row>
    <row r="178" spans="1:13" ht="16.5" hidden="1" customHeight="1" thickBot="1">
      <c r="A178" s="212"/>
      <c r="B178" s="213"/>
      <c r="C178" s="213"/>
      <c r="D178" s="213"/>
      <c r="E178" s="38">
        <v>9544</v>
      </c>
      <c r="F178" s="66">
        <v>0.5</v>
      </c>
      <c r="G178" s="46"/>
      <c r="H178" s="39">
        <f>H39</f>
        <v>0</v>
      </c>
      <c r="I178" s="38" t="e">
        <f t="shared" si="11"/>
        <v>#DIV/0!</v>
      </c>
      <c r="J178" s="38">
        <f t="shared" si="12"/>
        <v>74557.728000000003</v>
      </c>
      <c r="K178" s="47"/>
      <c r="L178" s="47"/>
      <c r="M178" s="15" t="e">
        <f t="shared" si="13"/>
        <v>#DIV/0!</v>
      </c>
    </row>
    <row r="179" spans="1:13" ht="15" hidden="1" customHeight="1" thickBot="1">
      <c r="A179" s="212"/>
      <c r="B179" s="213"/>
      <c r="C179" s="213"/>
      <c r="D179" s="213"/>
      <c r="E179" s="38"/>
      <c r="F179" s="38"/>
      <c r="G179" s="38"/>
      <c r="H179" s="38"/>
      <c r="I179" s="38"/>
      <c r="J179" s="38"/>
      <c r="K179" s="47"/>
      <c r="L179" s="47"/>
      <c r="M179" s="15">
        <f t="shared" si="13"/>
        <v>0</v>
      </c>
    </row>
    <row r="180" spans="1:13" ht="15.75" hidden="1" customHeight="1" thickBot="1">
      <c r="A180" s="212"/>
      <c r="B180" s="213"/>
      <c r="C180" s="213"/>
      <c r="D180" s="213"/>
      <c r="E180" s="38"/>
      <c r="F180" s="38"/>
      <c r="G180" s="38"/>
      <c r="H180" s="38"/>
      <c r="I180" s="38"/>
      <c r="J180" s="38"/>
      <c r="K180" s="47"/>
      <c r="L180" s="47"/>
      <c r="M180" s="15">
        <f t="shared" si="13"/>
        <v>0</v>
      </c>
    </row>
    <row r="181" spans="1:13" ht="14.25" hidden="1" customHeight="1" thickBot="1">
      <c r="A181" s="212"/>
      <c r="B181" s="213"/>
      <c r="C181" s="213"/>
      <c r="D181" s="213"/>
      <c r="E181" s="38"/>
      <c r="F181" s="38"/>
      <c r="G181" s="38"/>
      <c r="H181" s="38"/>
      <c r="I181" s="46">
        <v>105</v>
      </c>
      <c r="J181" s="48">
        <f>H181/I181</f>
        <v>0</v>
      </c>
      <c r="K181" s="47"/>
      <c r="L181" s="47"/>
      <c r="M181" s="31">
        <f t="shared" si="13"/>
        <v>0</v>
      </c>
    </row>
    <row r="182" spans="1:13" ht="15" thickBot="1">
      <c r="A182" s="216" t="s">
        <v>47</v>
      </c>
      <c r="B182" s="216"/>
      <c r="C182" s="216"/>
      <c r="D182" s="216"/>
      <c r="E182" s="68"/>
      <c r="F182" s="108"/>
      <c r="G182" s="108"/>
      <c r="H182" s="73">
        <f>H156</f>
        <v>37722.80001336</v>
      </c>
      <c r="I182" s="49"/>
      <c r="J182" s="69">
        <f>J156</f>
        <v>37722.80001336</v>
      </c>
      <c r="K182" s="47"/>
      <c r="L182" s="47"/>
      <c r="M182" s="16"/>
    </row>
    <row r="183" spans="1:13">
      <c r="A183" s="11"/>
      <c r="B183" s="11"/>
      <c r="C183" s="11"/>
      <c r="D183" s="11"/>
      <c r="E183" s="11"/>
      <c r="F183" s="11"/>
      <c r="G183" s="11"/>
      <c r="H183" s="13"/>
      <c r="I183" s="13"/>
      <c r="J183" s="13"/>
      <c r="K183" s="11"/>
      <c r="L183" s="11"/>
      <c r="M183" s="11"/>
    </row>
    <row r="184" spans="1:13">
      <c r="A184" s="208" t="s">
        <v>61</v>
      </c>
      <c r="B184" s="208"/>
      <c r="C184" s="208"/>
      <c r="D184" s="208"/>
      <c r="E184" s="208"/>
      <c r="F184" s="208"/>
      <c r="G184" s="208"/>
      <c r="H184" s="208"/>
      <c r="I184" s="208"/>
      <c r="J184" s="208"/>
      <c r="K184" s="208"/>
      <c r="L184" s="148"/>
      <c r="M184" s="11"/>
    </row>
    <row r="185" spans="1:13" ht="69.599999999999994">
      <c r="A185" s="214" t="s">
        <v>62</v>
      </c>
      <c r="B185" s="215"/>
      <c r="C185" s="215"/>
      <c r="D185" s="284"/>
      <c r="E185" s="107" t="s">
        <v>7</v>
      </c>
      <c r="F185" s="107" t="s">
        <v>55</v>
      </c>
      <c r="G185" s="107" t="s">
        <v>42</v>
      </c>
      <c r="H185" s="107" t="s">
        <v>48</v>
      </c>
      <c r="I185" s="9" t="s">
        <v>63</v>
      </c>
      <c r="J185" s="9" t="s">
        <v>69</v>
      </c>
      <c r="K185" s="40"/>
      <c r="L185" s="28"/>
      <c r="M185" s="11"/>
    </row>
    <row r="186" spans="1:13" ht="36.75" customHeight="1">
      <c r="A186" s="212" t="s">
        <v>133</v>
      </c>
      <c r="B186" s="213"/>
      <c r="C186" s="213"/>
      <c r="D186" s="219"/>
      <c r="E186" s="107"/>
      <c r="F186" s="107"/>
      <c r="G186" s="107"/>
      <c r="H186" s="100">
        <f>300000*0.002</f>
        <v>600</v>
      </c>
      <c r="I186" s="46">
        <v>1</v>
      </c>
      <c r="J186" s="104">
        <f>H186/I186</f>
        <v>600</v>
      </c>
      <c r="K186" s="40"/>
      <c r="L186" s="28"/>
      <c r="M186" s="11"/>
    </row>
    <row r="187" spans="1:13" ht="34.5" customHeight="1" thickBot="1">
      <c r="A187" s="212" t="s">
        <v>134</v>
      </c>
      <c r="B187" s="213"/>
      <c r="C187" s="213"/>
      <c r="D187" s="219"/>
      <c r="E187" s="107"/>
      <c r="F187" s="107"/>
      <c r="G187" s="107"/>
      <c r="H187" s="100">
        <f>140000*0.002</f>
        <v>280</v>
      </c>
      <c r="I187" s="46">
        <v>1</v>
      </c>
      <c r="J187" s="104">
        <f t="shared" ref="J187" si="14">H187/I187</f>
        <v>280</v>
      </c>
      <c r="K187" s="40"/>
      <c r="L187" s="28"/>
      <c r="M187" s="11"/>
    </row>
    <row r="188" spans="1:13" ht="15" thickBot="1">
      <c r="A188" s="285" t="s">
        <v>57</v>
      </c>
      <c r="B188" s="286"/>
      <c r="C188" s="286"/>
      <c r="D188" s="286"/>
      <c r="E188" s="286"/>
      <c r="F188" s="286"/>
      <c r="G188" s="287"/>
      <c r="H188" s="62">
        <f>H187+H186</f>
        <v>880</v>
      </c>
      <c r="I188" s="58"/>
      <c r="J188" s="33">
        <f>SUM(J186:J187)</f>
        <v>880</v>
      </c>
      <c r="K188" s="11"/>
      <c r="L188" s="11"/>
      <c r="M188" s="11"/>
    </row>
    <row r="189" spans="1:13" ht="7.5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69.599999999999994">
      <c r="A190" s="214" t="s">
        <v>62</v>
      </c>
      <c r="B190" s="215"/>
      <c r="C190" s="215"/>
      <c r="D190" s="284"/>
      <c r="E190" s="107" t="s">
        <v>135</v>
      </c>
      <c r="F190" s="107" t="s">
        <v>55</v>
      </c>
      <c r="G190" s="107" t="s">
        <v>42</v>
      </c>
      <c r="H190" s="107" t="s">
        <v>48</v>
      </c>
      <c r="I190" s="9" t="s">
        <v>63</v>
      </c>
      <c r="J190" s="9" t="s">
        <v>69</v>
      </c>
      <c r="K190" s="40"/>
      <c r="L190" s="28"/>
      <c r="M190" s="11"/>
    </row>
    <row r="191" spans="1:13">
      <c r="A191" s="212" t="s">
        <v>81</v>
      </c>
      <c r="B191" s="213"/>
      <c r="C191" s="213"/>
      <c r="D191" s="219"/>
      <c r="E191" s="107">
        <v>120</v>
      </c>
      <c r="F191" s="107"/>
      <c r="G191" s="107"/>
      <c r="H191" s="100">
        <f>129600*0.002</f>
        <v>259.2</v>
      </c>
      <c r="I191" s="46">
        <v>1</v>
      </c>
      <c r="J191" s="104">
        <f>H191/I191</f>
        <v>259.2</v>
      </c>
      <c r="K191" s="40"/>
      <c r="L191" s="28"/>
      <c r="M191" s="11"/>
    </row>
    <row r="192" spans="1:13">
      <c r="A192" s="212" t="s">
        <v>82</v>
      </c>
      <c r="B192" s="213"/>
      <c r="C192" s="213"/>
      <c r="D192" s="219"/>
      <c r="E192" s="107">
        <v>640</v>
      </c>
      <c r="F192" s="107"/>
      <c r="G192" s="107"/>
      <c r="H192" s="100">
        <f>10800*0.002</f>
        <v>21.6</v>
      </c>
      <c r="I192" s="46">
        <v>1</v>
      </c>
      <c r="J192" s="104">
        <f t="shared" ref="J192:J193" si="15">H192/I192</f>
        <v>21.6</v>
      </c>
      <c r="K192" s="40"/>
      <c r="L192" s="28"/>
      <c r="M192" s="11"/>
    </row>
    <row r="193" spans="1:16" ht="18" customHeight="1" thickBot="1">
      <c r="A193" s="212" t="s">
        <v>83</v>
      </c>
      <c r="B193" s="213"/>
      <c r="C193" s="213"/>
      <c r="D193" s="219"/>
      <c r="E193" s="107">
        <v>200</v>
      </c>
      <c r="F193" s="107"/>
      <c r="G193" s="107"/>
      <c r="H193" s="100">
        <f>15000*0.002</f>
        <v>30</v>
      </c>
      <c r="I193" s="46">
        <v>1</v>
      </c>
      <c r="J193" s="104">
        <f t="shared" si="15"/>
        <v>30</v>
      </c>
      <c r="K193" s="40"/>
      <c r="L193" s="28"/>
      <c r="M193" s="11"/>
    </row>
    <row r="194" spans="1:16" ht="15" thickBot="1">
      <c r="A194" s="285" t="s">
        <v>57</v>
      </c>
      <c r="B194" s="286"/>
      <c r="C194" s="286"/>
      <c r="D194" s="286"/>
      <c r="E194" s="286"/>
      <c r="F194" s="286"/>
      <c r="G194" s="287"/>
      <c r="H194" s="62">
        <f>SUM(H191:H193)</f>
        <v>310.8</v>
      </c>
      <c r="I194" s="58"/>
      <c r="J194" s="33">
        <f>SUM(J191:J193)</f>
        <v>310.8</v>
      </c>
      <c r="K194" s="11"/>
      <c r="L194" s="11"/>
      <c r="M194" s="11"/>
    </row>
    <row r="195" spans="1:16" ht="7.5" customHeight="1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  <c r="L195" s="13"/>
      <c r="M195" s="13"/>
    </row>
    <row r="196" spans="1:16" ht="7.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6">
      <c r="A197" s="230" t="s">
        <v>29</v>
      </c>
      <c r="B197" s="230"/>
      <c r="C197" s="230"/>
      <c r="D197" s="230"/>
      <c r="E197" s="230"/>
      <c r="F197" s="230"/>
      <c r="G197" s="230"/>
      <c r="H197" s="230"/>
      <c r="I197" s="230"/>
      <c r="J197" s="230"/>
      <c r="K197" s="230"/>
      <c r="L197" s="230"/>
      <c r="M197" s="230"/>
    </row>
    <row r="198" spans="1:16" ht="61.5" customHeight="1">
      <c r="A198" s="290" t="s">
        <v>30</v>
      </c>
      <c r="B198" s="291"/>
      <c r="C198" s="292"/>
      <c r="D198" s="214" t="s">
        <v>31</v>
      </c>
      <c r="E198" s="288"/>
      <c r="F198" s="288"/>
      <c r="G198" s="288"/>
      <c r="H198" s="288"/>
      <c r="I198" s="288"/>
      <c r="J198" s="289"/>
      <c r="K198" s="282" t="s">
        <v>35</v>
      </c>
      <c r="L198" s="156"/>
    </row>
    <row r="199" spans="1:16" ht="24" customHeight="1">
      <c r="A199" s="10" t="s">
        <v>32</v>
      </c>
      <c r="B199" s="125" t="s">
        <v>33</v>
      </c>
      <c r="C199" s="10" t="s">
        <v>34</v>
      </c>
      <c r="D199" s="9" t="s">
        <v>141</v>
      </c>
      <c r="E199" s="9" t="s">
        <v>142</v>
      </c>
      <c r="F199" s="9" t="s">
        <v>143</v>
      </c>
      <c r="G199" s="9" t="s">
        <v>144</v>
      </c>
      <c r="H199" s="9" t="s">
        <v>145</v>
      </c>
      <c r="I199" s="35" t="s">
        <v>146</v>
      </c>
      <c r="J199" s="121" t="s">
        <v>144</v>
      </c>
      <c r="K199" s="283"/>
      <c r="L199" s="156"/>
    </row>
    <row r="200" spans="1:16" ht="15" thickBot="1">
      <c r="A200" s="15">
        <f>J151</f>
        <v>18288.0000009</v>
      </c>
      <c r="B200" s="15"/>
      <c r="C200" s="15"/>
      <c r="D200" s="15">
        <f>J72</f>
        <v>172.28</v>
      </c>
      <c r="E200" s="15">
        <f>J81</f>
        <v>4790.3999999999996</v>
      </c>
      <c r="F200" s="15">
        <f>I96</f>
        <v>953.2</v>
      </c>
      <c r="G200" s="15">
        <f>I111</f>
        <v>615.72</v>
      </c>
      <c r="H200" s="15">
        <f>H120</f>
        <v>20</v>
      </c>
      <c r="I200" s="106">
        <f>J182</f>
        <v>37722.80001336</v>
      </c>
      <c r="J200" s="105">
        <f>J188+J194</f>
        <v>1190.8</v>
      </c>
      <c r="K200" s="105">
        <f>SUM(D200:J200)+A200</f>
        <v>63753.200014260001</v>
      </c>
      <c r="L200" s="157"/>
    </row>
    <row r="201" spans="1:16" ht="15" thickBo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P201" s="101">
        <f>K200*1</f>
        <v>63753.200014260001</v>
      </c>
    </row>
    <row r="202" spans="1:16" ht="15" thickBot="1">
      <c r="A202" s="14" t="s">
        <v>64</v>
      </c>
      <c r="B202" s="14"/>
      <c r="C202" s="14"/>
      <c r="D202" s="11"/>
      <c r="E202" s="11"/>
      <c r="F202" s="11"/>
      <c r="G202" s="11"/>
      <c r="H202" s="11"/>
      <c r="I202" s="11"/>
      <c r="J202" s="72">
        <f>H72+H81+G96+G111+F120+H151+H182+H188+H194</f>
        <v>63753.200014260001</v>
      </c>
      <c r="K202" s="11"/>
      <c r="L202" s="11"/>
      <c r="M202" s="11"/>
    </row>
    <row r="203" spans="1:16" ht="8.25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6" ht="6.75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6" ht="18">
      <c r="A205" s="3" t="s">
        <v>136</v>
      </c>
      <c r="B205" s="3"/>
      <c r="C205" s="3"/>
      <c r="I205" s="3" t="s">
        <v>137</v>
      </c>
    </row>
    <row r="206" spans="1:16" ht="6.75" customHeight="1"/>
    <row r="207" spans="1:16" ht="11.25" customHeight="1">
      <c r="A207" s="118" t="s">
        <v>43</v>
      </c>
      <c r="B207" s="7"/>
    </row>
    <row r="208" spans="1:16" ht="11.25" customHeight="1">
      <c r="A208" s="118" t="s">
        <v>84</v>
      </c>
      <c r="B208" s="7"/>
    </row>
    <row r="209" spans="1:3" ht="11.25" customHeight="1">
      <c r="A209" s="118" t="s">
        <v>85</v>
      </c>
      <c r="C209" s="7"/>
    </row>
    <row r="210" spans="1:3" ht="15.6">
      <c r="A210" s="2"/>
      <c r="B210" s="2"/>
      <c r="C210" s="2"/>
    </row>
  </sheetData>
  <mergeCells count="201">
    <mergeCell ref="A153:M153"/>
    <mergeCell ref="A170:D170"/>
    <mergeCell ref="A171:D171"/>
    <mergeCell ref="A172:D172"/>
    <mergeCell ref="A173:D173"/>
    <mergeCell ref="A164:D164"/>
    <mergeCell ref="A165:D165"/>
    <mergeCell ref="A166:D166"/>
    <mergeCell ref="A167:D167"/>
    <mergeCell ref="A158:D158"/>
    <mergeCell ref="A159:D159"/>
    <mergeCell ref="A160:D160"/>
    <mergeCell ref="A161:D161"/>
    <mergeCell ref="A162:D162"/>
    <mergeCell ref="A163:D163"/>
    <mergeCell ref="A154:D154"/>
    <mergeCell ref="A155:D155"/>
    <mergeCell ref="A156:D156"/>
    <mergeCell ref="A157:D157"/>
    <mergeCell ref="A168:D168"/>
    <mergeCell ref="A169:D169"/>
    <mergeCell ref="A197:M197"/>
    <mergeCell ref="A198:C198"/>
    <mergeCell ref="K198:K199"/>
    <mergeCell ref="A187:D187"/>
    <mergeCell ref="A194:G194"/>
    <mergeCell ref="A184:K184"/>
    <mergeCell ref="A185:D185"/>
    <mergeCell ref="A186:D186"/>
    <mergeCell ref="A191:D191"/>
    <mergeCell ref="A192:D192"/>
    <mergeCell ref="D198:J198"/>
    <mergeCell ref="A193:D193"/>
    <mergeCell ref="A181:D181"/>
    <mergeCell ref="A182:D182"/>
    <mergeCell ref="A174:D174"/>
    <mergeCell ref="A175:D175"/>
    <mergeCell ref="A176:D176"/>
    <mergeCell ref="A177:D177"/>
    <mergeCell ref="A178:D178"/>
    <mergeCell ref="A188:G188"/>
    <mergeCell ref="A190:D190"/>
    <mergeCell ref="A179:D179"/>
    <mergeCell ref="A180:D180"/>
    <mergeCell ref="A149:D149"/>
    <mergeCell ref="A150:D150"/>
    <mergeCell ref="A151:D151"/>
    <mergeCell ref="A143:D143"/>
    <mergeCell ref="A144:D144"/>
    <mergeCell ref="A145:D145"/>
    <mergeCell ref="A146:D146"/>
    <mergeCell ref="A147:D147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48:D148"/>
    <mergeCell ref="A126:D126"/>
    <mergeCell ref="A127:D127"/>
    <mergeCell ref="A128:D128"/>
    <mergeCell ref="A129:D129"/>
    <mergeCell ref="A130:D130"/>
    <mergeCell ref="A131:D131"/>
    <mergeCell ref="A118:D118"/>
    <mergeCell ref="A119:D119"/>
    <mergeCell ref="A120:D120"/>
    <mergeCell ref="A122:M122"/>
    <mergeCell ref="A123:D123"/>
    <mergeCell ref="A124:D124"/>
    <mergeCell ref="A125:D125"/>
    <mergeCell ref="A113:M113"/>
    <mergeCell ref="A114:D114"/>
    <mergeCell ref="A115:D115"/>
    <mergeCell ref="A104:D104"/>
    <mergeCell ref="A105:D105"/>
    <mergeCell ref="A106:D106"/>
    <mergeCell ref="A110:D110"/>
    <mergeCell ref="A111:D111"/>
    <mergeCell ref="A109:D109"/>
    <mergeCell ref="A99:D99"/>
    <mergeCell ref="A100:D100"/>
    <mergeCell ref="A101:D101"/>
    <mergeCell ref="A102:D102"/>
    <mergeCell ref="A103:D103"/>
    <mergeCell ref="A84:D84"/>
    <mergeCell ref="A89:D89"/>
    <mergeCell ref="A90:D90"/>
    <mergeCell ref="A94:D94"/>
    <mergeCell ref="A85:D85"/>
    <mergeCell ref="A86:D86"/>
    <mergeCell ref="A87:D87"/>
    <mergeCell ref="A88:D88"/>
    <mergeCell ref="A91:D91"/>
    <mergeCell ref="A95:D95"/>
    <mergeCell ref="A98:M98"/>
    <mergeCell ref="A77:D77"/>
    <mergeCell ref="A78:D78"/>
    <mergeCell ref="A79:D79"/>
    <mergeCell ref="A80:D80"/>
    <mergeCell ref="A81:D81"/>
    <mergeCell ref="A83:M83"/>
    <mergeCell ref="A71:D71"/>
    <mergeCell ref="A72:D72"/>
    <mergeCell ref="A74:M74"/>
    <mergeCell ref="A75:D75"/>
    <mergeCell ref="A76:D76"/>
    <mergeCell ref="A65:K65"/>
    <mergeCell ref="A67:M67"/>
    <mergeCell ref="A68:D68"/>
    <mergeCell ref="A69:D69"/>
    <mergeCell ref="A70:D70"/>
    <mergeCell ref="A59:D59"/>
    <mergeCell ref="A60:D60"/>
    <mergeCell ref="A61:D61"/>
    <mergeCell ref="A62:D62"/>
    <mergeCell ref="A63:D63"/>
    <mergeCell ref="A64:D64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40:E40"/>
    <mergeCell ref="G40:K40"/>
    <mergeCell ref="A38:E38"/>
    <mergeCell ref="G38:K38"/>
    <mergeCell ref="A39:E39"/>
    <mergeCell ref="G39:K39"/>
    <mergeCell ref="A53:D53"/>
    <mergeCell ref="G34:K34"/>
    <mergeCell ref="A35:E35"/>
    <mergeCell ref="G35:K35"/>
    <mergeCell ref="A36:E36"/>
    <mergeCell ref="G36:K36"/>
    <mergeCell ref="A41:D41"/>
    <mergeCell ref="G41:N41"/>
    <mergeCell ref="A42:M42"/>
    <mergeCell ref="A44:D44"/>
    <mergeCell ref="G22:K22"/>
    <mergeCell ref="A23:E23"/>
    <mergeCell ref="G23:K23"/>
    <mergeCell ref="A24:E24"/>
    <mergeCell ref="G24:K2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2:E32"/>
    <mergeCell ref="G32:K32"/>
    <mergeCell ref="A33:E33"/>
    <mergeCell ref="G33:K33"/>
    <mergeCell ref="A34:E34"/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</mergeCells>
  <pageMargins left="0.51181102362204722" right="0.11811023622047245" top="0.35433070866141736" bottom="0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F219"/>
  <sheetViews>
    <sheetView topLeftCell="A189" zoomScale="70" zoomScaleNormal="70" workbookViewId="0">
      <selection activeCell="A214" sqref="A214"/>
    </sheetView>
  </sheetViews>
  <sheetFormatPr defaultRowHeight="14.4"/>
  <cols>
    <col min="1" max="1" width="10.5546875" customWidth="1"/>
    <col min="2" max="3" width="7" customWidth="1"/>
    <col min="4" max="5" width="11.6640625" customWidth="1"/>
    <col min="6" max="6" width="12.44140625" customWidth="1"/>
    <col min="7" max="7" width="14" customWidth="1"/>
    <col min="8" max="8" width="14.6640625" customWidth="1"/>
    <col min="9" max="9" width="11.6640625" customWidth="1"/>
    <col min="10" max="10" width="14.6640625" customWidth="1"/>
    <col min="11" max="11" width="12.88671875" customWidth="1"/>
    <col min="12" max="12" width="11.6640625" hidden="1" customWidth="1"/>
    <col min="13" max="13" width="11.6640625" customWidth="1"/>
    <col min="14" max="14" width="19.44140625" customWidth="1"/>
    <col min="15" max="15" width="13.33203125" customWidth="1"/>
    <col min="17" max="17" width="12" customWidth="1"/>
  </cols>
  <sheetData>
    <row r="1" spans="1:13" hidden="1"/>
    <row r="2" spans="1:13" ht="15.6" hidden="1">
      <c r="A2" s="255"/>
      <c r="B2" s="255"/>
      <c r="C2" s="255"/>
      <c r="D2" s="255"/>
      <c r="E2" s="255"/>
      <c r="F2" s="255"/>
      <c r="G2" s="255"/>
    </row>
    <row r="3" spans="1:13" ht="15.75" hidden="1" customHeight="1">
      <c r="A3" s="255"/>
      <c r="B3" s="255"/>
      <c r="C3" s="43"/>
      <c r="D3" s="43"/>
      <c r="E3" s="169"/>
      <c r="F3" s="43"/>
      <c r="G3" s="43"/>
    </row>
    <row r="4" spans="1:13" ht="40.5" customHeight="1">
      <c r="A4" s="256"/>
      <c r="B4" s="256"/>
      <c r="C4" s="256"/>
      <c r="D4" s="170"/>
      <c r="E4" s="256"/>
      <c r="F4" s="256"/>
      <c r="G4" s="45"/>
      <c r="H4" s="251" t="s">
        <v>140</v>
      </c>
      <c r="I4" s="211"/>
      <c r="J4" s="211"/>
      <c r="K4" s="211"/>
      <c r="L4" s="166"/>
    </row>
    <row r="5" spans="1:13" ht="15.6">
      <c r="A5" s="4"/>
      <c r="B5" s="4"/>
      <c r="C5" s="4"/>
      <c r="D5" s="176"/>
      <c r="E5" s="4"/>
      <c r="F5" s="4"/>
      <c r="G5" s="176"/>
    </row>
    <row r="6" spans="1:13">
      <c r="A6" s="166"/>
      <c r="B6" s="166"/>
      <c r="C6" s="166"/>
      <c r="D6" s="166"/>
      <c r="E6" s="166"/>
      <c r="F6" s="166"/>
      <c r="G6" s="166"/>
    </row>
    <row r="7" spans="1:13" ht="15.6">
      <c r="A7" s="209" t="s">
        <v>138</v>
      </c>
      <c r="B7" s="210"/>
      <c r="C7" s="210"/>
      <c r="D7" s="210"/>
      <c r="E7" s="210"/>
      <c r="F7" s="210"/>
      <c r="G7" s="211"/>
      <c r="H7" s="211"/>
      <c r="I7" s="211"/>
      <c r="J7" s="211"/>
      <c r="K7" s="211"/>
      <c r="L7" s="211"/>
      <c r="M7" s="211"/>
    </row>
    <row r="8" spans="1:13" ht="15.6">
      <c r="A8" s="209" t="s">
        <v>174</v>
      </c>
      <c r="B8" s="210"/>
      <c r="C8" s="210"/>
      <c r="D8" s="210"/>
      <c r="E8" s="210"/>
      <c r="F8" s="210"/>
      <c r="G8" s="211"/>
      <c r="H8" s="211"/>
      <c r="I8" s="211"/>
      <c r="J8" s="211"/>
      <c r="K8" s="211"/>
      <c r="L8" s="211"/>
      <c r="M8" s="211"/>
    </row>
    <row r="10" spans="1:1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</row>
    <row r="11" spans="1:13" ht="15.6">
      <c r="A11" s="8" t="s">
        <v>173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</row>
    <row r="12" spans="1:13" ht="17.25" customHeight="1">
      <c r="A12" s="249" t="s">
        <v>74</v>
      </c>
      <c r="B12" s="250"/>
      <c r="C12" s="250"/>
      <c r="D12" s="250"/>
      <c r="E12" s="250"/>
      <c r="F12" s="250"/>
      <c r="G12" s="250"/>
      <c r="H12" s="250"/>
      <c r="I12" s="250"/>
      <c r="J12" s="250"/>
      <c r="K12" s="250"/>
      <c r="L12" s="250"/>
      <c r="M12" s="250"/>
    </row>
    <row r="13" spans="1:13" ht="15.6">
      <c r="A13" s="8" t="s">
        <v>58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</row>
    <row r="14" spans="1:13" ht="15.6">
      <c r="A14" s="8" t="s">
        <v>109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  <row r="15" spans="1:13" ht="15.6">
      <c r="A15" s="8" t="s">
        <v>110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</row>
    <row r="16" spans="1:13" ht="51.75" customHeight="1">
      <c r="A16" s="261" t="s">
        <v>66</v>
      </c>
      <c r="B16" s="261"/>
      <c r="C16" s="261"/>
      <c r="D16" s="261"/>
      <c r="E16" s="261"/>
      <c r="F16" s="9" t="s">
        <v>65</v>
      </c>
      <c r="G16" s="261" t="s">
        <v>67</v>
      </c>
      <c r="H16" s="261"/>
      <c r="I16" s="261"/>
      <c r="J16" s="261"/>
      <c r="K16" s="261"/>
      <c r="L16" s="171"/>
      <c r="M16" s="9" t="s">
        <v>65</v>
      </c>
    </row>
    <row r="17" spans="1:13">
      <c r="A17" s="234" t="s">
        <v>90</v>
      </c>
      <c r="B17" s="234"/>
      <c r="C17" s="234"/>
      <c r="D17" s="234"/>
      <c r="E17" s="234"/>
      <c r="F17" s="152">
        <f>4.92</f>
        <v>4.92</v>
      </c>
      <c r="G17" s="235" t="s">
        <v>1</v>
      </c>
      <c r="H17" s="235"/>
      <c r="I17" s="235"/>
      <c r="J17" s="235"/>
      <c r="K17" s="235"/>
      <c r="L17" s="112">
        <v>1</v>
      </c>
      <c r="M17" s="152">
        <f t="shared" ref="M17:M23" si="0">L17</f>
        <v>1</v>
      </c>
    </row>
    <row r="18" spans="1:13">
      <c r="A18" s="234" t="s">
        <v>91</v>
      </c>
      <c r="B18" s="234"/>
      <c r="C18" s="234"/>
      <c r="D18" s="234"/>
      <c r="E18" s="234"/>
      <c r="F18" s="152">
        <f>8.83</f>
        <v>8.83</v>
      </c>
      <c r="G18" s="224" t="s">
        <v>92</v>
      </c>
      <c r="H18" s="225"/>
      <c r="I18" s="225"/>
      <c r="J18" s="225"/>
      <c r="K18" s="237"/>
      <c r="L18" s="112">
        <v>4</v>
      </c>
      <c r="M18" s="152">
        <f t="shared" si="0"/>
        <v>4</v>
      </c>
    </row>
    <row r="19" spans="1:13">
      <c r="A19" s="234"/>
      <c r="B19" s="234"/>
      <c r="C19" s="234"/>
      <c r="D19" s="234"/>
      <c r="E19" s="234"/>
      <c r="F19" s="112"/>
      <c r="G19" s="234" t="s">
        <v>93</v>
      </c>
      <c r="H19" s="234"/>
      <c r="I19" s="234"/>
      <c r="J19" s="234"/>
      <c r="K19" s="234"/>
      <c r="L19" s="112">
        <v>1</v>
      </c>
      <c r="M19" s="152">
        <f t="shared" si="0"/>
        <v>1</v>
      </c>
    </row>
    <row r="20" spans="1:13">
      <c r="A20" s="234"/>
      <c r="B20" s="234"/>
      <c r="C20" s="234"/>
      <c r="D20" s="234"/>
      <c r="E20" s="234"/>
      <c r="F20" s="112"/>
      <c r="G20" s="241" t="s">
        <v>72</v>
      </c>
      <c r="H20" s="242"/>
      <c r="I20" s="242"/>
      <c r="J20" s="242"/>
      <c r="K20" s="243"/>
      <c r="L20" s="112">
        <v>1</v>
      </c>
      <c r="M20" s="152">
        <f t="shared" si="0"/>
        <v>1</v>
      </c>
    </row>
    <row r="21" spans="1:13" ht="15" customHeight="1">
      <c r="A21" s="234"/>
      <c r="B21" s="234"/>
      <c r="C21" s="234"/>
      <c r="D21" s="234"/>
      <c r="E21" s="234"/>
      <c r="F21" s="112"/>
      <c r="G21" s="235" t="s">
        <v>94</v>
      </c>
      <c r="H21" s="235"/>
      <c r="I21" s="235"/>
      <c r="J21" s="235"/>
      <c r="K21" s="235"/>
      <c r="L21" s="112">
        <v>0.5</v>
      </c>
      <c r="M21" s="152">
        <f t="shared" si="0"/>
        <v>0.5</v>
      </c>
    </row>
    <row r="22" spans="1:13" ht="15" customHeight="1">
      <c r="A22" s="234"/>
      <c r="B22" s="234"/>
      <c r="C22" s="234"/>
      <c r="D22" s="234"/>
      <c r="E22" s="234"/>
      <c r="F22" s="112"/>
      <c r="G22" s="235" t="s">
        <v>70</v>
      </c>
      <c r="H22" s="235"/>
      <c r="I22" s="235"/>
      <c r="J22" s="235"/>
      <c r="K22" s="235"/>
      <c r="L22" s="113">
        <v>1</v>
      </c>
      <c r="M22" s="152">
        <f t="shared" si="0"/>
        <v>1</v>
      </c>
    </row>
    <row r="23" spans="1:13" ht="15.75" customHeight="1">
      <c r="A23" s="234"/>
      <c r="B23" s="234"/>
      <c r="C23" s="234"/>
      <c r="D23" s="234"/>
      <c r="E23" s="234"/>
      <c r="F23" s="112"/>
      <c r="G23" s="236" t="s">
        <v>95</v>
      </c>
      <c r="H23" s="236"/>
      <c r="I23" s="236"/>
      <c r="J23" s="236"/>
      <c r="K23" s="236"/>
      <c r="L23" s="113">
        <v>0.5</v>
      </c>
      <c r="M23" s="152">
        <f t="shared" si="0"/>
        <v>0.5</v>
      </c>
    </row>
    <row r="24" spans="1:13" ht="15.75" hidden="1" customHeight="1">
      <c r="A24" s="224"/>
      <c r="B24" s="225"/>
      <c r="C24" s="225"/>
      <c r="D24" s="225"/>
      <c r="E24" s="237"/>
      <c r="F24" s="112"/>
      <c r="G24" s="238"/>
      <c r="H24" s="239"/>
      <c r="I24" s="239"/>
      <c r="J24" s="239"/>
      <c r="K24" s="240"/>
      <c r="L24" s="113"/>
      <c r="M24" s="152">
        <f t="shared" ref="M24:M26" si="1">L24*0.304</f>
        <v>0</v>
      </c>
    </row>
    <row r="25" spans="1:13" ht="15.75" customHeight="1">
      <c r="A25" s="224"/>
      <c r="B25" s="225"/>
      <c r="C25" s="225"/>
      <c r="D25" s="225"/>
      <c r="E25" s="237"/>
      <c r="F25" s="112"/>
      <c r="G25" s="238" t="s">
        <v>96</v>
      </c>
      <c r="H25" s="239"/>
      <c r="I25" s="239"/>
      <c r="J25" s="239"/>
      <c r="K25" s="240"/>
      <c r="L25" s="113">
        <v>1</v>
      </c>
      <c r="M25" s="152">
        <f>L25</f>
        <v>1</v>
      </c>
    </row>
    <row r="26" spans="1:13" ht="15.75" hidden="1" customHeight="1">
      <c r="A26" s="224"/>
      <c r="B26" s="225"/>
      <c r="C26" s="225"/>
      <c r="D26" s="225"/>
      <c r="E26" s="237"/>
      <c r="F26" s="114"/>
      <c r="G26" s="238"/>
      <c r="H26" s="239"/>
      <c r="I26" s="239"/>
      <c r="J26" s="239"/>
      <c r="K26" s="240"/>
      <c r="L26" s="115"/>
      <c r="M26" s="152">
        <f t="shared" si="1"/>
        <v>0</v>
      </c>
    </row>
    <row r="27" spans="1:13" ht="15.75" customHeight="1">
      <c r="A27" s="224"/>
      <c r="B27" s="225"/>
      <c r="C27" s="225"/>
      <c r="D27" s="225"/>
      <c r="E27" s="237"/>
      <c r="F27" s="114"/>
      <c r="G27" s="258" t="s">
        <v>97</v>
      </c>
      <c r="H27" s="259"/>
      <c r="I27" s="259"/>
      <c r="J27" s="259"/>
      <c r="K27" s="260"/>
      <c r="L27" s="115">
        <v>2</v>
      </c>
      <c r="M27" s="152">
        <f t="shared" ref="M27:M39" si="2">L27</f>
        <v>2</v>
      </c>
    </row>
    <row r="28" spans="1:13" ht="15.75" customHeight="1">
      <c r="A28" s="224"/>
      <c r="B28" s="225"/>
      <c r="C28" s="225"/>
      <c r="D28" s="225"/>
      <c r="E28" s="237"/>
      <c r="F28" s="114"/>
      <c r="G28" s="238" t="s">
        <v>71</v>
      </c>
      <c r="H28" s="239"/>
      <c r="I28" s="239"/>
      <c r="J28" s="239"/>
      <c r="K28" s="240"/>
      <c r="L28" s="115">
        <v>1</v>
      </c>
      <c r="M28" s="152">
        <f t="shared" si="2"/>
        <v>1</v>
      </c>
    </row>
    <row r="29" spans="1:13" ht="15" customHeight="1">
      <c r="A29" s="257"/>
      <c r="B29" s="257"/>
      <c r="C29" s="257"/>
      <c r="D29" s="257"/>
      <c r="E29" s="257"/>
      <c r="F29" s="114"/>
      <c r="G29" s="236" t="s">
        <v>98</v>
      </c>
      <c r="H29" s="236"/>
      <c r="I29" s="236"/>
      <c r="J29" s="236"/>
      <c r="K29" s="236"/>
      <c r="L29" s="115">
        <v>4.75</v>
      </c>
      <c r="M29" s="152">
        <f t="shared" si="2"/>
        <v>4.75</v>
      </c>
    </row>
    <row r="30" spans="1:13" ht="15.75" customHeight="1">
      <c r="A30" s="257"/>
      <c r="B30" s="257"/>
      <c r="C30" s="257"/>
      <c r="D30" s="257"/>
      <c r="E30" s="257"/>
      <c r="F30" s="114"/>
      <c r="G30" s="236" t="s">
        <v>99</v>
      </c>
      <c r="H30" s="236"/>
      <c r="I30" s="236"/>
      <c r="J30" s="236"/>
      <c r="K30" s="236"/>
      <c r="L30" s="115">
        <v>3.5</v>
      </c>
      <c r="M30" s="152">
        <f t="shared" si="2"/>
        <v>3.5</v>
      </c>
    </row>
    <row r="31" spans="1:13">
      <c r="A31" s="254"/>
      <c r="B31" s="254"/>
      <c r="C31" s="254"/>
      <c r="D31" s="254"/>
      <c r="E31" s="254"/>
      <c r="F31" s="41"/>
      <c r="G31" s="236" t="s">
        <v>100</v>
      </c>
      <c r="H31" s="236"/>
      <c r="I31" s="236"/>
      <c r="J31" s="236"/>
      <c r="K31" s="236"/>
      <c r="L31" s="115">
        <v>2</v>
      </c>
      <c r="M31" s="152">
        <f t="shared" si="2"/>
        <v>2</v>
      </c>
    </row>
    <row r="32" spans="1:13" ht="27.75" customHeight="1">
      <c r="A32" s="254"/>
      <c r="B32" s="254"/>
      <c r="C32" s="254"/>
      <c r="D32" s="254"/>
      <c r="E32" s="254"/>
      <c r="F32" s="41"/>
      <c r="G32" s="236" t="s">
        <v>101</v>
      </c>
      <c r="H32" s="236"/>
      <c r="I32" s="236"/>
      <c r="J32" s="236"/>
      <c r="K32" s="236"/>
      <c r="L32" s="115">
        <v>1</v>
      </c>
      <c r="M32" s="152">
        <f t="shared" si="2"/>
        <v>1</v>
      </c>
    </row>
    <row r="33" spans="1:13">
      <c r="A33" s="254"/>
      <c r="B33" s="254"/>
      <c r="C33" s="254"/>
      <c r="D33" s="254"/>
      <c r="E33" s="254"/>
      <c r="F33" s="41"/>
      <c r="G33" s="236" t="s">
        <v>102</v>
      </c>
      <c r="H33" s="236"/>
      <c r="I33" s="236"/>
      <c r="J33" s="236"/>
      <c r="K33" s="236"/>
      <c r="L33" s="115">
        <v>0.5</v>
      </c>
      <c r="M33" s="152">
        <f t="shared" si="2"/>
        <v>0.5</v>
      </c>
    </row>
    <row r="34" spans="1:13" ht="12.75" customHeight="1">
      <c r="A34" s="254"/>
      <c r="B34" s="254"/>
      <c r="C34" s="254"/>
      <c r="D34" s="254"/>
      <c r="E34" s="254"/>
      <c r="F34" s="41"/>
      <c r="G34" s="212" t="s">
        <v>103</v>
      </c>
      <c r="H34" s="213"/>
      <c r="I34" s="213"/>
      <c r="J34" s="213"/>
      <c r="K34" s="219"/>
      <c r="L34" s="115">
        <v>0.5</v>
      </c>
      <c r="M34" s="152">
        <f t="shared" si="2"/>
        <v>0.5</v>
      </c>
    </row>
    <row r="35" spans="1:13" ht="15" customHeight="1">
      <c r="A35" s="254"/>
      <c r="B35" s="254"/>
      <c r="C35" s="254"/>
      <c r="D35" s="254"/>
      <c r="E35" s="254"/>
      <c r="F35" s="41"/>
      <c r="G35" s="212" t="s">
        <v>104</v>
      </c>
      <c r="H35" s="213"/>
      <c r="I35" s="213"/>
      <c r="J35" s="213"/>
      <c r="K35" s="219"/>
      <c r="L35" s="115">
        <v>16</v>
      </c>
      <c r="M35" s="152">
        <f t="shared" si="2"/>
        <v>16</v>
      </c>
    </row>
    <row r="36" spans="1:13">
      <c r="A36" s="264"/>
      <c r="B36" s="265"/>
      <c r="C36" s="265"/>
      <c r="D36" s="265"/>
      <c r="E36" s="266"/>
      <c r="F36" s="41"/>
      <c r="G36" s="224" t="s">
        <v>105</v>
      </c>
      <c r="H36" s="225"/>
      <c r="I36" s="225"/>
      <c r="J36" s="225"/>
      <c r="K36" s="226"/>
      <c r="L36" s="112">
        <v>2</v>
      </c>
      <c r="M36" s="152">
        <f t="shared" si="2"/>
        <v>2</v>
      </c>
    </row>
    <row r="37" spans="1:13" ht="15" customHeight="1">
      <c r="A37" s="264"/>
      <c r="B37" s="265"/>
      <c r="C37" s="265"/>
      <c r="D37" s="265"/>
      <c r="E37" s="266"/>
      <c r="F37" s="41"/>
      <c r="G37" s="224" t="s">
        <v>106</v>
      </c>
      <c r="H37" s="225"/>
      <c r="I37" s="225"/>
      <c r="J37" s="225"/>
      <c r="K37" s="226"/>
      <c r="L37" s="112">
        <v>1</v>
      </c>
      <c r="M37" s="152">
        <f t="shared" si="2"/>
        <v>1</v>
      </c>
    </row>
    <row r="38" spans="1:13" ht="15" customHeight="1">
      <c r="A38" s="264"/>
      <c r="B38" s="265"/>
      <c r="C38" s="265"/>
      <c r="D38" s="265"/>
      <c r="E38" s="266"/>
      <c r="F38" s="41"/>
      <c r="G38" s="224" t="s">
        <v>107</v>
      </c>
      <c r="H38" s="225"/>
      <c r="I38" s="225"/>
      <c r="J38" s="225"/>
      <c r="K38" s="226"/>
      <c r="L38" s="112">
        <v>1</v>
      </c>
      <c r="M38" s="152">
        <f t="shared" si="2"/>
        <v>1</v>
      </c>
    </row>
    <row r="39" spans="1:13" ht="15" customHeight="1">
      <c r="A39" s="264"/>
      <c r="B39" s="265"/>
      <c r="C39" s="265"/>
      <c r="D39" s="265"/>
      <c r="E39" s="266"/>
      <c r="F39" s="41"/>
      <c r="G39" s="224" t="s">
        <v>108</v>
      </c>
      <c r="H39" s="225"/>
      <c r="I39" s="225"/>
      <c r="J39" s="225"/>
      <c r="K39" s="226"/>
      <c r="L39" s="115">
        <v>10</v>
      </c>
      <c r="M39" s="152">
        <f t="shared" si="2"/>
        <v>10</v>
      </c>
    </row>
    <row r="40" spans="1:13" ht="15" customHeight="1">
      <c r="A40" s="248" t="s">
        <v>2</v>
      </c>
      <c r="B40" s="248"/>
      <c r="C40" s="248"/>
      <c r="D40" s="248"/>
      <c r="E40" s="248"/>
      <c r="F40" s="168">
        <f>SUM(F17:F35)</f>
        <v>13.75</v>
      </c>
      <c r="G40" s="244" t="s">
        <v>2</v>
      </c>
      <c r="H40" s="244"/>
      <c r="I40" s="244"/>
      <c r="J40" s="244"/>
      <c r="K40" s="244"/>
      <c r="L40" s="117">
        <f>SUM(L17:L39)</f>
        <v>55.25</v>
      </c>
      <c r="M40" s="158">
        <f>SUM(M17:M39)</f>
        <v>55.25</v>
      </c>
    </row>
    <row r="41" spans="1:13" ht="98.25" hidden="1" customHeight="1">
      <c r="A41" s="248" t="s">
        <v>2</v>
      </c>
      <c r="B41" s="248"/>
      <c r="C41" s="248"/>
      <c r="D41" s="248"/>
      <c r="E41" s="78">
        <f>SUM(E17:E29)</f>
        <v>0</v>
      </c>
      <c r="F41" s="173"/>
      <c r="G41" s="280" t="s">
        <v>2</v>
      </c>
      <c r="H41" s="280"/>
      <c r="I41" s="280"/>
      <c r="J41" s="280"/>
      <c r="K41" s="280"/>
      <c r="L41" s="280"/>
      <c r="M41" s="280"/>
    </row>
    <row r="42" spans="1:13" hidden="1">
      <c r="A42" s="208" t="s">
        <v>15</v>
      </c>
      <c r="B42" s="208"/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</row>
    <row r="43" spans="1:13" hidden="1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</row>
    <row r="44" spans="1:13" ht="80.25" hidden="1" customHeight="1">
      <c r="A44" s="277" t="s">
        <v>6</v>
      </c>
      <c r="B44" s="277"/>
      <c r="C44" s="277"/>
      <c r="D44" s="277"/>
      <c r="E44" s="19" t="s">
        <v>7</v>
      </c>
      <c r="F44" s="19" t="s">
        <v>8</v>
      </c>
      <c r="G44" s="19" t="s">
        <v>9</v>
      </c>
      <c r="H44" s="19" t="s">
        <v>10</v>
      </c>
      <c r="I44" s="19"/>
      <c r="J44" s="19" t="s">
        <v>11</v>
      </c>
      <c r="K44" s="19" t="s">
        <v>12</v>
      </c>
      <c r="L44" s="19"/>
      <c r="M44" s="19" t="s">
        <v>5</v>
      </c>
    </row>
    <row r="45" spans="1:13" ht="15" hidden="1" customHeight="1">
      <c r="A45" s="278">
        <v>1</v>
      </c>
      <c r="B45" s="279"/>
      <c r="C45" s="279"/>
      <c r="D45" s="279"/>
      <c r="E45" s="19">
        <v>2</v>
      </c>
      <c r="F45" s="19">
        <v>3</v>
      </c>
      <c r="G45" s="19">
        <v>4</v>
      </c>
      <c r="H45" s="19" t="s">
        <v>36</v>
      </c>
      <c r="I45" s="19"/>
      <c r="J45" s="19">
        <v>6</v>
      </c>
      <c r="K45" s="19">
        <v>7</v>
      </c>
      <c r="L45" s="19"/>
      <c r="M45" s="19" t="s">
        <v>37</v>
      </c>
    </row>
    <row r="46" spans="1:13" ht="15" hidden="1" customHeight="1">
      <c r="A46" s="227" t="s">
        <v>39</v>
      </c>
      <c r="B46" s="227"/>
      <c r="C46" s="227"/>
      <c r="D46" s="227"/>
      <c r="E46" s="20" t="s">
        <v>13</v>
      </c>
      <c r="F46" s="19">
        <v>7</v>
      </c>
      <c r="G46" s="20">
        <v>10</v>
      </c>
      <c r="H46" s="21">
        <f>F46/G46</f>
        <v>0.7</v>
      </c>
      <c r="I46" s="21"/>
      <c r="J46" s="19">
        <v>20</v>
      </c>
      <c r="K46" s="22">
        <v>7100</v>
      </c>
      <c r="L46" s="22"/>
      <c r="M46" s="22">
        <f>H46*K46</f>
        <v>4970</v>
      </c>
    </row>
    <row r="47" spans="1:13" ht="15" hidden="1" customHeight="1">
      <c r="A47" s="227" t="s">
        <v>40</v>
      </c>
      <c r="B47" s="227"/>
      <c r="C47" s="227"/>
      <c r="D47" s="227"/>
      <c r="E47" s="20" t="s">
        <v>13</v>
      </c>
      <c r="F47" s="19">
        <v>1</v>
      </c>
      <c r="G47" s="20">
        <v>10</v>
      </c>
      <c r="H47" s="21">
        <f t="shared" ref="H47:H63" si="3">F47/G47</f>
        <v>0.1</v>
      </c>
      <c r="I47" s="21"/>
      <c r="J47" s="19">
        <v>20</v>
      </c>
      <c r="K47" s="22">
        <v>538700</v>
      </c>
      <c r="L47" s="22"/>
      <c r="M47" s="22">
        <f t="shared" ref="M47:M64" si="4">H47*K47</f>
        <v>53870</v>
      </c>
    </row>
    <row r="48" spans="1:13" ht="15" hidden="1" customHeight="1">
      <c r="A48" s="227" t="s">
        <v>41</v>
      </c>
      <c r="B48" s="227"/>
      <c r="C48" s="227"/>
      <c r="D48" s="227"/>
      <c r="E48" s="20" t="s">
        <v>13</v>
      </c>
      <c r="F48" s="19">
        <v>1</v>
      </c>
      <c r="G48" s="20">
        <v>10</v>
      </c>
      <c r="H48" s="21">
        <f t="shared" si="3"/>
        <v>0.1</v>
      </c>
      <c r="I48" s="21"/>
      <c r="J48" s="19">
        <v>20</v>
      </c>
      <c r="K48" s="22">
        <v>380000</v>
      </c>
      <c r="L48" s="22"/>
      <c r="M48" s="22">
        <f t="shared" si="4"/>
        <v>38000</v>
      </c>
    </row>
    <row r="49" spans="1:13" ht="12.75" hidden="1" customHeight="1">
      <c r="A49" s="227"/>
      <c r="B49" s="227"/>
      <c r="C49" s="227"/>
      <c r="D49" s="227"/>
      <c r="E49" s="20" t="s">
        <v>13</v>
      </c>
      <c r="F49" s="19"/>
      <c r="G49" s="20">
        <v>10</v>
      </c>
      <c r="H49" s="21">
        <f t="shared" si="3"/>
        <v>0</v>
      </c>
      <c r="I49" s="21"/>
      <c r="J49" s="19"/>
      <c r="K49" s="22"/>
      <c r="L49" s="22"/>
      <c r="M49" s="22">
        <f t="shared" si="4"/>
        <v>0</v>
      </c>
    </row>
    <row r="50" spans="1:13" ht="15" hidden="1" customHeight="1">
      <c r="A50" s="227"/>
      <c r="B50" s="227"/>
      <c r="C50" s="227"/>
      <c r="D50" s="227"/>
      <c r="E50" s="20" t="s">
        <v>13</v>
      </c>
      <c r="F50" s="19"/>
      <c r="G50" s="20">
        <v>10</v>
      </c>
      <c r="H50" s="21">
        <f t="shared" si="3"/>
        <v>0</v>
      </c>
      <c r="I50" s="21"/>
      <c r="J50" s="19"/>
      <c r="K50" s="22"/>
      <c r="L50" s="22"/>
      <c r="M50" s="22">
        <f t="shared" si="4"/>
        <v>0</v>
      </c>
    </row>
    <row r="51" spans="1:13" ht="15" hidden="1" customHeight="1">
      <c r="A51" s="228"/>
      <c r="B51" s="229"/>
      <c r="C51" s="229"/>
      <c r="D51" s="229"/>
      <c r="E51" s="20" t="s">
        <v>13</v>
      </c>
      <c r="F51" s="19"/>
      <c r="G51" s="20">
        <v>10</v>
      </c>
      <c r="H51" s="21">
        <f t="shared" si="3"/>
        <v>0</v>
      </c>
      <c r="I51" s="21"/>
      <c r="J51" s="19"/>
      <c r="K51" s="22"/>
      <c r="L51" s="22"/>
      <c r="M51" s="22">
        <f t="shared" si="4"/>
        <v>0</v>
      </c>
    </row>
    <row r="52" spans="1:13" ht="15" hidden="1" customHeight="1">
      <c r="A52" s="228"/>
      <c r="B52" s="229"/>
      <c r="C52" s="229"/>
      <c r="D52" s="229"/>
      <c r="E52" s="20" t="s">
        <v>13</v>
      </c>
      <c r="F52" s="19"/>
      <c r="G52" s="20">
        <v>10</v>
      </c>
      <c r="H52" s="21">
        <f t="shared" si="3"/>
        <v>0</v>
      </c>
      <c r="I52" s="21"/>
      <c r="J52" s="19"/>
      <c r="K52" s="22"/>
      <c r="L52" s="22"/>
      <c r="M52" s="22">
        <f t="shared" si="4"/>
        <v>0</v>
      </c>
    </row>
    <row r="53" spans="1:13" ht="15" hidden="1" customHeight="1">
      <c r="A53" s="228"/>
      <c r="B53" s="229"/>
      <c r="C53" s="229"/>
      <c r="D53" s="229"/>
      <c r="E53" s="20" t="s">
        <v>13</v>
      </c>
      <c r="F53" s="19"/>
      <c r="G53" s="20">
        <v>10</v>
      </c>
      <c r="H53" s="21">
        <f t="shared" si="3"/>
        <v>0</v>
      </c>
      <c r="I53" s="21"/>
      <c r="J53" s="19"/>
      <c r="K53" s="22"/>
      <c r="L53" s="22"/>
      <c r="M53" s="22">
        <f t="shared" si="4"/>
        <v>0</v>
      </c>
    </row>
    <row r="54" spans="1:13" ht="15" hidden="1" customHeight="1">
      <c r="A54" s="228"/>
      <c r="B54" s="229"/>
      <c r="C54" s="229"/>
      <c r="D54" s="229"/>
      <c r="E54" s="20" t="s">
        <v>13</v>
      </c>
      <c r="F54" s="19"/>
      <c r="G54" s="20">
        <v>10</v>
      </c>
      <c r="H54" s="21">
        <f t="shared" si="3"/>
        <v>0</v>
      </c>
      <c r="I54" s="21"/>
      <c r="J54" s="19"/>
      <c r="K54" s="22"/>
      <c r="L54" s="22"/>
      <c r="M54" s="22">
        <f t="shared" si="4"/>
        <v>0</v>
      </c>
    </row>
    <row r="55" spans="1:13" ht="15" hidden="1" customHeight="1">
      <c r="A55" s="228"/>
      <c r="B55" s="229"/>
      <c r="C55" s="229"/>
      <c r="D55" s="229"/>
      <c r="E55" s="20" t="s">
        <v>13</v>
      </c>
      <c r="F55" s="19"/>
      <c r="G55" s="20">
        <v>10</v>
      </c>
      <c r="H55" s="21">
        <f t="shared" si="3"/>
        <v>0</v>
      </c>
      <c r="I55" s="21"/>
      <c r="J55" s="19"/>
      <c r="K55" s="22"/>
      <c r="L55" s="22"/>
      <c r="M55" s="22">
        <f t="shared" si="4"/>
        <v>0</v>
      </c>
    </row>
    <row r="56" spans="1:13" hidden="1">
      <c r="A56" s="232"/>
      <c r="B56" s="233"/>
      <c r="C56" s="233"/>
      <c r="D56" s="233"/>
      <c r="E56" s="20" t="s">
        <v>13</v>
      </c>
      <c r="F56" s="20"/>
      <c r="G56" s="20">
        <v>10</v>
      </c>
      <c r="H56" s="21">
        <f t="shared" si="3"/>
        <v>0</v>
      </c>
      <c r="I56" s="21"/>
      <c r="J56" s="20"/>
      <c r="K56" s="23"/>
      <c r="L56" s="23"/>
      <c r="M56" s="22">
        <f t="shared" si="4"/>
        <v>0</v>
      </c>
    </row>
    <row r="57" spans="1:13" hidden="1">
      <c r="A57" s="232"/>
      <c r="B57" s="233"/>
      <c r="C57" s="233"/>
      <c r="D57" s="233"/>
      <c r="E57" s="20" t="s">
        <v>13</v>
      </c>
      <c r="F57" s="20"/>
      <c r="G57" s="20">
        <v>10</v>
      </c>
      <c r="H57" s="21">
        <f t="shared" si="3"/>
        <v>0</v>
      </c>
      <c r="I57" s="21"/>
      <c r="J57" s="20"/>
      <c r="K57" s="23"/>
      <c r="L57" s="23"/>
      <c r="M57" s="22">
        <f t="shared" si="4"/>
        <v>0</v>
      </c>
    </row>
    <row r="58" spans="1:13" hidden="1">
      <c r="A58" s="232"/>
      <c r="B58" s="233"/>
      <c r="C58" s="233"/>
      <c r="D58" s="233"/>
      <c r="E58" s="20" t="s">
        <v>13</v>
      </c>
      <c r="F58" s="20"/>
      <c r="G58" s="20">
        <v>10</v>
      </c>
      <c r="H58" s="21">
        <f t="shared" si="3"/>
        <v>0</v>
      </c>
      <c r="I58" s="21"/>
      <c r="J58" s="20"/>
      <c r="K58" s="23"/>
      <c r="L58" s="23"/>
      <c r="M58" s="22">
        <f t="shared" si="4"/>
        <v>0</v>
      </c>
    </row>
    <row r="59" spans="1:13" hidden="1">
      <c r="A59" s="232"/>
      <c r="B59" s="233"/>
      <c r="C59" s="233"/>
      <c r="D59" s="233"/>
      <c r="E59" s="20" t="s">
        <v>13</v>
      </c>
      <c r="F59" s="20"/>
      <c r="G59" s="20">
        <v>10</v>
      </c>
      <c r="H59" s="21">
        <f t="shared" si="3"/>
        <v>0</v>
      </c>
      <c r="I59" s="21"/>
      <c r="J59" s="20"/>
      <c r="K59" s="23"/>
      <c r="L59" s="23"/>
      <c r="M59" s="22">
        <f t="shared" si="4"/>
        <v>0</v>
      </c>
    </row>
    <row r="60" spans="1:13" hidden="1">
      <c r="A60" s="232"/>
      <c r="B60" s="233"/>
      <c r="C60" s="233"/>
      <c r="D60" s="233"/>
      <c r="E60" s="20" t="s">
        <v>13</v>
      </c>
      <c r="F60" s="20"/>
      <c r="G60" s="20">
        <v>10</v>
      </c>
      <c r="H60" s="21">
        <f t="shared" si="3"/>
        <v>0</v>
      </c>
      <c r="I60" s="21"/>
      <c r="J60" s="20"/>
      <c r="K60" s="23"/>
      <c r="L60" s="23"/>
      <c r="M60" s="22">
        <f t="shared" si="4"/>
        <v>0</v>
      </c>
    </row>
    <row r="61" spans="1:13" hidden="1">
      <c r="A61" s="232"/>
      <c r="B61" s="233"/>
      <c r="C61" s="233"/>
      <c r="D61" s="233"/>
      <c r="E61" s="20" t="s">
        <v>13</v>
      </c>
      <c r="F61" s="20"/>
      <c r="G61" s="20">
        <v>10</v>
      </c>
      <c r="H61" s="21">
        <f t="shared" si="3"/>
        <v>0</v>
      </c>
      <c r="I61" s="21"/>
      <c r="J61" s="20"/>
      <c r="K61" s="23"/>
      <c r="L61" s="23"/>
      <c r="M61" s="22">
        <f t="shared" si="4"/>
        <v>0</v>
      </c>
    </row>
    <row r="62" spans="1:13" hidden="1">
      <c r="A62" s="232"/>
      <c r="B62" s="233"/>
      <c r="C62" s="233"/>
      <c r="D62" s="233"/>
      <c r="E62" s="20" t="s">
        <v>13</v>
      </c>
      <c r="F62" s="20"/>
      <c r="G62" s="20">
        <v>10</v>
      </c>
      <c r="H62" s="21">
        <f t="shared" si="3"/>
        <v>0</v>
      </c>
      <c r="I62" s="21"/>
      <c r="J62" s="20"/>
      <c r="K62" s="23"/>
      <c r="L62" s="23"/>
      <c r="M62" s="22">
        <f t="shared" si="4"/>
        <v>0</v>
      </c>
    </row>
    <row r="63" spans="1:13" hidden="1">
      <c r="A63" s="232"/>
      <c r="B63" s="233"/>
      <c r="C63" s="233"/>
      <c r="D63" s="233"/>
      <c r="E63" s="20" t="s">
        <v>13</v>
      </c>
      <c r="F63" s="20"/>
      <c r="G63" s="20">
        <v>10</v>
      </c>
      <c r="H63" s="21">
        <f t="shared" si="3"/>
        <v>0</v>
      </c>
      <c r="I63" s="21"/>
      <c r="J63" s="20"/>
      <c r="K63" s="23"/>
      <c r="L63" s="23"/>
      <c r="M63" s="22">
        <f t="shared" si="4"/>
        <v>0</v>
      </c>
    </row>
    <row r="64" spans="1:13" hidden="1">
      <c r="A64" s="267" t="s">
        <v>59</v>
      </c>
      <c r="B64" s="267"/>
      <c r="C64" s="267"/>
      <c r="D64" s="267"/>
      <c r="E64" s="20"/>
      <c r="F64" s="20"/>
      <c r="G64" s="20"/>
      <c r="H64" s="24"/>
      <c r="I64" s="24"/>
      <c r="J64" s="20"/>
      <c r="K64" s="23"/>
      <c r="L64" s="23"/>
      <c r="M64" s="23">
        <f t="shared" si="4"/>
        <v>0</v>
      </c>
    </row>
    <row r="65" spans="1:13" ht="9" hidden="1" customHeight="1">
      <c r="A65" s="268" t="s">
        <v>14</v>
      </c>
      <c r="B65" s="269"/>
      <c r="C65" s="269"/>
      <c r="D65" s="269"/>
      <c r="E65" s="269"/>
      <c r="F65" s="269"/>
      <c r="G65" s="269"/>
      <c r="H65" s="269"/>
      <c r="I65" s="269"/>
      <c r="J65" s="269"/>
      <c r="K65" s="270"/>
      <c r="L65" s="172"/>
      <c r="M65" s="23">
        <f>M64+M48+M47+M46</f>
        <v>96840</v>
      </c>
    </row>
    <row r="66" spans="1:13" ht="20.25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>
      <c r="A67" s="230" t="s">
        <v>88</v>
      </c>
      <c r="B67" s="230"/>
      <c r="C67" s="230"/>
      <c r="D67" s="230"/>
      <c r="E67" s="230"/>
      <c r="F67" s="230"/>
      <c r="G67" s="230"/>
      <c r="H67" s="230"/>
      <c r="I67" s="230"/>
      <c r="J67" s="230"/>
      <c r="K67" s="230"/>
      <c r="L67" s="230"/>
      <c r="M67" s="230"/>
    </row>
    <row r="68" spans="1:13" ht="73.5" customHeight="1">
      <c r="A68" s="231" t="s">
        <v>17</v>
      </c>
      <c r="B68" s="231"/>
      <c r="C68" s="231"/>
      <c r="D68" s="231"/>
      <c r="E68" s="9" t="s">
        <v>79</v>
      </c>
      <c r="F68" s="25" t="s">
        <v>55</v>
      </c>
      <c r="G68" s="9" t="s">
        <v>42</v>
      </c>
      <c r="H68" s="9" t="s">
        <v>48</v>
      </c>
      <c r="I68" s="9" t="s">
        <v>63</v>
      </c>
      <c r="J68" s="9" t="s">
        <v>69</v>
      </c>
      <c r="K68" s="11"/>
      <c r="L68" s="11"/>
      <c r="M68" s="11"/>
    </row>
    <row r="69" spans="1:13" ht="18.75" customHeight="1">
      <c r="A69" s="271">
        <v>1</v>
      </c>
      <c r="B69" s="272"/>
      <c r="C69" s="272"/>
      <c r="D69" s="272"/>
      <c r="E69" s="9">
        <v>2</v>
      </c>
      <c r="F69" s="9">
        <v>3</v>
      </c>
      <c r="G69" s="26">
        <v>4</v>
      </c>
      <c r="H69" s="26">
        <v>5</v>
      </c>
      <c r="I69" s="27">
        <v>6</v>
      </c>
      <c r="J69" s="27" t="s">
        <v>45</v>
      </c>
      <c r="K69" s="11"/>
      <c r="L69" s="11"/>
      <c r="M69" s="28"/>
    </row>
    <row r="70" spans="1:13">
      <c r="A70" s="220" t="s">
        <v>51</v>
      </c>
      <c r="B70" s="220"/>
      <c r="C70" s="220"/>
      <c r="D70" s="220"/>
      <c r="E70" s="30">
        <v>5</v>
      </c>
      <c r="F70" s="29">
        <v>12</v>
      </c>
      <c r="G70" s="38">
        <v>687.02</v>
      </c>
      <c r="H70" s="38">
        <f>45691.3</f>
        <v>45691.3</v>
      </c>
      <c r="I70" s="46">
        <v>212</v>
      </c>
      <c r="J70" s="38">
        <f>H70/I70</f>
        <v>215.52500000000001</v>
      </c>
      <c r="K70" s="11"/>
      <c r="L70" s="11"/>
      <c r="M70" s="17"/>
    </row>
    <row r="71" spans="1:13" ht="15" thickBot="1">
      <c r="A71" s="220" t="s">
        <v>60</v>
      </c>
      <c r="B71" s="220"/>
      <c r="C71" s="220"/>
      <c r="D71" s="220"/>
      <c r="E71" s="30">
        <v>1</v>
      </c>
      <c r="F71" s="30">
        <v>12</v>
      </c>
      <c r="G71" s="38">
        <v>3743.23</v>
      </c>
      <c r="H71" s="38">
        <f>51915.36</f>
        <v>51915.360000000001</v>
      </c>
      <c r="I71" s="46">
        <v>212</v>
      </c>
      <c r="J71" s="38">
        <f>H71/I71</f>
        <v>244.88377358490567</v>
      </c>
      <c r="K71" s="11"/>
      <c r="L71" s="11"/>
      <c r="M71" s="11"/>
    </row>
    <row r="72" spans="1:13" ht="15" thickBot="1">
      <c r="A72" s="222" t="s">
        <v>25</v>
      </c>
      <c r="B72" s="223"/>
      <c r="C72" s="223"/>
      <c r="D72" s="223"/>
      <c r="E72" s="56"/>
      <c r="F72" s="56"/>
      <c r="G72" s="56"/>
      <c r="H72" s="73">
        <f>SUM(H70:H71)</f>
        <v>97606.66</v>
      </c>
      <c r="I72" s="49"/>
      <c r="J72" s="57">
        <f>SUM(J70:J71)</f>
        <v>460.4087735849057</v>
      </c>
      <c r="K72" s="11"/>
      <c r="L72" s="11"/>
      <c r="M72" s="11"/>
    </row>
    <row r="73" spans="1:13" ht="17.25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>
      <c r="A74" s="230" t="s">
        <v>16</v>
      </c>
      <c r="B74" s="230"/>
      <c r="C74" s="230"/>
      <c r="D74" s="230"/>
      <c r="E74" s="230"/>
      <c r="F74" s="230"/>
      <c r="G74" s="230"/>
      <c r="H74" s="230"/>
      <c r="I74" s="230"/>
      <c r="J74" s="230"/>
      <c r="K74" s="230"/>
      <c r="L74" s="230"/>
      <c r="M74" s="230"/>
    </row>
    <row r="75" spans="1:13" ht="73.5" customHeight="1">
      <c r="A75" s="231" t="s">
        <v>17</v>
      </c>
      <c r="B75" s="231"/>
      <c r="C75" s="231"/>
      <c r="D75" s="231"/>
      <c r="E75" s="9" t="s">
        <v>7</v>
      </c>
      <c r="F75" s="25" t="s">
        <v>55</v>
      </c>
      <c r="G75" s="9" t="s">
        <v>42</v>
      </c>
      <c r="H75" s="9" t="s">
        <v>48</v>
      </c>
      <c r="I75" s="9" t="s">
        <v>63</v>
      </c>
      <c r="J75" s="9" t="s">
        <v>69</v>
      </c>
      <c r="K75" s="11"/>
      <c r="L75" s="11"/>
      <c r="M75" s="11"/>
    </row>
    <row r="76" spans="1:13" ht="18.75" customHeight="1">
      <c r="A76" s="271">
        <v>1</v>
      </c>
      <c r="B76" s="272"/>
      <c r="C76" s="272"/>
      <c r="D76" s="272"/>
      <c r="E76" s="9">
        <v>2</v>
      </c>
      <c r="F76" s="9">
        <v>3</v>
      </c>
      <c r="G76" s="26">
        <v>4</v>
      </c>
      <c r="H76" s="26">
        <v>5</v>
      </c>
      <c r="I76" s="27">
        <v>6</v>
      </c>
      <c r="J76" s="27" t="s">
        <v>45</v>
      </c>
      <c r="K76" s="11"/>
      <c r="L76" s="11"/>
      <c r="M76" s="28"/>
    </row>
    <row r="77" spans="1:13">
      <c r="A77" s="220" t="s">
        <v>19</v>
      </c>
      <c r="B77" s="220"/>
      <c r="C77" s="220"/>
      <c r="D77" s="220"/>
      <c r="E77" s="30" t="s">
        <v>22</v>
      </c>
      <c r="F77" s="29">
        <v>200200</v>
      </c>
      <c r="G77" s="38">
        <v>6.62</v>
      </c>
      <c r="H77" s="38">
        <f>934862.1</f>
        <v>934862.1</v>
      </c>
      <c r="I77" s="46">
        <v>212</v>
      </c>
      <c r="J77" s="38">
        <f>H77/I77</f>
        <v>4409.7268867924531</v>
      </c>
      <c r="K77" s="11"/>
      <c r="L77" s="11"/>
      <c r="M77" s="17"/>
    </row>
    <row r="78" spans="1:13">
      <c r="A78" s="220" t="s">
        <v>20</v>
      </c>
      <c r="B78" s="220"/>
      <c r="C78" s="220"/>
      <c r="D78" s="220"/>
      <c r="E78" s="30" t="s">
        <v>23</v>
      </c>
      <c r="F78" s="30">
        <v>1620</v>
      </c>
      <c r="G78" s="38">
        <v>1618.59</v>
      </c>
      <c r="H78" s="38">
        <f>1320356.53</f>
        <v>1320356.53</v>
      </c>
      <c r="I78" s="46">
        <v>212</v>
      </c>
      <c r="J78" s="38">
        <f>H78/I78</f>
        <v>6228.0968396226417</v>
      </c>
      <c r="K78" s="11"/>
      <c r="L78" s="11"/>
      <c r="M78" s="11"/>
    </row>
    <row r="79" spans="1:13">
      <c r="A79" s="220" t="s">
        <v>49</v>
      </c>
      <c r="B79" s="220"/>
      <c r="C79" s="220"/>
      <c r="D79" s="220"/>
      <c r="E79" s="30" t="s">
        <v>24</v>
      </c>
      <c r="F79" s="30">
        <v>5000</v>
      </c>
      <c r="G79" s="38">
        <v>39.22</v>
      </c>
      <c r="H79" s="38">
        <f>156878.18</f>
        <v>156878.18</v>
      </c>
      <c r="I79" s="46">
        <v>212</v>
      </c>
      <c r="J79" s="38">
        <f>H79/I79</f>
        <v>739.99141509433957</v>
      </c>
      <c r="K79" s="11"/>
      <c r="L79" s="11"/>
      <c r="M79" s="11"/>
    </row>
    <row r="80" spans="1:13" ht="15" thickBot="1">
      <c r="A80" s="221" t="s">
        <v>21</v>
      </c>
      <c r="B80" s="221"/>
      <c r="C80" s="221"/>
      <c r="D80" s="221"/>
      <c r="E80" s="55" t="s">
        <v>24</v>
      </c>
      <c r="F80" s="30">
        <v>5500</v>
      </c>
      <c r="G80" s="48">
        <v>53.32</v>
      </c>
      <c r="H80" s="48">
        <f>191740.01</f>
        <v>191740.01</v>
      </c>
      <c r="I80" s="46">
        <v>212</v>
      </c>
      <c r="J80" s="48">
        <f>H80/I80</f>
        <v>904.43400943396227</v>
      </c>
      <c r="K80" s="11"/>
      <c r="L80" s="11"/>
      <c r="M80" s="11"/>
    </row>
    <row r="81" spans="1:15" ht="15" thickBot="1">
      <c r="A81" s="222" t="s">
        <v>25</v>
      </c>
      <c r="B81" s="223"/>
      <c r="C81" s="223"/>
      <c r="D81" s="223"/>
      <c r="E81" s="56"/>
      <c r="F81" s="56"/>
      <c r="G81" s="56"/>
      <c r="H81" s="73">
        <f>SUM(H77:H80)</f>
        <v>2603836.8200000003</v>
      </c>
      <c r="I81" s="49"/>
      <c r="J81" s="57">
        <f>SUM(J77:J80)</f>
        <v>12282.249150943398</v>
      </c>
      <c r="K81" s="11"/>
      <c r="L81" s="11"/>
      <c r="M81" s="11"/>
    </row>
    <row r="82" spans="1:15" ht="15.75" customHeight="1">
      <c r="A82" s="50"/>
      <c r="B82" s="50"/>
      <c r="C82" s="50"/>
      <c r="D82" s="50"/>
      <c r="E82" s="50"/>
      <c r="F82" s="50"/>
      <c r="G82" s="50"/>
      <c r="H82" s="50"/>
      <c r="I82" s="50"/>
      <c r="J82" s="50"/>
      <c r="K82" s="11"/>
      <c r="L82" s="11"/>
      <c r="M82" s="11"/>
    </row>
    <row r="83" spans="1:15">
      <c r="A83" s="230" t="s">
        <v>26</v>
      </c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0"/>
      <c r="M83" s="230"/>
    </row>
    <row r="84" spans="1:15" ht="69.599999999999994">
      <c r="A84" s="281" t="s">
        <v>28</v>
      </c>
      <c r="B84" s="281"/>
      <c r="C84" s="281"/>
      <c r="D84" s="281"/>
      <c r="E84" s="26" t="s">
        <v>7</v>
      </c>
      <c r="F84" s="26" t="s">
        <v>18</v>
      </c>
      <c r="G84" s="9" t="s">
        <v>48</v>
      </c>
      <c r="H84" s="9" t="s">
        <v>76</v>
      </c>
      <c r="I84" s="9" t="s">
        <v>69</v>
      </c>
      <c r="J84" s="11"/>
      <c r="K84" s="177"/>
      <c r="L84" s="177"/>
      <c r="M84" s="178"/>
      <c r="N84" s="179"/>
    </row>
    <row r="85" spans="1:15" ht="15" customHeight="1">
      <c r="A85" s="245" t="s">
        <v>115</v>
      </c>
      <c r="B85" s="246"/>
      <c r="C85" s="246"/>
      <c r="D85" s="247"/>
      <c r="E85" s="52" t="s">
        <v>27</v>
      </c>
      <c r="F85" s="26">
        <v>1</v>
      </c>
      <c r="G85" s="102">
        <f>(38400+27924.16)</f>
        <v>66324.160000000003</v>
      </c>
      <c r="H85" s="46">
        <v>212</v>
      </c>
      <c r="I85" s="102">
        <f>G85/H85</f>
        <v>312.84981132075472</v>
      </c>
      <c r="J85" s="11"/>
      <c r="K85" s="185"/>
      <c r="L85" s="185"/>
      <c r="M85" s="186"/>
      <c r="N85" s="179"/>
      <c r="O85" s="1"/>
    </row>
    <row r="86" spans="1:15" ht="15" customHeight="1">
      <c r="A86" s="245" t="s">
        <v>116</v>
      </c>
      <c r="B86" s="246"/>
      <c r="C86" s="246"/>
      <c r="D86" s="247"/>
      <c r="E86" s="52" t="s">
        <v>27</v>
      </c>
      <c r="F86" s="52">
        <v>1</v>
      </c>
      <c r="G86" s="82">
        <f>157335.63</f>
        <v>157335.63</v>
      </c>
      <c r="H86" s="46">
        <v>212</v>
      </c>
      <c r="I86" s="102">
        <f>G86/H86</f>
        <v>742.1491981132076</v>
      </c>
      <c r="J86" s="11"/>
      <c r="K86" s="185"/>
      <c r="L86" s="185"/>
      <c r="M86" s="186"/>
      <c r="N86" s="179"/>
    </row>
    <row r="87" spans="1:15" ht="15" customHeight="1">
      <c r="A87" s="245" t="s">
        <v>117</v>
      </c>
      <c r="B87" s="246"/>
      <c r="C87" s="246"/>
      <c r="D87" s="247"/>
      <c r="E87" s="52" t="s">
        <v>27</v>
      </c>
      <c r="F87" s="52">
        <v>1</v>
      </c>
      <c r="G87" s="82">
        <f>118800</f>
        <v>118800</v>
      </c>
      <c r="H87" s="46">
        <v>212</v>
      </c>
      <c r="I87" s="102">
        <f t="shared" ref="I87:I95" si="5">G87/H87</f>
        <v>560.37735849056605</v>
      </c>
      <c r="J87" s="11"/>
      <c r="K87" s="185"/>
      <c r="L87" s="185"/>
      <c r="M87" s="186"/>
      <c r="N87" s="179"/>
    </row>
    <row r="88" spans="1:15" ht="15" customHeight="1">
      <c r="A88" s="245" t="s">
        <v>118</v>
      </c>
      <c r="B88" s="246"/>
      <c r="C88" s="246"/>
      <c r="D88" s="247"/>
      <c r="E88" s="52" t="s">
        <v>27</v>
      </c>
      <c r="F88" s="52">
        <v>1</v>
      </c>
      <c r="G88" s="82">
        <f>9600</f>
        <v>9600</v>
      </c>
      <c r="H88" s="46">
        <v>212</v>
      </c>
      <c r="I88" s="102">
        <f t="shared" si="5"/>
        <v>45.283018867924525</v>
      </c>
      <c r="J88" s="11"/>
      <c r="K88" s="185"/>
      <c r="L88" s="185"/>
      <c r="M88" s="186"/>
      <c r="N88" s="179"/>
    </row>
    <row r="89" spans="1:15" ht="15" customHeight="1">
      <c r="A89" s="245" t="s">
        <v>176</v>
      </c>
      <c r="B89" s="246"/>
      <c r="C89" s="246"/>
      <c r="D89" s="247"/>
      <c r="E89" s="52" t="s">
        <v>27</v>
      </c>
      <c r="F89" s="52">
        <v>1</v>
      </c>
      <c r="G89" s="82">
        <f>2000</f>
        <v>2000</v>
      </c>
      <c r="H89" s="46">
        <v>212</v>
      </c>
      <c r="I89" s="102">
        <f>G89/H89</f>
        <v>9.433962264150944</v>
      </c>
      <c r="J89" s="11"/>
      <c r="K89" s="177"/>
      <c r="L89" s="177"/>
      <c r="M89" s="186"/>
      <c r="N89" s="179"/>
    </row>
    <row r="90" spans="1:15" ht="15" customHeight="1">
      <c r="A90" s="245" t="s">
        <v>75</v>
      </c>
      <c r="B90" s="246"/>
      <c r="C90" s="246"/>
      <c r="D90" s="247"/>
      <c r="E90" s="52" t="s">
        <v>27</v>
      </c>
      <c r="F90" s="52">
        <v>1</v>
      </c>
      <c r="G90" s="82">
        <f>(3300+7434)</f>
        <v>10734</v>
      </c>
      <c r="H90" s="46">
        <v>212</v>
      </c>
      <c r="I90" s="102">
        <f t="shared" si="5"/>
        <v>50.632075471698116</v>
      </c>
      <c r="J90" s="11"/>
      <c r="K90" s="177"/>
      <c r="L90" s="177"/>
      <c r="M90" s="178"/>
      <c r="N90" s="179"/>
    </row>
    <row r="91" spans="1:15" ht="15" customHeight="1">
      <c r="A91" s="274" t="s">
        <v>119</v>
      </c>
      <c r="B91" s="275"/>
      <c r="C91" s="275"/>
      <c r="D91" s="276"/>
      <c r="E91" s="52" t="s">
        <v>27</v>
      </c>
      <c r="F91" s="52">
        <v>1</v>
      </c>
      <c r="G91" s="38">
        <f>32500</f>
        <v>32500</v>
      </c>
      <c r="H91" s="46">
        <v>212</v>
      </c>
      <c r="I91" s="102">
        <f t="shared" si="5"/>
        <v>153.30188679245282</v>
      </c>
      <c r="J91" s="11"/>
      <c r="K91" s="177"/>
      <c r="L91" s="177"/>
      <c r="M91" s="178"/>
      <c r="N91" s="179"/>
    </row>
    <row r="92" spans="1:15" ht="28.5" customHeight="1">
      <c r="A92" s="245" t="s">
        <v>120</v>
      </c>
      <c r="B92" s="246"/>
      <c r="C92" s="246"/>
      <c r="D92" s="247"/>
      <c r="E92" s="52" t="s">
        <v>27</v>
      </c>
      <c r="F92" s="52">
        <v>1</v>
      </c>
      <c r="G92" s="70">
        <f>52300</f>
        <v>52300</v>
      </c>
      <c r="H92" s="46">
        <v>212</v>
      </c>
      <c r="I92" s="102">
        <f t="shared" si="5"/>
        <v>246.69811320754718</v>
      </c>
      <c r="J92" s="11"/>
      <c r="K92" s="177"/>
      <c r="L92" s="177"/>
      <c r="M92" s="178"/>
      <c r="N92" s="187"/>
    </row>
    <row r="93" spans="1:15" ht="16.5" customHeight="1">
      <c r="A93" s="80" t="s">
        <v>121</v>
      </c>
      <c r="B93" s="81"/>
      <c r="C93" s="81"/>
      <c r="D93" s="81"/>
      <c r="E93" s="52" t="s">
        <v>27</v>
      </c>
      <c r="F93" s="52">
        <v>1</v>
      </c>
      <c r="G93" s="38">
        <f>13200</f>
        <v>13200</v>
      </c>
      <c r="H93" s="46">
        <v>212</v>
      </c>
      <c r="I93" s="102">
        <f t="shared" si="5"/>
        <v>62.264150943396224</v>
      </c>
      <c r="J93" s="11"/>
      <c r="K93" s="177"/>
      <c r="L93" s="177"/>
      <c r="M93" s="178"/>
      <c r="N93" s="179"/>
    </row>
    <row r="94" spans="1:15" ht="15" customHeight="1">
      <c r="A94" s="274" t="s">
        <v>123</v>
      </c>
      <c r="B94" s="275"/>
      <c r="C94" s="275"/>
      <c r="D94" s="276"/>
      <c r="E94" s="52" t="s">
        <v>27</v>
      </c>
      <c r="F94" s="52">
        <v>1</v>
      </c>
      <c r="G94" s="48">
        <f>24000</f>
        <v>24000</v>
      </c>
      <c r="H94" s="46">
        <v>212</v>
      </c>
      <c r="I94" s="102">
        <f t="shared" si="5"/>
        <v>113.20754716981132</v>
      </c>
      <c r="J94" s="11"/>
      <c r="K94" s="177"/>
      <c r="L94" s="177"/>
      <c r="M94" s="178"/>
      <c r="N94" s="179"/>
    </row>
    <row r="95" spans="1:15" s="1" customFormat="1" ht="15" customHeight="1" thickBot="1">
      <c r="A95" s="274" t="s">
        <v>175</v>
      </c>
      <c r="B95" s="275"/>
      <c r="C95" s="275"/>
      <c r="D95" s="276"/>
      <c r="E95" s="52" t="s">
        <v>27</v>
      </c>
      <c r="F95" s="52">
        <v>1</v>
      </c>
      <c r="G95" s="48">
        <f>24000</f>
        <v>24000</v>
      </c>
      <c r="H95" s="46">
        <v>212</v>
      </c>
      <c r="I95" s="102">
        <f t="shared" si="5"/>
        <v>113.20754716981132</v>
      </c>
      <c r="J95" s="13"/>
      <c r="K95" s="42"/>
      <c r="L95" s="42"/>
      <c r="M95" s="180"/>
      <c r="N95" s="179"/>
      <c r="O95"/>
    </row>
    <row r="96" spans="1:15" ht="15" customHeight="1" thickBot="1">
      <c r="A96" s="174" t="s">
        <v>54</v>
      </c>
      <c r="B96" s="175"/>
      <c r="C96" s="175"/>
      <c r="D96" s="175"/>
      <c r="E96" s="175"/>
      <c r="F96" s="175"/>
      <c r="G96" s="181">
        <f>SUM(G85:G95)</f>
        <v>510793.79000000004</v>
      </c>
      <c r="H96" s="183"/>
      <c r="I96" s="182">
        <f>SUM(I85:I95)</f>
        <v>2409.4046698113207</v>
      </c>
      <c r="K96" s="188"/>
      <c r="L96" s="17"/>
      <c r="M96" s="17"/>
      <c r="N96" s="179"/>
    </row>
    <row r="97" spans="1:32" ht="9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32" ht="15" customHeight="1">
      <c r="A98" s="230" t="s">
        <v>50</v>
      </c>
      <c r="B98" s="230"/>
      <c r="C98" s="230"/>
      <c r="D98" s="230"/>
      <c r="E98" s="230"/>
      <c r="F98" s="230"/>
      <c r="G98" s="230"/>
      <c r="H98" s="230"/>
      <c r="I98" s="230"/>
      <c r="J98" s="230"/>
      <c r="K98" s="230"/>
      <c r="L98" s="230"/>
      <c r="M98" s="230"/>
    </row>
    <row r="99" spans="1:32" ht="69.599999999999994">
      <c r="A99" s="214" t="s">
        <v>28</v>
      </c>
      <c r="B99" s="215"/>
      <c r="C99" s="215"/>
      <c r="D99" s="215"/>
      <c r="E99" s="26" t="s">
        <v>7</v>
      </c>
      <c r="F99" s="9" t="s">
        <v>56</v>
      </c>
      <c r="G99" s="9" t="s">
        <v>48</v>
      </c>
      <c r="H99" s="9" t="s">
        <v>76</v>
      </c>
      <c r="I99" s="9" t="s">
        <v>69</v>
      </c>
      <c r="J99" s="11"/>
      <c r="K99" s="11"/>
      <c r="L99" s="11"/>
      <c r="M99" s="11"/>
      <c r="AB99" s="179"/>
      <c r="AC99" s="179"/>
      <c r="AD99" s="179"/>
      <c r="AE99" s="179"/>
      <c r="AF99" s="179"/>
    </row>
    <row r="100" spans="1:32" ht="43.8" customHeight="1">
      <c r="A100" s="212" t="s">
        <v>126</v>
      </c>
      <c r="B100" s="213"/>
      <c r="C100" s="213"/>
      <c r="D100" s="213"/>
      <c r="E100" s="52" t="s">
        <v>27</v>
      </c>
      <c r="F100" s="52">
        <v>1</v>
      </c>
      <c r="G100" s="82">
        <f>2547.27</f>
        <v>2547.27</v>
      </c>
      <c r="H100" s="46">
        <v>212</v>
      </c>
      <c r="I100" s="103">
        <f>G100/H100</f>
        <v>12.015424528301887</v>
      </c>
      <c r="J100" s="11"/>
      <c r="K100" s="186"/>
      <c r="L100" s="178"/>
      <c r="M100" s="186"/>
      <c r="N100" s="192"/>
      <c r="O100" s="191"/>
      <c r="P100" s="191"/>
      <c r="Q100" s="191"/>
      <c r="R100" s="191"/>
      <c r="S100" s="191"/>
      <c r="T100" s="191"/>
      <c r="U100" s="191"/>
      <c r="V100" s="191"/>
      <c r="W100" s="191"/>
      <c r="X100" s="191"/>
      <c r="Y100" s="191"/>
      <c r="Z100" s="191"/>
      <c r="AA100" s="191"/>
      <c r="AB100" s="191"/>
      <c r="AC100" s="191"/>
      <c r="AD100" s="191"/>
      <c r="AE100" s="191"/>
      <c r="AF100" s="179"/>
    </row>
    <row r="101" spans="1:32" ht="15" customHeight="1">
      <c r="A101" s="212" t="s">
        <v>127</v>
      </c>
      <c r="B101" s="213"/>
      <c r="C101" s="213"/>
      <c r="D101" s="213"/>
      <c r="E101" s="52" t="s">
        <v>27</v>
      </c>
      <c r="F101" s="52">
        <v>1</v>
      </c>
      <c r="G101" s="82">
        <f>36480</f>
        <v>36480</v>
      </c>
      <c r="H101" s="46">
        <v>212</v>
      </c>
      <c r="I101" s="103">
        <f t="shared" ref="I101" si="6">G101/H101</f>
        <v>172.0754716981132</v>
      </c>
      <c r="J101" s="11"/>
      <c r="K101" s="186"/>
      <c r="L101" s="178"/>
      <c r="M101" s="186"/>
      <c r="N101" s="192"/>
      <c r="O101" s="191"/>
      <c r="P101" s="191"/>
      <c r="Q101" s="191"/>
      <c r="R101" s="191"/>
      <c r="S101" s="191"/>
      <c r="T101" s="191"/>
      <c r="U101" s="191"/>
      <c r="V101" s="191"/>
      <c r="W101" s="191"/>
      <c r="X101" s="191"/>
      <c r="Y101" s="191"/>
      <c r="Z101" s="191"/>
      <c r="AA101" s="191"/>
      <c r="AB101" s="191"/>
      <c r="AC101" s="191"/>
      <c r="AD101" s="191"/>
      <c r="AE101" s="191"/>
      <c r="AF101" s="179"/>
    </row>
    <row r="102" spans="1:32" ht="28.8" customHeight="1">
      <c r="A102" s="212" t="s">
        <v>128</v>
      </c>
      <c r="B102" s="213"/>
      <c r="C102" s="213"/>
      <c r="D102" s="213"/>
      <c r="E102" s="52" t="s">
        <v>27</v>
      </c>
      <c r="F102" s="52">
        <v>1</v>
      </c>
      <c r="G102" s="82">
        <f>(128994.21+85586)</f>
        <v>214580.21000000002</v>
      </c>
      <c r="H102" s="46">
        <v>212</v>
      </c>
      <c r="I102" s="103">
        <f>G102/H102</f>
        <v>1012.1708018867926</v>
      </c>
      <c r="J102" s="11"/>
      <c r="K102" s="186"/>
      <c r="L102" s="178"/>
      <c r="M102" s="186"/>
      <c r="N102" s="191"/>
      <c r="O102" s="191"/>
      <c r="P102" s="191"/>
      <c r="Q102" s="191"/>
      <c r="R102" s="191"/>
      <c r="S102" s="191"/>
      <c r="T102" s="191"/>
      <c r="U102" s="191"/>
      <c r="V102" s="191"/>
      <c r="W102" s="191"/>
      <c r="X102" s="191"/>
      <c r="Y102" s="191"/>
      <c r="Z102" s="191"/>
      <c r="AA102" s="191"/>
      <c r="AB102" s="191"/>
      <c r="AC102" s="191"/>
      <c r="AD102" s="191"/>
      <c r="AE102" s="191"/>
      <c r="AF102" s="179"/>
    </row>
    <row r="103" spans="1:32" ht="28.8" customHeight="1">
      <c r="A103" s="212" t="s">
        <v>184</v>
      </c>
      <c r="B103" s="213"/>
      <c r="C103" s="213"/>
      <c r="D103" s="219"/>
      <c r="E103" s="52" t="s">
        <v>27</v>
      </c>
      <c r="F103" s="52">
        <v>1</v>
      </c>
      <c r="G103" s="82">
        <f>3000</f>
        <v>3000</v>
      </c>
      <c r="H103" s="46">
        <v>212</v>
      </c>
      <c r="I103" s="103">
        <f t="shared" ref="I103:I114" si="7">G103/H103</f>
        <v>14.150943396226415</v>
      </c>
      <c r="J103" s="11"/>
      <c r="K103" s="178"/>
      <c r="L103" s="178"/>
      <c r="M103" s="178"/>
      <c r="N103" s="191"/>
      <c r="O103" s="191"/>
      <c r="P103" s="191"/>
      <c r="Q103" s="191"/>
      <c r="R103" s="191"/>
      <c r="S103" s="191"/>
      <c r="T103" s="191"/>
      <c r="U103" s="191"/>
      <c r="V103" s="191"/>
      <c r="W103" s="191"/>
      <c r="X103" s="191"/>
      <c r="Y103" s="191"/>
      <c r="Z103" s="191"/>
      <c r="AA103" s="191"/>
      <c r="AB103" s="191"/>
      <c r="AC103" s="191"/>
      <c r="AD103" s="191"/>
      <c r="AE103" s="191"/>
      <c r="AF103" s="179"/>
    </row>
    <row r="104" spans="1:32" ht="28.8" customHeight="1">
      <c r="A104" s="212" t="s">
        <v>185</v>
      </c>
      <c r="B104" s="213"/>
      <c r="C104" s="213"/>
      <c r="D104" s="219"/>
      <c r="E104" s="52" t="s">
        <v>27</v>
      </c>
      <c r="F104" s="52">
        <v>1</v>
      </c>
      <c r="G104" s="82">
        <f>(24000+37400)</f>
        <v>61400</v>
      </c>
      <c r="H104" s="46">
        <v>212</v>
      </c>
      <c r="I104" s="103">
        <f t="shared" si="7"/>
        <v>289.62264150943395</v>
      </c>
      <c r="J104" s="11"/>
      <c r="K104" s="178"/>
      <c r="L104" s="178"/>
      <c r="M104" s="178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91"/>
      <c r="AC104" s="191"/>
      <c r="AD104" s="191"/>
      <c r="AE104" s="191"/>
      <c r="AF104" s="179"/>
    </row>
    <row r="105" spans="1:32" ht="28.8" customHeight="1">
      <c r="A105" s="212" t="s">
        <v>182</v>
      </c>
      <c r="B105" s="213"/>
      <c r="C105" s="213"/>
      <c r="D105" s="219"/>
      <c r="E105" s="52" t="s">
        <v>27</v>
      </c>
      <c r="F105" s="52">
        <v>1</v>
      </c>
      <c r="G105" s="82">
        <f>19350</f>
        <v>19350</v>
      </c>
      <c r="H105" s="46">
        <v>212</v>
      </c>
      <c r="I105" s="103">
        <f t="shared" si="7"/>
        <v>91.273584905660371</v>
      </c>
      <c r="J105" s="11"/>
      <c r="K105" s="186"/>
      <c r="L105" s="178"/>
      <c r="M105" s="178"/>
      <c r="N105" s="191"/>
      <c r="O105" s="191"/>
      <c r="P105" s="191"/>
      <c r="Q105" s="191"/>
      <c r="R105" s="191"/>
      <c r="S105" s="191"/>
      <c r="T105" s="191"/>
      <c r="U105" s="191"/>
      <c r="V105" s="191"/>
      <c r="W105" s="191"/>
      <c r="X105" s="191"/>
      <c r="Y105" s="191"/>
      <c r="Z105" s="191"/>
      <c r="AA105" s="191"/>
      <c r="AB105" s="191"/>
      <c r="AC105" s="191"/>
      <c r="AD105" s="191"/>
      <c r="AE105" s="191"/>
      <c r="AF105" s="179"/>
    </row>
    <row r="106" spans="1:32" ht="42.6" customHeight="1">
      <c r="A106" s="212" t="s">
        <v>177</v>
      </c>
      <c r="B106" s="213"/>
      <c r="C106" s="213"/>
      <c r="D106" s="213"/>
      <c r="E106" s="52" t="s">
        <v>27</v>
      </c>
      <c r="F106" s="52">
        <v>1</v>
      </c>
      <c r="G106" s="70">
        <f>14328.44</f>
        <v>14328.44</v>
      </c>
      <c r="H106" s="46">
        <v>212</v>
      </c>
      <c r="I106" s="103">
        <f t="shared" si="7"/>
        <v>67.586981132075479</v>
      </c>
      <c r="J106" s="11"/>
      <c r="K106" s="178"/>
      <c r="L106" s="178"/>
      <c r="M106" s="178"/>
      <c r="N106" s="191"/>
      <c r="O106" s="191"/>
      <c r="P106" s="191"/>
      <c r="Q106" s="191"/>
      <c r="R106" s="191"/>
      <c r="S106" s="191"/>
      <c r="T106" s="191"/>
      <c r="U106" s="191"/>
      <c r="V106" s="191"/>
      <c r="W106" s="191"/>
      <c r="X106" s="191"/>
      <c r="Y106" s="191"/>
      <c r="Z106" s="191"/>
      <c r="AA106" s="191"/>
      <c r="AB106" s="191"/>
      <c r="AC106" s="191"/>
      <c r="AD106" s="191"/>
      <c r="AE106" s="191"/>
      <c r="AF106" s="179"/>
    </row>
    <row r="107" spans="1:32">
      <c r="A107" s="212" t="s">
        <v>130</v>
      </c>
      <c r="B107" s="213"/>
      <c r="C107" s="213"/>
      <c r="D107" s="213"/>
      <c r="E107" s="52" t="s">
        <v>27</v>
      </c>
      <c r="F107" s="52">
        <v>1</v>
      </c>
      <c r="G107" s="82">
        <f>(113262.84+4600)</f>
        <v>117862.84</v>
      </c>
      <c r="H107" s="46">
        <v>212</v>
      </c>
      <c r="I107" s="103">
        <f t="shared" si="7"/>
        <v>555.9567924528302</v>
      </c>
      <c r="J107" s="11"/>
      <c r="K107" s="178"/>
      <c r="L107" s="178"/>
      <c r="M107" s="178"/>
      <c r="N107" s="191"/>
      <c r="O107" s="191"/>
      <c r="P107" s="191"/>
      <c r="Q107" s="191"/>
      <c r="R107" s="191"/>
      <c r="S107" s="191"/>
      <c r="T107" s="191"/>
      <c r="U107" s="191"/>
      <c r="V107" s="191"/>
      <c r="W107" s="191"/>
      <c r="X107" s="191"/>
      <c r="Y107" s="191"/>
      <c r="Z107" s="191"/>
      <c r="AA107" s="191"/>
      <c r="AB107" s="191"/>
      <c r="AC107" s="191"/>
      <c r="AD107" s="191"/>
      <c r="AE107" s="191"/>
      <c r="AF107" s="179"/>
    </row>
    <row r="108" spans="1:32">
      <c r="A108" s="212" t="s">
        <v>178</v>
      </c>
      <c r="B108" s="213"/>
      <c r="C108" s="213"/>
      <c r="D108" s="219"/>
      <c r="E108" s="52" t="s">
        <v>27</v>
      </c>
      <c r="F108" s="52">
        <v>1</v>
      </c>
      <c r="G108" s="82">
        <f>41300</f>
        <v>41300</v>
      </c>
      <c r="H108" s="46">
        <v>212</v>
      </c>
      <c r="I108" s="103">
        <f t="shared" si="7"/>
        <v>194.81132075471697</v>
      </c>
      <c r="J108" s="11"/>
      <c r="K108" s="190"/>
      <c r="L108" s="190"/>
      <c r="M108" s="191"/>
      <c r="N108" s="179"/>
      <c r="O108" s="179"/>
      <c r="P108" s="179"/>
      <c r="Q108" s="179"/>
      <c r="R108" s="179"/>
      <c r="S108" s="179"/>
      <c r="T108" s="179"/>
      <c r="U108" s="179"/>
      <c r="V108" s="179"/>
      <c r="W108" s="179"/>
      <c r="X108" s="179"/>
      <c r="Y108" s="179"/>
      <c r="Z108" s="179"/>
      <c r="AA108" s="179"/>
      <c r="AB108" s="179"/>
      <c r="AC108" s="179"/>
      <c r="AD108" s="179"/>
      <c r="AE108" s="179"/>
      <c r="AF108" s="179"/>
    </row>
    <row r="109" spans="1:32">
      <c r="A109" s="212" t="s">
        <v>183</v>
      </c>
      <c r="B109" s="213"/>
      <c r="C109" s="213"/>
      <c r="D109" s="219"/>
      <c r="E109" s="52" t="s">
        <v>27</v>
      </c>
      <c r="F109" s="52">
        <v>1</v>
      </c>
      <c r="G109" s="82">
        <f>7000</f>
        <v>7000</v>
      </c>
      <c r="H109" s="46">
        <v>212</v>
      </c>
      <c r="I109" s="103">
        <f t="shared" si="7"/>
        <v>33.018867924528301</v>
      </c>
      <c r="J109" s="11"/>
      <c r="K109" s="190"/>
      <c r="L109" s="190"/>
      <c r="M109" s="191"/>
      <c r="N109" s="179"/>
      <c r="O109" s="179"/>
      <c r="P109" s="179"/>
      <c r="Q109" s="179"/>
      <c r="R109" s="179"/>
      <c r="S109" s="179"/>
      <c r="T109" s="179"/>
      <c r="U109" s="179"/>
      <c r="V109" s="179"/>
      <c r="W109" s="179"/>
      <c r="X109" s="179"/>
      <c r="Y109" s="179"/>
      <c r="Z109" s="179"/>
      <c r="AA109" s="179"/>
      <c r="AB109" s="179"/>
      <c r="AC109" s="179"/>
      <c r="AD109" s="179"/>
      <c r="AE109" s="179"/>
      <c r="AF109" s="179"/>
    </row>
    <row r="110" spans="1:32">
      <c r="A110" s="294" t="s">
        <v>179</v>
      </c>
      <c r="B110" s="295"/>
      <c r="C110" s="295"/>
      <c r="D110" s="296"/>
      <c r="E110" s="52" t="s">
        <v>27</v>
      </c>
      <c r="F110" s="52">
        <v>1</v>
      </c>
      <c r="G110" s="82">
        <f>23130</f>
        <v>23130</v>
      </c>
      <c r="H110" s="46">
        <v>212</v>
      </c>
      <c r="I110" s="103">
        <f t="shared" si="7"/>
        <v>109.10377358490567</v>
      </c>
      <c r="J110" s="11"/>
      <c r="K110" s="190"/>
      <c r="L110" s="190"/>
      <c r="M110" s="191"/>
      <c r="N110" s="179"/>
      <c r="O110" s="179"/>
      <c r="P110" s="179"/>
      <c r="Q110" s="179"/>
      <c r="R110" s="179"/>
      <c r="S110" s="179"/>
      <c r="T110" s="179"/>
      <c r="U110" s="179"/>
      <c r="V110" s="179"/>
      <c r="W110" s="179"/>
      <c r="X110" s="179"/>
      <c r="Y110" s="179"/>
      <c r="Z110" s="179"/>
      <c r="AA110" s="179"/>
      <c r="AB110" s="179"/>
      <c r="AC110" s="179"/>
      <c r="AD110" s="179"/>
      <c r="AE110" s="179"/>
      <c r="AF110" s="179"/>
    </row>
    <row r="111" spans="1:32">
      <c r="A111" s="294" t="s">
        <v>180</v>
      </c>
      <c r="B111" s="295"/>
      <c r="C111" s="295"/>
      <c r="D111" s="296"/>
      <c r="E111" s="52" t="s">
        <v>27</v>
      </c>
      <c r="F111" s="52">
        <v>1</v>
      </c>
      <c r="G111" s="82">
        <f>21956</f>
        <v>21956</v>
      </c>
      <c r="H111" s="46">
        <v>212</v>
      </c>
      <c r="I111" s="103">
        <f t="shared" si="7"/>
        <v>103.56603773584905</v>
      </c>
      <c r="J111" s="11"/>
      <c r="K111" s="190"/>
      <c r="L111" s="190"/>
      <c r="M111" s="191"/>
      <c r="N111" s="179"/>
      <c r="AB111" s="179"/>
      <c r="AC111" s="179"/>
      <c r="AD111" s="179"/>
      <c r="AE111" s="179"/>
      <c r="AF111" s="179"/>
    </row>
    <row r="112" spans="1:32">
      <c r="A112" s="294" t="s">
        <v>181</v>
      </c>
      <c r="B112" s="295"/>
      <c r="C112" s="295"/>
      <c r="D112" s="296"/>
      <c r="E112" s="52" t="s">
        <v>27</v>
      </c>
      <c r="F112" s="52">
        <v>1</v>
      </c>
      <c r="G112" s="82">
        <f>195935.38</f>
        <v>195935.38</v>
      </c>
      <c r="H112" s="46">
        <v>212</v>
      </c>
      <c r="I112" s="103">
        <f t="shared" si="7"/>
        <v>924.22349056603775</v>
      </c>
      <c r="J112" s="11"/>
      <c r="K112" s="190"/>
      <c r="L112" s="190"/>
      <c r="M112" s="191"/>
      <c r="N112" s="179"/>
      <c r="AB112" s="179"/>
      <c r="AC112" s="179"/>
      <c r="AD112" s="179"/>
      <c r="AE112" s="179"/>
      <c r="AF112" s="179"/>
    </row>
    <row r="113" spans="1:32" ht="18" customHeight="1">
      <c r="A113" s="212" t="s">
        <v>131</v>
      </c>
      <c r="B113" s="213"/>
      <c r="C113" s="213"/>
      <c r="D113" s="213"/>
      <c r="E113" s="52" t="s">
        <v>27</v>
      </c>
      <c r="F113" s="52">
        <v>1</v>
      </c>
      <c r="G113" s="70">
        <f>11196.7</f>
        <v>11196.7</v>
      </c>
      <c r="H113" s="46">
        <v>212</v>
      </c>
      <c r="I113" s="103">
        <f t="shared" si="7"/>
        <v>52.814622641509438</v>
      </c>
      <c r="J113" s="11"/>
      <c r="K113" s="190"/>
      <c r="L113" s="190"/>
      <c r="M113" s="191"/>
      <c r="N113" s="179"/>
      <c r="AB113" s="179"/>
      <c r="AC113" s="179"/>
      <c r="AD113" s="179"/>
      <c r="AE113" s="179"/>
      <c r="AF113" s="179"/>
    </row>
    <row r="114" spans="1:32" ht="46.2" customHeight="1" thickBot="1">
      <c r="A114" s="212" t="s">
        <v>132</v>
      </c>
      <c r="B114" s="213"/>
      <c r="C114" s="213"/>
      <c r="D114" s="213"/>
      <c r="E114" s="52" t="s">
        <v>27</v>
      </c>
      <c r="F114" s="52">
        <v>1</v>
      </c>
      <c r="G114" s="70">
        <f>22460</f>
        <v>22460</v>
      </c>
      <c r="H114" s="46">
        <v>212</v>
      </c>
      <c r="I114" s="103">
        <f t="shared" si="7"/>
        <v>105.94339622641509</v>
      </c>
      <c r="J114" s="11"/>
      <c r="K114" s="190"/>
      <c r="L114" s="190"/>
      <c r="M114" s="191"/>
      <c r="N114" s="179"/>
      <c r="AB114" s="179"/>
      <c r="AC114" s="179"/>
      <c r="AD114" s="179"/>
      <c r="AE114" s="179"/>
      <c r="AF114" s="179"/>
    </row>
    <row r="115" spans="1:32" ht="20.25" customHeight="1" thickBot="1">
      <c r="A115" s="217" t="s">
        <v>53</v>
      </c>
      <c r="B115" s="218"/>
      <c r="C115" s="218"/>
      <c r="D115" s="218"/>
      <c r="E115" s="99"/>
      <c r="F115" s="51"/>
      <c r="G115" s="73">
        <f>SUM(G100:G114)</f>
        <v>792526.84</v>
      </c>
      <c r="H115" s="47"/>
      <c r="I115" s="33">
        <f>SUM(I100:I114)</f>
        <v>3738.3341509433963</v>
      </c>
      <c r="J115" s="11"/>
      <c r="K115" s="190"/>
      <c r="L115" s="190"/>
      <c r="M115" s="191"/>
      <c r="N115" s="179"/>
      <c r="AB115" s="179"/>
      <c r="AC115" s="179"/>
      <c r="AD115" s="179"/>
      <c r="AE115" s="179"/>
      <c r="AF115" s="179"/>
    </row>
    <row r="116" spans="1:32" s="86" customFormat="1" ht="20.25" customHeight="1">
      <c r="A116" s="87"/>
      <c r="B116" s="87"/>
      <c r="C116" s="87"/>
      <c r="D116" s="87"/>
      <c r="E116" s="87"/>
      <c r="F116" s="87"/>
      <c r="G116" s="87"/>
      <c r="H116" s="87"/>
      <c r="I116" s="83"/>
      <c r="J116" s="84"/>
      <c r="K116" s="85"/>
      <c r="L116" s="85"/>
      <c r="M116" s="88"/>
      <c r="N116"/>
      <c r="O116"/>
      <c r="P116"/>
      <c r="Q116"/>
      <c r="R116"/>
    </row>
    <row r="117" spans="1:32" ht="15" customHeight="1">
      <c r="A117" s="230" t="s">
        <v>89</v>
      </c>
      <c r="B117" s="230"/>
      <c r="C117" s="230"/>
      <c r="D117" s="230"/>
      <c r="E117" s="230"/>
      <c r="F117" s="230"/>
      <c r="G117" s="230"/>
      <c r="H117" s="230"/>
      <c r="I117" s="230"/>
      <c r="J117" s="230"/>
      <c r="K117" s="230"/>
      <c r="L117" s="230"/>
      <c r="M117" s="230"/>
    </row>
    <row r="118" spans="1:32" ht="55.8">
      <c r="A118" s="214" t="s">
        <v>28</v>
      </c>
      <c r="B118" s="215"/>
      <c r="C118" s="215"/>
      <c r="D118" s="215"/>
      <c r="E118" s="9" t="s">
        <v>77</v>
      </c>
      <c r="F118" s="9" t="s">
        <v>48</v>
      </c>
      <c r="G118" s="9" t="s">
        <v>76</v>
      </c>
      <c r="H118" s="9" t="s">
        <v>69</v>
      </c>
      <c r="I118" s="11"/>
      <c r="J118" s="11"/>
      <c r="K118" s="11"/>
      <c r="L118" s="11"/>
    </row>
    <row r="119" spans="1:32">
      <c r="A119" s="212" t="s">
        <v>80</v>
      </c>
      <c r="B119" s="213"/>
      <c r="C119" s="213"/>
      <c r="D119" s="213"/>
      <c r="E119" s="52" t="s">
        <v>27</v>
      </c>
      <c r="F119" s="82">
        <f>(1226746.52+13932+69179+41668.5-163.49)</f>
        <v>1351362.53</v>
      </c>
      <c r="G119" s="46">
        <v>212</v>
      </c>
      <c r="H119" s="103">
        <f t="shared" ref="H119:H126" si="8">F119/G119</f>
        <v>6374.351556603774</v>
      </c>
      <c r="I119" s="11"/>
      <c r="J119" s="17"/>
      <c r="K119" s="17"/>
      <c r="L119" s="11"/>
    </row>
    <row r="120" spans="1:32">
      <c r="A120" s="212" t="s">
        <v>192</v>
      </c>
      <c r="B120" s="213"/>
      <c r="C120" s="213"/>
      <c r="D120" s="213"/>
      <c r="E120" s="52" t="s">
        <v>27</v>
      </c>
      <c r="F120" s="82">
        <f>99900</f>
        <v>99900</v>
      </c>
      <c r="G120" s="46">
        <v>212</v>
      </c>
      <c r="H120" s="103">
        <f t="shared" si="8"/>
        <v>471.22641509433964</v>
      </c>
      <c r="I120" s="11"/>
      <c r="J120" s="17"/>
      <c r="K120" s="17"/>
      <c r="L120" s="11"/>
    </row>
    <row r="121" spans="1:32">
      <c r="A121" s="212" t="s">
        <v>191</v>
      </c>
      <c r="B121" s="213"/>
      <c r="C121" s="213"/>
      <c r="D121" s="213"/>
      <c r="E121" s="52" t="s">
        <v>27</v>
      </c>
      <c r="F121" s="189">
        <f>1773120.88</f>
        <v>1773120.88</v>
      </c>
      <c r="G121" s="46">
        <v>212</v>
      </c>
      <c r="H121" s="103">
        <f t="shared" si="8"/>
        <v>8363.7777358490566</v>
      </c>
      <c r="I121" s="191"/>
      <c r="J121" s="179"/>
    </row>
    <row r="122" spans="1:32">
      <c r="A122" s="212" t="s">
        <v>188</v>
      </c>
      <c r="B122" s="213"/>
      <c r="C122" s="213"/>
      <c r="D122" s="213"/>
      <c r="E122" s="52" t="s">
        <v>27</v>
      </c>
      <c r="F122" s="193">
        <f>29019.5</f>
        <v>29019.5</v>
      </c>
      <c r="G122" s="46">
        <v>212</v>
      </c>
      <c r="H122" s="103">
        <f t="shared" si="8"/>
        <v>136.88443396226415</v>
      </c>
      <c r="I122" s="191"/>
      <c r="J122" s="179"/>
    </row>
    <row r="123" spans="1:32">
      <c r="A123" s="212" t="s">
        <v>189</v>
      </c>
      <c r="B123" s="213"/>
      <c r="C123" s="213"/>
      <c r="D123" s="213"/>
      <c r="E123" s="52" t="s">
        <v>27</v>
      </c>
      <c r="F123" s="59">
        <f>780</f>
        <v>780</v>
      </c>
      <c r="G123" s="46">
        <v>212</v>
      </c>
      <c r="H123" s="103">
        <f>F123/G123</f>
        <v>3.6792452830188678</v>
      </c>
      <c r="I123" s="191"/>
      <c r="J123" s="179"/>
    </row>
    <row r="124" spans="1:32">
      <c r="A124" s="212" t="s">
        <v>193</v>
      </c>
      <c r="B124" s="213"/>
      <c r="C124" s="213"/>
      <c r="D124" s="219"/>
      <c r="E124" s="52" t="s">
        <v>27</v>
      </c>
      <c r="F124" s="59">
        <f>78540</f>
        <v>78540</v>
      </c>
      <c r="G124" s="46">
        <v>212</v>
      </c>
      <c r="H124" s="103">
        <f>F124/G124</f>
        <v>370.47169811320754</v>
      </c>
      <c r="I124" s="191"/>
      <c r="J124" s="179"/>
    </row>
    <row r="125" spans="1:32">
      <c r="A125" s="212" t="s">
        <v>194</v>
      </c>
      <c r="B125" s="213"/>
      <c r="C125" s="213"/>
      <c r="D125" s="219"/>
      <c r="E125" s="52" t="s">
        <v>27</v>
      </c>
      <c r="F125" s="59">
        <f>(11720+10155)</f>
        <v>21875</v>
      </c>
      <c r="G125" s="46">
        <v>212</v>
      </c>
      <c r="H125" s="103">
        <f>F125/G125</f>
        <v>103.18396226415095</v>
      </c>
      <c r="I125" s="191"/>
      <c r="J125" s="179"/>
    </row>
    <row r="126" spans="1:32" ht="15" thickBot="1">
      <c r="A126" s="212" t="s">
        <v>190</v>
      </c>
      <c r="B126" s="213"/>
      <c r="C126" s="213"/>
      <c r="D126" s="213"/>
      <c r="E126" s="52" t="s">
        <v>27</v>
      </c>
      <c r="F126" s="38">
        <f>(97062.04+10891.11+3449.6)</f>
        <v>111402.75</v>
      </c>
      <c r="G126" s="46">
        <v>212</v>
      </c>
      <c r="H126" s="103">
        <f t="shared" si="8"/>
        <v>525.48466981132071</v>
      </c>
      <c r="I126" s="191"/>
      <c r="J126" s="179"/>
    </row>
    <row r="127" spans="1:32" ht="20.25" customHeight="1" thickBot="1">
      <c r="A127" s="217" t="s">
        <v>53</v>
      </c>
      <c r="B127" s="218"/>
      <c r="C127" s="218"/>
      <c r="D127" s="218"/>
      <c r="E127" s="52" t="s">
        <v>27</v>
      </c>
      <c r="F127" s="194">
        <f>SUM(F119:F126)</f>
        <v>3466000.66</v>
      </c>
      <c r="G127" s="114"/>
      <c r="H127" s="195">
        <f>SUM(H119:H119)</f>
        <v>6374.351556603774</v>
      </c>
      <c r="I127" s="11"/>
      <c r="J127" s="34"/>
      <c r="K127" s="11"/>
      <c r="L127" s="11"/>
    </row>
    <row r="128" spans="1:32" ht="12" customHeight="1">
      <c r="A128" s="89"/>
      <c r="B128" s="89"/>
      <c r="C128" s="89"/>
      <c r="D128" s="89"/>
      <c r="E128" s="90"/>
      <c r="F128" s="91"/>
      <c r="G128" s="92"/>
      <c r="H128" s="91"/>
      <c r="I128" s="93"/>
      <c r="J128" s="71"/>
      <c r="K128" s="94"/>
      <c r="L128" s="94"/>
      <c r="M128" s="50"/>
    </row>
    <row r="129" spans="1:13" ht="15.6">
      <c r="A129" s="273" t="s">
        <v>78</v>
      </c>
      <c r="B129" s="273"/>
      <c r="C129" s="273"/>
      <c r="D129" s="273"/>
      <c r="E129" s="273"/>
      <c r="F129" s="273"/>
      <c r="G129" s="273"/>
      <c r="H129" s="273"/>
      <c r="I129" s="273"/>
      <c r="J129" s="273"/>
      <c r="K129" s="273"/>
      <c r="L129" s="273"/>
      <c r="M129" s="273"/>
    </row>
    <row r="130" spans="1:13" ht="55.8">
      <c r="A130" s="231" t="s">
        <v>3</v>
      </c>
      <c r="B130" s="231"/>
      <c r="C130" s="231"/>
      <c r="D130" s="231"/>
      <c r="E130" s="9" t="s">
        <v>4</v>
      </c>
      <c r="F130" s="10" t="s">
        <v>0</v>
      </c>
      <c r="G130" s="35" t="s">
        <v>52</v>
      </c>
      <c r="H130" s="35" t="s">
        <v>44</v>
      </c>
      <c r="I130" s="9" t="s">
        <v>63</v>
      </c>
      <c r="J130" s="9" t="s">
        <v>69</v>
      </c>
      <c r="K130" s="9" t="s">
        <v>46</v>
      </c>
      <c r="L130" s="28"/>
      <c r="M130" s="28"/>
    </row>
    <row r="131" spans="1:13">
      <c r="A131" s="252">
        <v>1</v>
      </c>
      <c r="B131" s="253"/>
      <c r="C131" s="253"/>
      <c r="D131" s="253"/>
      <c r="E131" s="26">
        <v>2</v>
      </c>
      <c r="F131" s="12">
        <v>3</v>
      </c>
      <c r="G131" s="26">
        <v>4</v>
      </c>
      <c r="H131" s="26" t="s">
        <v>125</v>
      </c>
      <c r="I131" s="27">
        <v>6</v>
      </c>
      <c r="J131" s="36">
        <v>7</v>
      </c>
      <c r="K131" s="37">
        <v>8</v>
      </c>
      <c r="L131" s="153"/>
      <c r="M131" s="28"/>
    </row>
    <row r="132" spans="1:13" ht="33" customHeight="1" thickBot="1">
      <c r="A132" s="236" t="s">
        <v>66</v>
      </c>
      <c r="B132" s="236"/>
      <c r="C132" s="236"/>
      <c r="D132" s="236"/>
      <c r="E132" s="38">
        <f>10239022.09/12/13.75</f>
        <v>62054.679333333333</v>
      </c>
      <c r="F132" s="38">
        <f>13.75</f>
        <v>13.75</v>
      </c>
      <c r="G132" s="38">
        <f>(7736226.265+127846)</f>
        <v>7864072.2649999997</v>
      </c>
      <c r="H132" s="38">
        <f>(G132*1.302)</f>
        <v>10239022.089029999</v>
      </c>
      <c r="I132" s="46">
        <v>212</v>
      </c>
      <c r="J132" s="38">
        <f>H132/I132</f>
        <v>48297.274004858489</v>
      </c>
      <c r="K132" s="63">
        <f>H132/(8696900+23460820)*100</f>
        <v>31.840012566282681</v>
      </c>
      <c r="L132" s="154"/>
      <c r="M132" s="16"/>
    </row>
    <row r="133" spans="1:13" ht="15" hidden="1" thickBot="1">
      <c r="A133" s="262"/>
      <c r="B133" s="263"/>
      <c r="C133" s="263"/>
      <c r="D133" s="263"/>
      <c r="E133" s="38">
        <v>17865.98</v>
      </c>
      <c r="F133" s="64">
        <v>4</v>
      </c>
      <c r="G133" s="46"/>
      <c r="H133" s="39">
        <f>H6</f>
        <v>0</v>
      </c>
      <c r="I133" s="38" t="e">
        <f t="shared" ref="I133:I154" si="9">F133/G133*H133</f>
        <v>#DIV/0!</v>
      </c>
      <c r="J133" s="38">
        <f t="shared" ref="J133:J154" si="10">E133*F133*12*1.302</f>
        <v>1116552.28608</v>
      </c>
      <c r="K133" s="65" t="s">
        <v>38</v>
      </c>
      <c r="L133" s="155"/>
      <c r="M133" s="32"/>
    </row>
    <row r="134" spans="1:13" ht="15" hidden="1" thickBot="1">
      <c r="A134" s="293"/>
      <c r="B134" s="293"/>
      <c r="C134" s="293"/>
      <c r="D134" s="293"/>
      <c r="E134" s="38">
        <v>9544</v>
      </c>
      <c r="F134" s="64">
        <v>1</v>
      </c>
      <c r="G134" s="46"/>
      <c r="H134" s="39">
        <f>H6</f>
        <v>0</v>
      </c>
      <c r="I134" s="38" t="e">
        <f t="shared" si="9"/>
        <v>#DIV/0!</v>
      </c>
      <c r="J134" s="38">
        <f t="shared" si="10"/>
        <v>149115.45600000001</v>
      </c>
      <c r="K134" s="39">
        <f>H134/11277167.39*100</f>
        <v>0</v>
      </c>
      <c r="L134" s="39"/>
      <c r="M134" s="15"/>
    </row>
    <row r="135" spans="1:13" ht="15" hidden="1" customHeight="1">
      <c r="A135" s="274"/>
      <c r="B135" s="275"/>
      <c r="C135" s="275"/>
      <c r="D135" s="275"/>
      <c r="E135" s="38">
        <v>11560</v>
      </c>
      <c r="F135" s="64">
        <v>1</v>
      </c>
      <c r="G135" s="46"/>
      <c r="H135" s="39">
        <f>H6</f>
        <v>0</v>
      </c>
      <c r="I135" s="38" t="e">
        <f t="shared" si="9"/>
        <v>#DIV/0!</v>
      </c>
      <c r="J135" s="38">
        <f t="shared" si="10"/>
        <v>180613.44</v>
      </c>
      <c r="K135" s="30"/>
      <c r="L135" s="30"/>
      <c r="M135" s="15"/>
    </row>
    <row r="136" spans="1:13" ht="15" hidden="1" thickBot="1">
      <c r="A136" s="236"/>
      <c r="B136" s="236"/>
      <c r="C136" s="236"/>
      <c r="D136" s="236"/>
      <c r="E136" s="38">
        <v>9544</v>
      </c>
      <c r="F136" s="66">
        <v>0.5</v>
      </c>
      <c r="G136" s="46"/>
      <c r="H136" s="39">
        <f>H6</f>
        <v>0</v>
      </c>
      <c r="I136" s="38" t="e">
        <f t="shared" si="9"/>
        <v>#DIV/0!</v>
      </c>
      <c r="J136" s="38">
        <f t="shared" si="10"/>
        <v>74557.728000000003</v>
      </c>
      <c r="K136" s="30"/>
      <c r="L136" s="30"/>
      <c r="M136" s="15"/>
    </row>
    <row r="137" spans="1:13" ht="15" hidden="1" thickBot="1">
      <c r="A137" s="236"/>
      <c r="B137" s="236"/>
      <c r="C137" s="236"/>
      <c r="D137" s="236"/>
      <c r="E137" s="38">
        <v>9544</v>
      </c>
      <c r="F137" s="64">
        <v>1</v>
      </c>
      <c r="G137" s="46"/>
      <c r="H137" s="39">
        <f>H6</f>
        <v>0</v>
      </c>
      <c r="I137" s="38" t="e">
        <f t="shared" si="9"/>
        <v>#DIV/0!</v>
      </c>
      <c r="J137" s="38">
        <f t="shared" si="10"/>
        <v>149115.45600000001</v>
      </c>
      <c r="K137" s="38"/>
      <c r="L137" s="38"/>
      <c r="M137" s="15"/>
    </row>
    <row r="138" spans="1:13" ht="14.25" hidden="1" customHeight="1">
      <c r="A138" s="236"/>
      <c r="B138" s="236"/>
      <c r="C138" s="236"/>
      <c r="D138" s="236"/>
      <c r="E138" s="38">
        <v>9544</v>
      </c>
      <c r="F138" s="64">
        <v>1</v>
      </c>
      <c r="G138" s="46"/>
      <c r="H138" s="39">
        <f>H6</f>
        <v>0</v>
      </c>
      <c r="I138" s="38" t="e">
        <f t="shared" si="9"/>
        <v>#DIV/0!</v>
      </c>
      <c r="J138" s="38">
        <f t="shared" si="10"/>
        <v>149115.45600000001</v>
      </c>
      <c r="K138" s="47"/>
      <c r="L138" s="47"/>
      <c r="M138" s="15"/>
    </row>
    <row r="139" spans="1:13" ht="15" hidden="1" thickBot="1">
      <c r="A139" s="212"/>
      <c r="B139" s="213"/>
      <c r="C139" s="213"/>
      <c r="D139" s="213"/>
      <c r="E139" s="38">
        <v>9544</v>
      </c>
      <c r="F139" s="38"/>
      <c r="G139" s="46"/>
      <c r="H139" s="39">
        <f>H6</f>
        <v>0</v>
      </c>
      <c r="I139" s="38" t="e">
        <f t="shared" si="9"/>
        <v>#DIV/0!</v>
      </c>
      <c r="J139" s="38">
        <f t="shared" si="10"/>
        <v>0</v>
      </c>
      <c r="K139" s="47"/>
      <c r="L139" s="47"/>
      <c r="M139" s="15"/>
    </row>
    <row r="140" spans="1:13" ht="15" hidden="1" thickBot="1">
      <c r="A140" s="212"/>
      <c r="B140" s="213"/>
      <c r="C140" s="213"/>
      <c r="D140" s="213"/>
      <c r="E140" s="38">
        <v>9544</v>
      </c>
      <c r="F140" s="67">
        <v>0.25</v>
      </c>
      <c r="G140" s="46"/>
      <c r="H140" s="39">
        <f>H6</f>
        <v>0</v>
      </c>
      <c r="I140" s="38" t="e">
        <f t="shared" si="9"/>
        <v>#DIV/0!</v>
      </c>
      <c r="J140" s="38">
        <f t="shared" si="10"/>
        <v>37278.864000000001</v>
      </c>
      <c r="K140" s="47"/>
      <c r="L140" s="47"/>
      <c r="M140" s="15"/>
    </row>
    <row r="141" spans="1:13" ht="15" hidden="1" thickBot="1">
      <c r="A141" s="212"/>
      <c r="B141" s="213"/>
      <c r="C141" s="213"/>
      <c r="D141" s="213"/>
      <c r="E141" s="38">
        <v>9544</v>
      </c>
      <c r="F141" s="38"/>
      <c r="G141" s="46"/>
      <c r="H141" s="39">
        <f>H6</f>
        <v>0</v>
      </c>
      <c r="I141" s="38" t="e">
        <f t="shared" si="9"/>
        <v>#DIV/0!</v>
      </c>
      <c r="J141" s="38">
        <f t="shared" si="10"/>
        <v>0</v>
      </c>
      <c r="K141" s="47"/>
      <c r="L141" s="47"/>
      <c r="M141" s="15"/>
    </row>
    <row r="142" spans="1:13" ht="15" hidden="1" thickBot="1">
      <c r="A142" s="212"/>
      <c r="B142" s="213"/>
      <c r="C142" s="213"/>
      <c r="D142" s="213"/>
      <c r="E142" s="38">
        <v>9544</v>
      </c>
      <c r="F142" s="66">
        <v>0.5</v>
      </c>
      <c r="G142" s="46"/>
      <c r="H142" s="39">
        <f>H6</f>
        <v>0</v>
      </c>
      <c r="I142" s="38" t="e">
        <f t="shared" si="9"/>
        <v>#DIV/0!</v>
      </c>
      <c r="J142" s="38">
        <f t="shared" si="10"/>
        <v>74557.728000000003</v>
      </c>
      <c r="K142" s="47"/>
      <c r="L142" s="47"/>
      <c r="M142" s="15"/>
    </row>
    <row r="143" spans="1:13" ht="15.75" hidden="1" customHeight="1">
      <c r="A143" s="212"/>
      <c r="B143" s="213"/>
      <c r="C143" s="213"/>
      <c r="D143" s="213"/>
      <c r="E143" s="38">
        <v>9544</v>
      </c>
      <c r="F143" s="64">
        <v>1</v>
      </c>
      <c r="G143" s="46"/>
      <c r="H143" s="39">
        <f>H6</f>
        <v>0</v>
      </c>
      <c r="I143" s="38" t="e">
        <f t="shared" si="9"/>
        <v>#DIV/0!</v>
      </c>
      <c r="J143" s="38">
        <f t="shared" si="10"/>
        <v>149115.45600000001</v>
      </c>
      <c r="K143" s="47"/>
      <c r="L143" s="47"/>
      <c r="M143" s="15"/>
    </row>
    <row r="144" spans="1:13" ht="15" hidden="1" customHeight="1">
      <c r="A144" s="236"/>
      <c r="B144" s="236"/>
      <c r="C144" s="236"/>
      <c r="D144" s="236"/>
      <c r="E144" s="38">
        <v>9544</v>
      </c>
      <c r="F144" s="64">
        <v>1</v>
      </c>
      <c r="G144" s="46"/>
      <c r="H144" s="39">
        <f>H6</f>
        <v>0</v>
      </c>
      <c r="I144" s="38" t="e">
        <f t="shared" si="9"/>
        <v>#DIV/0!</v>
      </c>
      <c r="J144" s="38">
        <f t="shared" si="10"/>
        <v>149115.45600000001</v>
      </c>
      <c r="K144" s="47"/>
      <c r="L144" s="47"/>
      <c r="M144" s="15"/>
    </row>
    <row r="145" spans="1:14" ht="15" hidden="1" customHeight="1">
      <c r="A145" s="236"/>
      <c r="B145" s="236"/>
      <c r="C145" s="236"/>
      <c r="D145" s="236"/>
      <c r="E145" s="38">
        <v>9544</v>
      </c>
      <c r="F145" s="66">
        <v>5.5</v>
      </c>
      <c r="G145" s="46"/>
      <c r="H145" s="39">
        <f>H6</f>
        <v>0</v>
      </c>
      <c r="I145" s="38" t="e">
        <f t="shared" si="9"/>
        <v>#DIV/0!</v>
      </c>
      <c r="J145" s="38">
        <f t="shared" si="10"/>
        <v>820135.00800000003</v>
      </c>
      <c r="K145" s="47"/>
      <c r="L145" s="47"/>
      <c r="M145" s="15"/>
    </row>
    <row r="146" spans="1:14" ht="15" hidden="1" customHeight="1" thickBot="1">
      <c r="A146" s="236"/>
      <c r="B146" s="236"/>
      <c r="C146" s="236"/>
      <c r="D146" s="236"/>
      <c r="E146" s="38">
        <v>9544</v>
      </c>
      <c r="F146" s="64">
        <v>1</v>
      </c>
      <c r="G146" s="46"/>
      <c r="H146" s="39">
        <f>H6</f>
        <v>0</v>
      </c>
      <c r="I146" s="38" t="e">
        <f t="shared" si="9"/>
        <v>#DIV/0!</v>
      </c>
      <c r="J146" s="38">
        <f t="shared" si="10"/>
        <v>149115.45600000001</v>
      </c>
      <c r="K146" s="47"/>
      <c r="L146" s="47"/>
      <c r="M146" s="15"/>
    </row>
    <row r="147" spans="1:14" ht="15" hidden="1" customHeight="1">
      <c r="A147" s="236"/>
      <c r="B147" s="236"/>
      <c r="C147" s="236"/>
      <c r="D147" s="236"/>
      <c r="E147" s="38">
        <v>9544</v>
      </c>
      <c r="F147" s="66">
        <v>0.5</v>
      </c>
      <c r="G147" s="46"/>
      <c r="H147" s="39">
        <f>H6</f>
        <v>0</v>
      </c>
      <c r="I147" s="38" t="e">
        <f t="shared" si="9"/>
        <v>#DIV/0!</v>
      </c>
      <c r="J147" s="38">
        <f t="shared" si="10"/>
        <v>74557.728000000003</v>
      </c>
      <c r="K147" s="47"/>
      <c r="L147" s="47"/>
      <c r="M147" s="15"/>
    </row>
    <row r="148" spans="1:14" ht="15" hidden="1" customHeight="1">
      <c r="A148" s="236"/>
      <c r="B148" s="236"/>
      <c r="C148" s="236"/>
      <c r="D148" s="236"/>
      <c r="E148" s="38">
        <v>9544</v>
      </c>
      <c r="F148" s="66">
        <v>0.5</v>
      </c>
      <c r="G148" s="46"/>
      <c r="H148" s="39">
        <f>H6</f>
        <v>0</v>
      </c>
      <c r="I148" s="38" t="e">
        <f t="shared" si="9"/>
        <v>#DIV/0!</v>
      </c>
      <c r="J148" s="38">
        <f t="shared" si="10"/>
        <v>74557.728000000003</v>
      </c>
      <c r="K148" s="47"/>
      <c r="L148" s="47"/>
      <c r="M148" s="15"/>
    </row>
    <row r="149" spans="1:14" ht="15" hidden="1" thickBot="1">
      <c r="A149" s="236"/>
      <c r="B149" s="236"/>
      <c r="C149" s="236"/>
      <c r="D149" s="236"/>
      <c r="E149" s="38">
        <v>9544</v>
      </c>
      <c r="F149" s="64">
        <v>1</v>
      </c>
      <c r="G149" s="46"/>
      <c r="H149" s="39">
        <f>H6</f>
        <v>0</v>
      </c>
      <c r="I149" s="38" t="e">
        <f t="shared" si="9"/>
        <v>#DIV/0!</v>
      </c>
      <c r="J149" s="38">
        <f t="shared" si="10"/>
        <v>149115.45600000001</v>
      </c>
      <c r="K149" s="47"/>
      <c r="L149" s="47"/>
      <c r="M149" s="15"/>
    </row>
    <row r="150" spans="1:14" ht="15.75" hidden="1" customHeight="1">
      <c r="A150" s="236"/>
      <c r="B150" s="236"/>
      <c r="C150" s="236"/>
      <c r="D150" s="236"/>
      <c r="E150" s="38">
        <v>9544</v>
      </c>
      <c r="F150" s="64">
        <v>4</v>
      </c>
      <c r="G150" s="46"/>
      <c r="H150" s="39">
        <f>H6</f>
        <v>0</v>
      </c>
      <c r="I150" s="38" t="e">
        <f t="shared" si="9"/>
        <v>#DIV/0!</v>
      </c>
      <c r="J150" s="38">
        <f t="shared" si="10"/>
        <v>596461.82400000002</v>
      </c>
      <c r="K150" s="47"/>
      <c r="L150" s="47"/>
      <c r="M150" s="15"/>
    </row>
    <row r="151" spans="1:14" ht="16.5" hidden="1" customHeight="1">
      <c r="A151" s="212"/>
      <c r="B151" s="213"/>
      <c r="C151" s="213"/>
      <c r="D151" s="213"/>
      <c r="E151" s="38">
        <v>9544</v>
      </c>
      <c r="F151" s="64">
        <v>1</v>
      </c>
      <c r="G151" s="46"/>
      <c r="H151" s="39">
        <f>H6</f>
        <v>0</v>
      </c>
      <c r="I151" s="38" t="e">
        <f t="shared" si="9"/>
        <v>#DIV/0!</v>
      </c>
      <c r="J151" s="38">
        <f t="shared" si="10"/>
        <v>149115.45600000001</v>
      </c>
      <c r="K151" s="47"/>
      <c r="L151" s="47"/>
      <c r="M151" s="15"/>
    </row>
    <row r="152" spans="1:14" ht="16.5" hidden="1" customHeight="1" thickBot="1">
      <c r="A152" s="212"/>
      <c r="B152" s="213"/>
      <c r="C152" s="213"/>
      <c r="D152" s="213"/>
      <c r="E152" s="38">
        <v>9544</v>
      </c>
      <c r="F152" s="67">
        <v>1.75</v>
      </c>
      <c r="G152" s="46"/>
      <c r="H152" s="39">
        <f>H6</f>
        <v>0</v>
      </c>
      <c r="I152" s="38" t="e">
        <f t="shared" si="9"/>
        <v>#DIV/0!</v>
      </c>
      <c r="J152" s="38">
        <f t="shared" si="10"/>
        <v>260952.04800000001</v>
      </c>
      <c r="K152" s="47"/>
      <c r="L152" s="47"/>
      <c r="M152" s="15"/>
    </row>
    <row r="153" spans="1:14" ht="16.5" hidden="1" customHeight="1" thickBot="1">
      <c r="A153" s="212"/>
      <c r="B153" s="213"/>
      <c r="C153" s="213"/>
      <c r="D153" s="213"/>
      <c r="E153" s="38">
        <v>9544</v>
      </c>
      <c r="F153" s="39"/>
      <c r="G153" s="46"/>
      <c r="H153" s="39">
        <f>H6</f>
        <v>0</v>
      </c>
      <c r="I153" s="38" t="e">
        <f t="shared" si="9"/>
        <v>#DIV/0!</v>
      </c>
      <c r="J153" s="38">
        <f t="shared" si="10"/>
        <v>0</v>
      </c>
      <c r="K153" s="47"/>
      <c r="L153" s="47"/>
      <c r="M153" s="15"/>
    </row>
    <row r="154" spans="1:14" ht="16.5" hidden="1" customHeight="1" thickBot="1">
      <c r="A154" s="212"/>
      <c r="B154" s="213"/>
      <c r="C154" s="213"/>
      <c r="D154" s="213"/>
      <c r="E154" s="38">
        <v>9544</v>
      </c>
      <c r="F154" s="66">
        <v>0.5</v>
      </c>
      <c r="G154" s="46"/>
      <c r="H154" s="39">
        <f>H6</f>
        <v>0</v>
      </c>
      <c r="I154" s="38" t="e">
        <f t="shared" si="9"/>
        <v>#DIV/0!</v>
      </c>
      <c r="J154" s="38">
        <f t="shared" si="10"/>
        <v>74557.728000000003</v>
      </c>
      <c r="K154" s="47"/>
      <c r="L154" s="47"/>
      <c r="M154" s="15"/>
    </row>
    <row r="155" spans="1:14" ht="15" hidden="1" customHeight="1">
      <c r="A155" s="212"/>
      <c r="B155" s="213"/>
      <c r="C155" s="213"/>
      <c r="D155" s="213"/>
      <c r="E155" s="38"/>
      <c r="F155" s="38"/>
      <c r="G155" s="38"/>
      <c r="H155" s="38"/>
      <c r="I155" s="38"/>
      <c r="J155" s="38"/>
      <c r="K155" s="47"/>
      <c r="L155" s="47"/>
      <c r="M155" s="15"/>
    </row>
    <row r="156" spans="1:14" ht="15.75" hidden="1" customHeight="1" thickBot="1">
      <c r="A156" s="212"/>
      <c r="B156" s="213"/>
      <c r="C156" s="213"/>
      <c r="D156" s="213"/>
      <c r="E156" s="38"/>
      <c r="F156" s="38"/>
      <c r="G156" s="38"/>
      <c r="H156" s="38"/>
      <c r="I156" s="38"/>
      <c r="J156" s="38"/>
      <c r="K156" s="47"/>
      <c r="L156" s="47"/>
      <c r="M156" s="15"/>
    </row>
    <row r="157" spans="1:14" ht="14.25" hidden="1" customHeight="1" thickBot="1">
      <c r="A157" s="212"/>
      <c r="B157" s="213"/>
      <c r="C157" s="213"/>
      <c r="D157" s="213"/>
      <c r="E157" s="38"/>
      <c r="F157" s="38"/>
      <c r="G157" s="38"/>
      <c r="H157" s="38"/>
      <c r="I157" s="46">
        <v>105</v>
      </c>
      <c r="J157" s="48">
        <f>H157/I157</f>
        <v>0</v>
      </c>
      <c r="K157" s="47"/>
      <c r="L157" s="47"/>
      <c r="M157" s="31"/>
    </row>
    <row r="158" spans="1:14" ht="15" thickBot="1">
      <c r="A158" s="216" t="s">
        <v>47</v>
      </c>
      <c r="B158" s="216"/>
      <c r="C158" s="216"/>
      <c r="D158" s="216"/>
      <c r="E158" s="68"/>
      <c r="F158" s="167"/>
      <c r="G158" s="167"/>
      <c r="H158" s="73">
        <f>H132</f>
        <v>10239022.089029999</v>
      </c>
      <c r="I158" s="49"/>
      <c r="J158" s="69">
        <f>J132</f>
        <v>48297.274004858489</v>
      </c>
      <c r="K158" s="47"/>
      <c r="L158" s="47"/>
      <c r="M158" s="16"/>
    </row>
    <row r="159" spans="1:14" ht="12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7"/>
      <c r="L159" s="17"/>
      <c r="M159" s="17"/>
    </row>
    <row r="160" spans="1:14" ht="15.6">
      <c r="A160" s="273" t="s">
        <v>68</v>
      </c>
      <c r="B160" s="273"/>
      <c r="C160" s="273"/>
      <c r="D160" s="273"/>
      <c r="E160" s="273"/>
      <c r="F160" s="273"/>
      <c r="G160" s="273"/>
      <c r="H160" s="273"/>
      <c r="I160" s="273"/>
      <c r="J160" s="273"/>
      <c r="K160" s="273"/>
      <c r="L160" s="273"/>
      <c r="M160" s="273"/>
      <c r="N160" s="196"/>
    </row>
    <row r="161" spans="1:14" ht="55.8">
      <c r="A161" s="231" t="s">
        <v>3</v>
      </c>
      <c r="B161" s="231"/>
      <c r="C161" s="231"/>
      <c r="D161" s="231"/>
      <c r="E161" s="9" t="s">
        <v>4</v>
      </c>
      <c r="F161" s="10" t="s">
        <v>0</v>
      </c>
      <c r="G161" s="35" t="s">
        <v>52</v>
      </c>
      <c r="H161" s="35" t="s">
        <v>44</v>
      </c>
      <c r="I161" s="9" t="s">
        <v>63</v>
      </c>
      <c r="J161" s="9" t="s">
        <v>69</v>
      </c>
      <c r="K161" s="9" t="s">
        <v>46</v>
      </c>
      <c r="L161" s="28"/>
      <c r="M161" s="28"/>
    </row>
    <row r="162" spans="1:14">
      <c r="A162" s="252">
        <v>1</v>
      </c>
      <c r="B162" s="253"/>
      <c r="C162" s="253"/>
      <c r="D162" s="253"/>
      <c r="E162" s="26">
        <v>2</v>
      </c>
      <c r="F162" s="12">
        <v>3</v>
      </c>
      <c r="G162" s="26">
        <v>4</v>
      </c>
      <c r="H162" s="26">
        <v>5</v>
      </c>
      <c r="I162" s="27">
        <v>6</v>
      </c>
      <c r="J162" s="36">
        <v>7</v>
      </c>
      <c r="K162" s="37">
        <v>8</v>
      </c>
      <c r="L162" s="153"/>
      <c r="M162" s="28"/>
    </row>
    <row r="163" spans="1:14" ht="32.4" customHeight="1" thickBot="1">
      <c r="A163" s="236" t="s">
        <v>67</v>
      </c>
      <c r="B163" s="236"/>
      <c r="C163" s="236"/>
      <c r="D163" s="236"/>
      <c r="E163" s="38">
        <f>20865999.58/12/55.25</f>
        <v>31472.095897435895</v>
      </c>
      <c r="F163" s="38">
        <f>55.25</f>
        <v>55.25</v>
      </c>
      <c r="G163" s="38">
        <f>(15957574.159+68539.1903)</f>
        <v>16026113.349300001</v>
      </c>
      <c r="H163" s="38">
        <f>G163*1.302</f>
        <v>20865999.580788601</v>
      </c>
      <c r="I163" s="46">
        <v>212</v>
      </c>
      <c r="J163" s="38">
        <f>H163/I163</f>
        <v>98424.526324474529</v>
      </c>
      <c r="K163" s="63">
        <f>H163/(8696900+23460820)*100</f>
        <v>64.886439650536801</v>
      </c>
      <c r="L163" s="154"/>
      <c r="M163" s="16"/>
      <c r="N163" s="197"/>
    </row>
    <row r="164" spans="1:14" ht="15" hidden="1" thickBot="1">
      <c r="A164" s="262"/>
      <c r="B164" s="263"/>
      <c r="C164" s="263"/>
      <c r="D164" s="263"/>
      <c r="E164" s="38">
        <v>17865.98</v>
      </c>
      <c r="F164" s="64">
        <v>4</v>
      </c>
      <c r="G164" s="46"/>
      <c r="H164" s="39">
        <f>H39</f>
        <v>0</v>
      </c>
      <c r="I164" s="38" t="e">
        <f t="shared" ref="I164:I185" si="11">F164/G164*H164</f>
        <v>#DIV/0!</v>
      </c>
      <c r="J164" s="38">
        <f t="shared" ref="J164:J185" si="12">E164*F164*12*1.302</f>
        <v>1116552.28608</v>
      </c>
      <c r="K164" s="65" t="s">
        <v>38</v>
      </c>
      <c r="L164" s="155"/>
      <c r="M164" s="32" t="e">
        <f t="shared" ref="M164:M188" si="13">I164*J164</f>
        <v>#DIV/0!</v>
      </c>
    </row>
    <row r="165" spans="1:14" ht="15" hidden="1" thickBot="1">
      <c r="A165" s="293"/>
      <c r="B165" s="293"/>
      <c r="C165" s="293"/>
      <c r="D165" s="293"/>
      <c r="E165" s="38">
        <v>9544</v>
      </c>
      <c r="F165" s="64">
        <v>1</v>
      </c>
      <c r="G165" s="46"/>
      <c r="H165" s="39">
        <f>H39</f>
        <v>0</v>
      </c>
      <c r="I165" s="38" t="e">
        <f t="shared" si="11"/>
        <v>#DIV/0!</v>
      </c>
      <c r="J165" s="38">
        <f t="shared" si="12"/>
        <v>149115.45600000001</v>
      </c>
      <c r="K165" s="39">
        <f>H165/11277167.39*100</f>
        <v>0</v>
      </c>
      <c r="L165" s="39"/>
      <c r="M165" s="15" t="e">
        <f t="shared" si="13"/>
        <v>#DIV/0!</v>
      </c>
    </row>
    <row r="166" spans="1:14" ht="15" hidden="1" customHeight="1">
      <c r="A166" s="274"/>
      <c r="B166" s="275"/>
      <c r="C166" s="275"/>
      <c r="D166" s="275"/>
      <c r="E166" s="38">
        <v>11560</v>
      </c>
      <c r="F166" s="64">
        <v>1</v>
      </c>
      <c r="G166" s="46"/>
      <c r="H166" s="39">
        <f>H39</f>
        <v>0</v>
      </c>
      <c r="I166" s="38" t="e">
        <f t="shared" si="11"/>
        <v>#DIV/0!</v>
      </c>
      <c r="J166" s="38">
        <f t="shared" si="12"/>
        <v>180613.44</v>
      </c>
      <c r="K166" s="30"/>
      <c r="L166" s="30"/>
      <c r="M166" s="15" t="e">
        <f t="shared" si="13"/>
        <v>#DIV/0!</v>
      </c>
    </row>
    <row r="167" spans="1:14" ht="15" hidden="1" thickBot="1">
      <c r="A167" s="236"/>
      <c r="B167" s="236"/>
      <c r="C167" s="236"/>
      <c r="D167" s="236"/>
      <c r="E167" s="38">
        <v>9544</v>
      </c>
      <c r="F167" s="66">
        <v>0.5</v>
      </c>
      <c r="G167" s="46"/>
      <c r="H167" s="39">
        <f>H39</f>
        <v>0</v>
      </c>
      <c r="I167" s="38" t="e">
        <f t="shared" si="11"/>
        <v>#DIV/0!</v>
      </c>
      <c r="J167" s="38">
        <f t="shared" si="12"/>
        <v>74557.728000000003</v>
      </c>
      <c r="K167" s="30"/>
      <c r="L167" s="30"/>
      <c r="M167" s="15" t="e">
        <f t="shared" si="13"/>
        <v>#DIV/0!</v>
      </c>
    </row>
    <row r="168" spans="1:14" ht="15" hidden="1" thickBot="1">
      <c r="A168" s="236"/>
      <c r="B168" s="236"/>
      <c r="C168" s="236"/>
      <c r="D168" s="236"/>
      <c r="E168" s="38">
        <v>9544</v>
      </c>
      <c r="F168" s="64">
        <v>1</v>
      </c>
      <c r="G168" s="46"/>
      <c r="H168" s="39">
        <f>H39</f>
        <v>0</v>
      </c>
      <c r="I168" s="38" t="e">
        <f t="shared" si="11"/>
        <v>#DIV/0!</v>
      </c>
      <c r="J168" s="38">
        <f t="shared" si="12"/>
        <v>149115.45600000001</v>
      </c>
      <c r="K168" s="38"/>
      <c r="L168" s="38"/>
      <c r="M168" s="15" t="e">
        <f t="shared" si="13"/>
        <v>#DIV/0!</v>
      </c>
    </row>
    <row r="169" spans="1:14" ht="14.25" hidden="1" customHeight="1">
      <c r="A169" s="236"/>
      <c r="B169" s="236"/>
      <c r="C169" s="236"/>
      <c r="D169" s="236"/>
      <c r="E169" s="38">
        <v>9544</v>
      </c>
      <c r="F169" s="64">
        <v>1</v>
      </c>
      <c r="G169" s="46"/>
      <c r="H169" s="39">
        <f>H39</f>
        <v>0</v>
      </c>
      <c r="I169" s="38" t="e">
        <f t="shared" si="11"/>
        <v>#DIV/0!</v>
      </c>
      <c r="J169" s="38">
        <f t="shared" si="12"/>
        <v>149115.45600000001</v>
      </c>
      <c r="K169" s="47"/>
      <c r="L169" s="47"/>
      <c r="M169" s="15" t="e">
        <f t="shared" si="13"/>
        <v>#DIV/0!</v>
      </c>
    </row>
    <row r="170" spans="1:14" ht="15" hidden="1" thickBot="1">
      <c r="A170" s="212"/>
      <c r="B170" s="213"/>
      <c r="C170" s="213"/>
      <c r="D170" s="213"/>
      <c r="E170" s="38">
        <v>9544</v>
      </c>
      <c r="F170" s="38"/>
      <c r="G170" s="46"/>
      <c r="H170" s="39">
        <f>H39</f>
        <v>0</v>
      </c>
      <c r="I170" s="38" t="e">
        <f t="shared" si="11"/>
        <v>#DIV/0!</v>
      </c>
      <c r="J170" s="38">
        <f t="shared" si="12"/>
        <v>0</v>
      </c>
      <c r="K170" s="47"/>
      <c r="L170" s="47"/>
      <c r="M170" s="15" t="e">
        <f t="shared" si="13"/>
        <v>#DIV/0!</v>
      </c>
    </row>
    <row r="171" spans="1:14" ht="15" hidden="1" thickBot="1">
      <c r="A171" s="212"/>
      <c r="B171" s="213"/>
      <c r="C171" s="213"/>
      <c r="D171" s="213"/>
      <c r="E171" s="38">
        <v>9544</v>
      </c>
      <c r="F171" s="67">
        <v>0.25</v>
      </c>
      <c r="G171" s="46"/>
      <c r="H171" s="39">
        <f>H39</f>
        <v>0</v>
      </c>
      <c r="I171" s="38" t="e">
        <f t="shared" si="11"/>
        <v>#DIV/0!</v>
      </c>
      <c r="J171" s="38">
        <f t="shared" si="12"/>
        <v>37278.864000000001</v>
      </c>
      <c r="K171" s="47"/>
      <c r="L171" s="47"/>
      <c r="M171" s="15" t="e">
        <f t="shared" si="13"/>
        <v>#DIV/0!</v>
      </c>
    </row>
    <row r="172" spans="1:14" ht="15" hidden="1" thickBot="1">
      <c r="A172" s="212"/>
      <c r="B172" s="213"/>
      <c r="C172" s="213"/>
      <c r="D172" s="213"/>
      <c r="E172" s="38">
        <v>9544</v>
      </c>
      <c r="F172" s="38"/>
      <c r="G172" s="46"/>
      <c r="H172" s="39">
        <f>H39</f>
        <v>0</v>
      </c>
      <c r="I172" s="38" t="e">
        <f t="shared" si="11"/>
        <v>#DIV/0!</v>
      </c>
      <c r="J172" s="38">
        <f t="shared" si="12"/>
        <v>0</v>
      </c>
      <c r="K172" s="47"/>
      <c r="L172" s="47"/>
      <c r="M172" s="15" t="e">
        <f t="shared" si="13"/>
        <v>#DIV/0!</v>
      </c>
    </row>
    <row r="173" spans="1:14" ht="15" hidden="1" thickBot="1">
      <c r="A173" s="212"/>
      <c r="B173" s="213"/>
      <c r="C173" s="213"/>
      <c r="D173" s="213"/>
      <c r="E173" s="38">
        <v>9544</v>
      </c>
      <c r="F173" s="66">
        <v>0.5</v>
      </c>
      <c r="G173" s="46"/>
      <c r="H173" s="39">
        <f>H39</f>
        <v>0</v>
      </c>
      <c r="I173" s="38" t="e">
        <f t="shared" si="11"/>
        <v>#DIV/0!</v>
      </c>
      <c r="J173" s="38">
        <f t="shared" si="12"/>
        <v>74557.728000000003</v>
      </c>
      <c r="K173" s="47"/>
      <c r="L173" s="47"/>
      <c r="M173" s="15" t="e">
        <f t="shared" si="13"/>
        <v>#DIV/0!</v>
      </c>
    </row>
    <row r="174" spans="1:14" ht="15.75" hidden="1" customHeight="1">
      <c r="A174" s="212"/>
      <c r="B174" s="213"/>
      <c r="C174" s="213"/>
      <c r="D174" s="213"/>
      <c r="E174" s="38">
        <v>9544</v>
      </c>
      <c r="F174" s="64">
        <v>1</v>
      </c>
      <c r="G174" s="46"/>
      <c r="H174" s="39">
        <f>H39</f>
        <v>0</v>
      </c>
      <c r="I174" s="38" t="e">
        <f t="shared" si="11"/>
        <v>#DIV/0!</v>
      </c>
      <c r="J174" s="38">
        <f t="shared" si="12"/>
        <v>149115.45600000001</v>
      </c>
      <c r="K174" s="47"/>
      <c r="L174" s="47"/>
      <c r="M174" s="15" t="e">
        <f t="shared" si="13"/>
        <v>#DIV/0!</v>
      </c>
    </row>
    <row r="175" spans="1:14" ht="15" hidden="1" customHeight="1">
      <c r="A175" s="236"/>
      <c r="B175" s="236"/>
      <c r="C175" s="236"/>
      <c r="D175" s="236"/>
      <c r="E175" s="38">
        <v>9544</v>
      </c>
      <c r="F175" s="64">
        <v>1</v>
      </c>
      <c r="G175" s="46"/>
      <c r="H175" s="39">
        <f>H39</f>
        <v>0</v>
      </c>
      <c r="I175" s="38" t="e">
        <f t="shared" si="11"/>
        <v>#DIV/0!</v>
      </c>
      <c r="J175" s="38">
        <f t="shared" si="12"/>
        <v>149115.45600000001</v>
      </c>
      <c r="K175" s="47"/>
      <c r="L175" s="47"/>
      <c r="M175" s="15" t="e">
        <f t="shared" si="13"/>
        <v>#DIV/0!</v>
      </c>
    </row>
    <row r="176" spans="1:14" ht="15" hidden="1" customHeight="1" thickBot="1">
      <c r="A176" s="236"/>
      <c r="B176" s="236"/>
      <c r="C176" s="236"/>
      <c r="D176" s="236"/>
      <c r="E176" s="38">
        <v>9544</v>
      </c>
      <c r="F176" s="66">
        <v>5.5</v>
      </c>
      <c r="G176" s="46"/>
      <c r="H176" s="39">
        <f>H39</f>
        <v>0</v>
      </c>
      <c r="I176" s="38" t="e">
        <f t="shared" si="11"/>
        <v>#DIV/0!</v>
      </c>
      <c r="J176" s="38">
        <f t="shared" si="12"/>
        <v>820135.00800000003</v>
      </c>
      <c r="K176" s="47"/>
      <c r="L176" s="47"/>
      <c r="M176" s="15" t="e">
        <f t="shared" si="13"/>
        <v>#DIV/0!</v>
      </c>
    </row>
    <row r="177" spans="1:14" ht="15" hidden="1" customHeight="1">
      <c r="A177" s="236"/>
      <c r="B177" s="236"/>
      <c r="C177" s="236"/>
      <c r="D177" s="236"/>
      <c r="E177" s="38">
        <v>9544</v>
      </c>
      <c r="F177" s="64">
        <v>1</v>
      </c>
      <c r="G177" s="46"/>
      <c r="H177" s="39">
        <f>H39</f>
        <v>0</v>
      </c>
      <c r="I177" s="38" t="e">
        <f t="shared" si="11"/>
        <v>#DIV/0!</v>
      </c>
      <c r="J177" s="38">
        <f t="shared" si="12"/>
        <v>149115.45600000001</v>
      </c>
      <c r="K177" s="47"/>
      <c r="L177" s="47"/>
      <c r="M177" s="15" t="e">
        <f t="shared" si="13"/>
        <v>#DIV/0!</v>
      </c>
    </row>
    <row r="178" spans="1:14" ht="15" hidden="1" customHeight="1">
      <c r="A178" s="236"/>
      <c r="B178" s="236"/>
      <c r="C178" s="236"/>
      <c r="D178" s="236"/>
      <c r="E178" s="38">
        <v>9544</v>
      </c>
      <c r="F178" s="66">
        <v>0.5</v>
      </c>
      <c r="G178" s="46"/>
      <c r="H178" s="39">
        <f>H39</f>
        <v>0</v>
      </c>
      <c r="I178" s="38" t="e">
        <f t="shared" si="11"/>
        <v>#DIV/0!</v>
      </c>
      <c r="J178" s="38">
        <f t="shared" si="12"/>
        <v>74557.728000000003</v>
      </c>
      <c r="K178" s="47"/>
      <c r="L178" s="47"/>
      <c r="M178" s="15" t="e">
        <f t="shared" si="13"/>
        <v>#DIV/0!</v>
      </c>
    </row>
    <row r="179" spans="1:14" ht="15" hidden="1" customHeight="1">
      <c r="A179" s="236"/>
      <c r="B179" s="236"/>
      <c r="C179" s="236"/>
      <c r="D179" s="236"/>
      <c r="E179" s="38">
        <v>9544</v>
      </c>
      <c r="F179" s="66">
        <v>0.5</v>
      </c>
      <c r="G179" s="46"/>
      <c r="H179" s="39">
        <f>H39</f>
        <v>0</v>
      </c>
      <c r="I179" s="38" t="e">
        <f t="shared" si="11"/>
        <v>#DIV/0!</v>
      </c>
      <c r="J179" s="38">
        <f t="shared" si="12"/>
        <v>74557.728000000003</v>
      </c>
      <c r="K179" s="47"/>
      <c r="L179" s="47"/>
      <c r="M179" s="15" t="e">
        <f t="shared" si="13"/>
        <v>#DIV/0!</v>
      </c>
    </row>
    <row r="180" spans="1:14" ht="15" hidden="1" thickBot="1">
      <c r="A180" s="236"/>
      <c r="B180" s="236"/>
      <c r="C180" s="236"/>
      <c r="D180" s="236"/>
      <c r="E180" s="38">
        <v>9544</v>
      </c>
      <c r="F180" s="64">
        <v>1</v>
      </c>
      <c r="G180" s="46"/>
      <c r="H180" s="39">
        <f>H39</f>
        <v>0</v>
      </c>
      <c r="I180" s="38" t="e">
        <f t="shared" si="11"/>
        <v>#DIV/0!</v>
      </c>
      <c r="J180" s="38">
        <f t="shared" si="12"/>
        <v>149115.45600000001</v>
      </c>
      <c r="K180" s="47"/>
      <c r="L180" s="47"/>
      <c r="M180" s="15" t="e">
        <f t="shared" si="13"/>
        <v>#DIV/0!</v>
      </c>
    </row>
    <row r="181" spans="1:14" ht="15.75" hidden="1" customHeight="1">
      <c r="A181" s="236"/>
      <c r="B181" s="236"/>
      <c r="C181" s="236"/>
      <c r="D181" s="236"/>
      <c r="E181" s="38">
        <v>9544</v>
      </c>
      <c r="F181" s="64">
        <v>4</v>
      </c>
      <c r="G181" s="46"/>
      <c r="H181" s="39">
        <f>H39</f>
        <v>0</v>
      </c>
      <c r="I181" s="38" t="e">
        <f t="shared" si="11"/>
        <v>#DIV/0!</v>
      </c>
      <c r="J181" s="38">
        <f t="shared" si="12"/>
        <v>596461.82400000002</v>
      </c>
      <c r="K181" s="47"/>
      <c r="L181" s="47"/>
      <c r="M181" s="15" t="e">
        <f t="shared" si="13"/>
        <v>#DIV/0!</v>
      </c>
    </row>
    <row r="182" spans="1:14" ht="16.5" hidden="1" customHeight="1">
      <c r="A182" s="212"/>
      <c r="B182" s="213"/>
      <c r="C182" s="213"/>
      <c r="D182" s="213"/>
      <c r="E182" s="38">
        <v>9544</v>
      </c>
      <c r="F182" s="64">
        <v>1</v>
      </c>
      <c r="G182" s="46"/>
      <c r="H182" s="39">
        <f>H39</f>
        <v>0</v>
      </c>
      <c r="I182" s="38" t="e">
        <f t="shared" si="11"/>
        <v>#DIV/0!</v>
      </c>
      <c r="J182" s="38">
        <f t="shared" si="12"/>
        <v>149115.45600000001</v>
      </c>
      <c r="K182" s="47"/>
      <c r="L182" s="47"/>
      <c r="M182" s="15" t="e">
        <f t="shared" si="13"/>
        <v>#DIV/0!</v>
      </c>
    </row>
    <row r="183" spans="1:14" ht="16.5" hidden="1" customHeight="1" thickBot="1">
      <c r="A183" s="212"/>
      <c r="B183" s="213"/>
      <c r="C183" s="213"/>
      <c r="D183" s="213"/>
      <c r="E183" s="38">
        <v>9544</v>
      </c>
      <c r="F183" s="67">
        <v>1.75</v>
      </c>
      <c r="G183" s="46"/>
      <c r="H183" s="39">
        <f>H39</f>
        <v>0</v>
      </c>
      <c r="I183" s="38" t="e">
        <f t="shared" si="11"/>
        <v>#DIV/0!</v>
      </c>
      <c r="J183" s="38">
        <f t="shared" si="12"/>
        <v>260952.04800000001</v>
      </c>
      <c r="K183" s="47"/>
      <c r="L183" s="47"/>
      <c r="M183" s="15" t="e">
        <f t="shared" si="13"/>
        <v>#DIV/0!</v>
      </c>
    </row>
    <row r="184" spans="1:14" ht="16.5" hidden="1" customHeight="1" thickBot="1">
      <c r="A184" s="212"/>
      <c r="B184" s="213"/>
      <c r="C184" s="213"/>
      <c r="D184" s="213"/>
      <c r="E184" s="38">
        <v>9544</v>
      </c>
      <c r="F184" s="39"/>
      <c r="G184" s="46"/>
      <c r="H184" s="39">
        <f>H39</f>
        <v>0</v>
      </c>
      <c r="I184" s="38" t="e">
        <f t="shared" si="11"/>
        <v>#DIV/0!</v>
      </c>
      <c r="J184" s="38">
        <f t="shared" si="12"/>
        <v>0</v>
      </c>
      <c r="K184" s="47"/>
      <c r="L184" s="47"/>
      <c r="M184" s="15" t="e">
        <f t="shared" si="13"/>
        <v>#DIV/0!</v>
      </c>
    </row>
    <row r="185" spans="1:14" ht="16.5" hidden="1" customHeight="1" thickBot="1">
      <c r="A185" s="212"/>
      <c r="B185" s="213"/>
      <c r="C185" s="213"/>
      <c r="D185" s="213"/>
      <c r="E185" s="38">
        <v>9544</v>
      </c>
      <c r="F185" s="66">
        <v>0.5</v>
      </c>
      <c r="G185" s="46"/>
      <c r="H185" s="39">
        <f>H39</f>
        <v>0</v>
      </c>
      <c r="I185" s="38" t="e">
        <f t="shared" si="11"/>
        <v>#DIV/0!</v>
      </c>
      <c r="J185" s="38">
        <f t="shared" si="12"/>
        <v>74557.728000000003</v>
      </c>
      <c r="K185" s="47"/>
      <c r="L185" s="47"/>
      <c r="M185" s="15" t="e">
        <f t="shared" si="13"/>
        <v>#DIV/0!</v>
      </c>
    </row>
    <row r="186" spans="1:14" ht="15" hidden="1" customHeight="1">
      <c r="A186" s="212"/>
      <c r="B186" s="213"/>
      <c r="C186" s="213"/>
      <c r="D186" s="213"/>
      <c r="E186" s="38"/>
      <c r="F186" s="38"/>
      <c r="G186" s="38"/>
      <c r="H186" s="38"/>
      <c r="I186" s="38"/>
      <c r="J186" s="38"/>
      <c r="K186" s="47"/>
      <c r="L186" s="47"/>
      <c r="M186" s="15">
        <f t="shared" si="13"/>
        <v>0</v>
      </c>
    </row>
    <row r="187" spans="1:14" ht="15.75" hidden="1" customHeight="1" thickBot="1">
      <c r="A187" s="212"/>
      <c r="B187" s="213"/>
      <c r="C187" s="213"/>
      <c r="D187" s="213"/>
      <c r="E187" s="38"/>
      <c r="F187" s="38"/>
      <c r="G187" s="38"/>
      <c r="H187" s="38"/>
      <c r="I187" s="38"/>
      <c r="J187" s="38"/>
      <c r="K187" s="47"/>
      <c r="L187" s="47"/>
      <c r="M187" s="15">
        <f t="shared" si="13"/>
        <v>0</v>
      </c>
    </row>
    <row r="188" spans="1:14" ht="14.25" hidden="1" customHeight="1" thickBot="1">
      <c r="A188" s="212"/>
      <c r="B188" s="213"/>
      <c r="C188" s="213"/>
      <c r="D188" s="213"/>
      <c r="E188" s="38"/>
      <c r="F188" s="38"/>
      <c r="G188" s="38"/>
      <c r="H188" s="38"/>
      <c r="I188" s="46">
        <v>105</v>
      </c>
      <c r="J188" s="48">
        <f>H188/I188</f>
        <v>0</v>
      </c>
      <c r="K188" s="47"/>
      <c r="L188" s="47"/>
      <c r="M188" s="31">
        <f t="shared" si="13"/>
        <v>0</v>
      </c>
    </row>
    <row r="189" spans="1:14" ht="15" thickBot="1">
      <c r="A189" s="216" t="s">
        <v>47</v>
      </c>
      <c r="B189" s="216"/>
      <c r="C189" s="216"/>
      <c r="D189" s="216"/>
      <c r="E189" s="68"/>
      <c r="F189" s="167"/>
      <c r="G189" s="167"/>
      <c r="H189" s="73">
        <f>H163</f>
        <v>20865999.580788601</v>
      </c>
      <c r="I189" s="49"/>
      <c r="J189" s="69">
        <f>J163</f>
        <v>98424.526324474529</v>
      </c>
      <c r="K189" s="47"/>
      <c r="L189" s="47"/>
      <c r="M189" s="16"/>
    </row>
    <row r="190" spans="1:14">
      <c r="A190" s="11"/>
      <c r="B190" s="11"/>
      <c r="C190" s="11"/>
      <c r="D190" s="11"/>
      <c r="E190" s="11"/>
      <c r="F190" s="11"/>
      <c r="G190" s="11"/>
      <c r="H190" s="13"/>
      <c r="I190" s="13"/>
      <c r="J190" s="13"/>
      <c r="K190" s="11"/>
      <c r="L190" s="11"/>
      <c r="M190" s="11"/>
    </row>
    <row r="191" spans="1:14">
      <c r="A191" s="208" t="s">
        <v>61</v>
      </c>
      <c r="B191" s="208"/>
      <c r="C191" s="208"/>
      <c r="D191" s="208"/>
      <c r="E191" s="208"/>
      <c r="F191" s="208"/>
      <c r="G191" s="208"/>
      <c r="H191" s="208"/>
      <c r="I191" s="208"/>
      <c r="J191" s="208"/>
      <c r="K191" s="208"/>
      <c r="L191" s="165"/>
      <c r="M191" s="11"/>
    </row>
    <row r="192" spans="1:14" ht="55.8">
      <c r="A192" s="214" t="s">
        <v>62</v>
      </c>
      <c r="B192" s="215"/>
      <c r="C192" s="215"/>
      <c r="D192" s="284"/>
      <c r="E192" s="171" t="s">
        <v>7</v>
      </c>
      <c r="F192" s="171" t="s">
        <v>55</v>
      </c>
      <c r="G192" s="171" t="s">
        <v>42</v>
      </c>
      <c r="H192" s="171" t="s">
        <v>48</v>
      </c>
      <c r="I192" s="9" t="s">
        <v>63</v>
      </c>
      <c r="J192" s="9" t="s">
        <v>69</v>
      </c>
      <c r="K192" s="199"/>
      <c r="L192" s="28"/>
      <c r="M192" s="11"/>
      <c r="N192" s="196"/>
    </row>
    <row r="193" spans="1:17" ht="36.75" customHeight="1">
      <c r="A193" s="212" t="s">
        <v>133</v>
      </c>
      <c r="B193" s="213"/>
      <c r="C193" s="213"/>
      <c r="D193" s="219"/>
      <c r="E193" s="171"/>
      <c r="F193" s="171"/>
      <c r="G193" s="171"/>
      <c r="H193" s="100">
        <f>632128.1</f>
        <v>632128.1</v>
      </c>
      <c r="I193" s="46">
        <v>212</v>
      </c>
      <c r="J193" s="104">
        <f>H193/I193</f>
        <v>2981.7363207547169</v>
      </c>
      <c r="K193" s="40"/>
      <c r="L193" s="28"/>
      <c r="M193" s="11"/>
    </row>
    <row r="194" spans="1:17" ht="34.5" customHeight="1" thickBot="1">
      <c r="A194" s="212" t="s">
        <v>134</v>
      </c>
      <c r="B194" s="213"/>
      <c r="C194" s="213"/>
      <c r="D194" s="219"/>
      <c r="E194" s="171"/>
      <c r="F194" s="171"/>
      <c r="G194" s="171"/>
      <c r="H194" s="100">
        <f>214539.18</f>
        <v>214539.18</v>
      </c>
      <c r="I194" s="46">
        <v>212</v>
      </c>
      <c r="J194" s="104">
        <f>H194/I194</f>
        <v>1011.9772641509434</v>
      </c>
      <c r="K194" s="40"/>
      <c r="L194" s="28"/>
      <c r="M194" s="11"/>
    </row>
    <row r="195" spans="1:17" ht="15" thickBot="1">
      <c r="A195" s="285" t="s">
        <v>57</v>
      </c>
      <c r="B195" s="286"/>
      <c r="C195" s="286"/>
      <c r="D195" s="286"/>
      <c r="E195" s="286"/>
      <c r="F195" s="286"/>
      <c r="G195" s="287"/>
      <c r="H195" s="62">
        <f>H194+H193</f>
        <v>846667.28</v>
      </c>
      <c r="I195" s="58"/>
      <c r="J195" s="33">
        <f>SUM(J193:J194)</f>
        <v>3993.7135849056604</v>
      </c>
      <c r="K195" s="50"/>
      <c r="L195" s="11"/>
      <c r="M195" s="11"/>
    </row>
    <row r="196" spans="1:17" ht="6.75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7" ht="55.8">
      <c r="A197" s="214" t="s">
        <v>62</v>
      </c>
      <c r="B197" s="215"/>
      <c r="C197" s="215"/>
      <c r="D197" s="284"/>
      <c r="E197" s="171" t="s">
        <v>135</v>
      </c>
      <c r="F197" s="171" t="s">
        <v>55</v>
      </c>
      <c r="G197" s="171" t="s">
        <v>42</v>
      </c>
      <c r="H197" s="171" t="s">
        <v>48</v>
      </c>
      <c r="I197" s="9" t="s">
        <v>63</v>
      </c>
      <c r="J197" s="9" t="s">
        <v>69</v>
      </c>
      <c r="K197" s="40"/>
      <c r="L197" s="28"/>
      <c r="M197" s="11"/>
    </row>
    <row r="198" spans="1:17">
      <c r="A198" s="212" t="s">
        <v>187</v>
      </c>
      <c r="B198" s="213"/>
      <c r="C198" s="213"/>
      <c r="D198" s="219"/>
      <c r="E198" s="171">
        <v>120</v>
      </c>
      <c r="F198" s="171"/>
      <c r="G198" s="171"/>
      <c r="H198" s="100">
        <f>156649.69</f>
        <v>156649.69</v>
      </c>
      <c r="I198" s="46">
        <v>212</v>
      </c>
      <c r="J198" s="104">
        <f>H198/I198</f>
        <v>738.9136320754717</v>
      </c>
      <c r="K198" s="40"/>
      <c r="L198" s="28"/>
      <c r="M198" s="11"/>
    </row>
    <row r="199" spans="1:17" ht="15" thickBot="1">
      <c r="A199" s="212" t="s">
        <v>186</v>
      </c>
      <c r="B199" s="213"/>
      <c r="C199" s="213"/>
      <c r="D199" s="219"/>
      <c r="E199" s="171">
        <v>640</v>
      </c>
      <c r="F199" s="171"/>
      <c r="G199" s="171"/>
      <c r="H199" s="100">
        <f>74369.3</f>
        <v>74369.3</v>
      </c>
      <c r="I199" s="46">
        <v>212</v>
      </c>
      <c r="J199" s="104">
        <f t="shared" ref="J199:J200" si="14">H199/I199</f>
        <v>350.79858490566039</v>
      </c>
      <c r="K199" s="40"/>
      <c r="L199" s="28"/>
      <c r="M199" s="11"/>
    </row>
    <row r="200" spans="1:17" ht="18" customHeight="1" thickBot="1">
      <c r="A200" s="212" t="s">
        <v>83</v>
      </c>
      <c r="B200" s="213"/>
      <c r="C200" s="213"/>
      <c r="D200" s="219"/>
      <c r="E200" s="171">
        <v>200</v>
      </c>
      <c r="F200" s="171"/>
      <c r="G200" s="171"/>
      <c r="H200" s="100">
        <f>32266.2</f>
        <v>32266.2</v>
      </c>
      <c r="I200" s="46">
        <v>212</v>
      </c>
      <c r="J200" s="104">
        <f t="shared" si="14"/>
        <v>152.19905660377358</v>
      </c>
      <c r="K200" s="40"/>
      <c r="L200" s="28"/>
      <c r="M200" s="11"/>
      <c r="Q200" s="101"/>
    </row>
    <row r="201" spans="1:17" ht="15" thickBot="1">
      <c r="A201" s="285" t="s">
        <v>57</v>
      </c>
      <c r="B201" s="286"/>
      <c r="C201" s="286"/>
      <c r="D201" s="286"/>
      <c r="E201" s="286"/>
      <c r="F201" s="286"/>
      <c r="G201" s="287"/>
      <c r="H201" s="62">
        <f>SUM(H198:H200)</f>
        <v>263285.19</v>
      </c>
      <c r="I201" s="58"/>
      <c r="J201" s="33">
        <f>SUM(J198:J200)</f>
        <v>1241.9112735849058</v>
      </c>
      <c r="K201" s="11"/>
      <c r="L201" s="11"/>
      <c r="M201" s="11"/>
    </row>
    <row r="202" spans="1:17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7">
      <c r="A203" s="230" t="s">
        <v>29</v>
      </c>
      <c r="B203" s="230"/>
      <c r="C203" s="230"/>
      <c r="D203" s="230"/>
      <c r="E203" s="230"/>
      <c r="F203" s="230"/>
      <c r="G203" s="230"/>
      <c r="H203" s="230"/>
      <c r="I203" s="230"/>
      <c r="J203" s="230"/>
      <c r="K203" s="230"/>
      <c r="L203" s="230"/>
      <c r="M203" s="230"/>
    </row>
    <row r="204" spans="1:17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7" ht="47.25" customHeight="1">
      <c r="A205" s="290" t="s">
        <v>30</v>
      </c>
      <c r="B205" s="291"/>
      <c r="C205" s="292"/>
      <c r="D205" s="214" t="s">
        <v>31</v>
      </c>
      <c r="E205" s="288"/>
      <c r="F205" s="288"/>
      <c r="G205" s="288"/>
      <c r="H205" s="288"/>
      <c r="I205" s="288"/>
      <c r="J205" s="289"/>
      <c r="K205" s="282" t="s">
        <v>35</v>
      </c>
      <c r="L205" s="156"/>
    </row>
    <row r="206" spans="1:17" ht="24" customHeight="1">
      <c r="A206" s="10" t="s">
        <v>32</v>
      </c>
      <c r="B206" s="125" t="s">
        <v>33</v>
      </c>
      <c r="C206" s="10" t="s">
        <v>34</v>
      </c>
      <c r="D206" s="9" t="s">
        <v>141</v>
      </c>
      <c r="E206" s="9" t="s">
        <v>142</v>
      </c>
      <c r="F206" s="9" t="s">
        <v>143</v>
      </c>
      <c r="G206" s="9" t="s">
        <v>144</v>
      </c>
      <c r="H206" s="9" t="s">
        <v>145</v>
      </c>
      <c r="I206" s="35" t="s">
        <v>146</v>
      </c>
      <c r="J206" s="171" t="s">
        <v>144</v>
      </c>
      <c r="K206" s="283"/>
      <c r="L206" s="156"/>
    </row>
    <row r="207" spans="1:17">
      <c r="A207" s="15">
        <f>J158</f>
        <v>48297.274004858489</v>
      </c>
      <c r="B207" s="15"/>
      <c r="C207" s="15"/>
      <c r="D207" s="15">
        <f>J72</f>
        <v>460.4087735849057</v>
      </c>
      <c r="E207" s="15">
        <f>J81</f>
        <v>12282.249150943398</v>
      </c>
      <c r="F207" s="15">
        <f>I96</f>
        <v>2409.4046698113207</v>
      </c>
      <c r="G207" s="15">
        <f>I115</f>
        <v>3738.3341509433963</v>
      </c>
      <c r="H207" s="15">
        <f>H127</f>
        <v>6374.351556603774</v>
      </c>
      <c r="I207" s="106">
        <f>J189</f>
        <v>98424.526324474529</v>
      </c>
      <c r="J207" s="105">
        <f>J195+J201</f>
        <v>5235.6248584905661</v>
      </c>
      <c r="K207" s="105">
        <f>SUM(D207:J207)+A207</f>
        <v>177222.17348971037</v>
      </c>
      <c r="L207" s="157"/>
    </row>
    <row r="208" spans="1:17" ht="15" thickBo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ht="15" thickBot="1">
      <c r="A209" s="14" t="s">
        <v>64</v>
      </c>
      <c r="B209" s="14"/>
      <c r="C209" s="14"/>
      <c r="D209" s="11"/>
      <c r="E209" s="11"/>
      <c r="F209" s="11"/>
      <c r="G209" s="11"/>
      <c r="H209" s="11"/>
      <c r="I209" s="11"/>
      <c r="J209" s="72">
        <f>H72+H81+G96+G115+F127+H158+H189+H195+H201</f>
        <v>39685738.909818605</v>
      </c>
      <c r="K209" s="11"/>
      <c r="L209" s="11"/>
      <c r="M209" s="11"/>
    </row>
    <row r="210" spans="1:13" ht="26.25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84"/>
      <c r="K210" s="11"/>
      <c r="L210" s="11"/>
      <c r="M210" s="11"/>
    </row>
    <row r="211" spans="1:13" ht="17.25" customHeight="1">
      <c r="A211" s="3" t="s">
        <v>136</v>
      </c>
      <c r="B211" s="3"/>
      <c r="C211" s="3"/>
      <c r="I211" s="3" t="s">
        <v>137</v>
      </c>
      <c r="K211" s="196"/>
    </row>
    <row r="212" spans="1:13" ht="9.75" customHeight="1"/>
    <row r="213" spans="1:13" ht="15.6">
      <c r="A213" s="118" t="s">
        <v>43</v>
      </c>
      <c r="B213" s="7"/>
      <c r="J213" s="198"/>
      <c r="M213" s="196"/>
    </row>
    <row r="214" spans="1:13" ht="15.6">
      <c r="A214" s="147" t="s">
        <v>196</v>
      </c>
      <c r="B214" s="7"/>
    </row>
    <row r="215" spans="1:13" ht="15.6">
      <c r="A215" s="118" t="s">
        <v>85</v>
      </c>
      <c r="C215" s="7"/>
    </row>
    <row r="216" spans="1:13" ht="15.6">
      <c r="A216" s="2"/>
      <c r="B216" s="2"/>
      <c r="C216" s="2"/>
    </row>
    <row r="219" spans="1:13">
      <c r="K219" s="198">
        <f>J210-K217</f>
        <v>0</v>
      </c>
    </row>
  </sheetData>
  <mergeCells count="213">
    <mergeCell ref="A2:D2"/>
    <mergeCell ref="E2:G2"/>
    <mergeCell ref="A3:B3"/>
    <mergeCell ref="A4:C4"/>
    <mergeCell ref="E4:F4"/>
    <mergeCell ref="H4:K4"/>
    <mergeCell ref="A18:E18"/>
    <mergeCell ref="G18:K18"/>
    <mergeCell ref="A19:E19"/>
    <mergeCell ref="G19:K19"/>
    <mergeCell ref="A20:E20"/>
    <mergeCell ref="G20:K20"/>
    <mergeCell ref="A7:M7"/>
    <mergeCell ref="A8:M8"/>
    <mergeCell ref="A12:M12"/>
    <mergeCell ref="A16:E16"/>
    <mergeCell ref="G16:K16"/>
    <mergeCell ref="A17:E17"/>
    <mergeCell ref="G17:K17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36:E36"/>
    <mergeCell ref="G36:K36"/>
    <mergeCell ref="A37:E37"/>
    <mergeCell ref="G37:K37"/>
    <mergeCell ref="A38:E38"/>
    <mergeCell ref="G38:K38"/>
    <mergeCell ref="A33:E33"/>
    <mergeCell ref="G33:K33"/>
    <mergeCell ref="A34:E34"/>
    <mergeCell ref="G34:K34"/>
    <mergeCell ref="A35:E35"/>
    <mergeCell ref="G35:K35"/>
    <mergeCell ref="A42:M42"/>
    <mergeCell ref="A44:D44"/>
    <mergeCell ref="A45:D45"/>
    <mergeCell ref="A46:D46"/>
    <mergeCell ref="A47:D47"/>
    <mergeCell ref="A48:D48"/>
    <mergeCell ref="A39:E39"/>
    <mergeCell ref="G39:K39"/>
    <mergeCell ref="A40:E40"/>
    <mergeCell ref="G40:K40"/>
    <mergeCell ref="A41:D41"/>
    <mergeCell ref="G41:M41"/>
    <mergeCell ref="A55:D55"/>
    <mergeCell ref="A56:D56"/>
    <mergeCell ref="A57:D57"/>
    <mergeCell ref="A58:D58"/>
    <mergeCell ref="A59:D59"/>
    <mergeCell ref="A60:D60"/>
    <mergeCell ref="A49:D49"/>
    <mergeCell ref="A50:D50"/>
    <mergeCell ref="A51:D51"/>
    <mergeCell ref="A52:D52"/>
    <mergeCell ref="A53:D53"/>
    <mergeCell ref="A54:D54"/>
    <mergeCell ref="A68:D68"/>
    <mergeCell ref="A69:D69"/>
    <mergeCell ref="A70:D70"/>
    <mergeCell ref="A71:D71"/>
    <mergeCell ref="A72:D72"/>
    <mergeCell ref="A74:M74"/>
    <mergeCell ref="A61:D61"/>
    <mergeCell ref="A62:D62"/>
    <mergeCell ref="A63:D63"/>
    <mergeCell ref="A64:D64"/>
    <mergeCell ref="A65:K65"/>
    <mergeCell ref="A67:M67"/>
    <mergeCell ref="A81:D81"/>
    <mergeCell ref="A83:M83"/>
    <mergeCell ref="A84:D84"/>
    <mergeCell ref="A85:D85"/>
    <mergeCell ref="A86:D86"/>
    <mergeCell ref="A87:D87"/>
    <mergeCell ref="A75:D75"/>
    <mergeCell ref="A76:D76"/>
    <mergeCell ref="A77:D77"/>
    <mergeCell ref="A78:D78"/>
    <mergeCell ref="A79:D79"/>
    <mergeCell ref="A80:D80"/>
    <mergeCell ref="A95:D95"/>
    <mergeCell ref="A98:M98"/>
    <mergeCell ref="A99:D99"/>
    <mergeCell ref="A100:D100"/>
    <mergeCell ref="A101:D101"/>
    <mergeCell ref="A102:D102"/>
    <mergeCell ref="A88:D88"/>
    <mergeCell ref="A89:D89"/>
    <mergeCell ref="A90:D90"/>
    <mergeCell ref="A91:D91"/>
    <mergeCell ref="A92:D92"/>
    <mergeCell ref="A94:D94"/>
    <mergeCell ref="A109:D109"/>
    <mergeCell ref="A110:D110"/>
    <mergeCell ref="A111:D111"/>
    <mergeCell ref="A112:D112"/>
    <mergeCell ref="A113:D113"/>
    <mergeCell ref="A114:D114"/>
    <mergeCell ref="A103:D103"/>
    <mergeCell ref="A104:D104"/>
    <mergeCell ref="A105:D105"/>
    <mergeCell ref="A106:D106"/>
    <mergeCell ref="A107:D107"/>
    <mergeCell ref="A108:D108"/>
    <mergeCell ref="A122:D122"/>
    <mergeCell ref="A123:D123"/>
    <mergeCell ref="A124:D124"/>
    <mergeCell ref="A125:D125"/>
    <mergeCell ref="A126:D126"/>
    <mergeCell ref="A127:D127"/>
    <mergeCell ref="A115:D115"/>
    <mergeCell ref="A117:M117"/>
    <mergeCell ref="A118:D118"/>
    <mergeCell ref="A119:D119"/>
    <mergeCell ref="A120:D120"/>
    <mergeCell ref="A121:D121"/>
    <mergeCell ref="A135:D135"/>
    <mergeCell ref="A136:D136"/>
    <mergeCell ref="A137:D137"/>
    <mergeCell ref="A138:D138"/>
    <mergeCell ref="A139:D139"/>
    <mergeCell ref="A140:D140"/>
    <mergeCell ref="A129:M129"/>
    <mergeCell ref="A130:D130"/>
    <mergeCell ref="A131:D131"/>
    <mergeCell ref="A132:D132"/>
    <mergeCell ref="A133:D133"/>
    <mergeCell ref="A134:D134"/>
    <mergeCell ref="A147:D147"/>
    <mergeCell ref="A148:D148"/>
    <mergeCell ref="A149:D149"/>
    <mergeCell ref="A150:D150"/>
    <mergeCell ref="A151:D151"/>
    <mergeCell ref="A152:D152"/>
    <mergeCell ref="A141:D141"/>
    <mergeCell ref="A142:D142"/>
    <mergeCell ref="A143:D143"/>
    <mergeCell ref="A144:D144"/>
    <mergeCell ref="A145:D145"/>
    <mergeCell ref="A146:D146"/>
    <mergeCell ref="A160:M160"/>
    <mergeCell ref="A161:D161"/>
    <mergeCell ref="A162:D162"/>
    <mergeCell ref="A163:D163"/>
    <mergeCell ref="A164:D164"/>
    <mergeCell ref="A165:D165"/>
    <mergeCell ref="A153:D153"/>
    <mergeCell ref="A154:D154"/>
    <mergeCell ref="A155:D155"/>
    <mergeCell ref="A156:D156"/>
    <mergeCell ref="A157:D157"/>
    <mergeCell ref="A158:D158"/>
    <mergeCell ref="A172:D172"/>
    <mergeCell ref="A173:D173"/>
    <mergeCell ref="A174:D174"/>
    <mergeCell ref="A175:D175"/>
    <mergeCell ref="A176:D176"/>
    <mergeCell ref="A177:D177"/>
    <mergeCell ref="A166:D166"/>
    <mergeCell ref="A167:D167"/>
    <mergeCell ref="A168:D168"/>
    <mergeCell ref="A169:D169"/>
    <mergeCell ref="A170:D170"/>
    <mergeCell ref="A171:D171"/>
    <mergeCell ref="A184:D184"/>
    <mergeCell ref="A185:D185"/>
    <mergeCell ref="A186:D186"/>
    <mergeCell ref="A187:D187"/>
    <mergeCell ref="A188:D188"/>
    <mergeCell ref="A189:D189"/>
    <mergeCell ref="A178:D178"/>
    <mergeCell ref="A179:D179"/>
    <mergeCell ref="A180:D180"/>
    <mergeCell ref="A181:D181"/>
    <mergeCell ref="A182:D182"/>
    <mergeCell ref="A183:D183"/>
    <mergeCell ref="A198:D198"/>
    <mergeCell ref="A199:D199"/>
    <mergeCell ref="A200:D200"/>
    <mergeCell ref="A201:G201"/>
    <mergeCell ref="A203:M203"/>
    <mergeCell ref="A205:C205"/>
    <mergeCell ref="D205:J205"/>
    <mergeCell ref="K205:K206"/>
    <mergeCell ref="A191:K191"/>
    <mergeCell ref="A192:D192"/>
    <mergeCell ref="A193:D193"/>
    <mergeCell ref="A194:D194"/>
    <mergeCell ref="A195:G195"/>
    <mergeCell ref="A197:D197"/>
  </mergeCells>
  <pageMargins left="0.70866141732283472" right="0.70866141732283472" top="0.55118110236220474" bottom="0.59055118110236227" header="0.15748031496062992" footer="0.15748031496062992"/>
  <pageSetup paperSize="9" scale="60" orientation="portrait" horizontalDpi="180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67"/>
  <sheetViews>
    <sheetView topLeftCell="A40" workbookViewId="0">
      <selection activeCell="A66" sqref="A66"/>
    </sheetView>
  </sheetViews>
  <sheetFormatPr defaultColWidth="24.5546875" defaultRowHeight="13.8"/>
  <cols>
    <col min="1" max="1" width="16.6640625" style="11" customWidth="1"/>
    <col min="2" max="2" width="23.109375" style="11" customWidth="1"/>
    <col min="3" max="3" width="55.5546875" style="127" customWidth="1"/>
    <col min="4" max="4" width="8.109375" style="128" customWidth="1"/>
    <col min="5" max="5" width="9.5546875" style="11" customWidth="1"/>
    <col min="6" max="16384" width="24.5546875" style="11"/>
  </cols>
  <sheetData>
    <row r="1" spans="1:6">
      <c r="D1" s="128" t="s">
        <v>147</v>
      </c>
    </row>
    <row r="2" spans="1:6">
      <c r="D2" s="128" t="s">
        <v>148</v>
      </c>
    </row>
    <row r="3" spans="1:6">
      <c r="D3" s="128" t="s">
        <v>149</v>
      </c>
    </row>
    <row r="5" spans="1:6" ht="36" customHeight="1">
      <c r="A5" s="301" t="s">
        <v>195</v>
      </c>
      <c r="B5" s="301"/>
      <c r="C5" s="301"/>
      <c r="D5" s="301"/>
      <c r="E5" s="301"/>
    </row>
    <row r="7" spans="1:6" ht="76.5" customHeight="1">
      <c r="A7" s="129" t="s">
        <v>150</v>
      </c>
      <c r="B7" s="130" t="s">
        <v>151</v>
      </c>
      <c r="C7" s="131" t="s">
        <v>152</v>
      </c>
      <c r="D7" s="130" t="s">
        <v>153</v>
      </c>
      <c r="E7" s="129" t="s">
        <v>154</v>
      </c>
      <c r="F7" s="123"/>
    </row>
    <row r="8" spans="1:6">
      <c r="A8" s="124">
        <v>1</v>
      </c>
      <c r="B8" s="122">
        <v>2</v>
      </c>
      <c r="C8" s="132">
        <v>4</v>
      </c>
      <c r="D8" s="133">
        <v>5</v>
      </c>
      <c r="E8" s="124">
        <v>6</v>
      </c>
    </row>
    <row r="9" spans="1:6" ht="24.75" customHeight="1">
      <c r="A9" s="297" t="s">
        <v>74</v>
      </c>
      <c r="B9" s="303" t="s">
        <v>155</v>
      </c>
      <c r="C9" s="134" t="s">
        <v>156</v>
      </c>
      <c r="D9" s="135" t="s">
        <v>157</v>
      </c>
      <c r="E9" s="142">
        <v>13.75</v>
      </c>
    </row>
    <row r="10" spans="1:6" ht="26.25" customHeight="1">
      <c r="A10" s="298"/>
      <c r="B10" s="306"/>
      <c r="C10" s="134" t="s">
        <v>158</v>
      </c>
      <c r="D10" s="135" t="s">
        <v>157</v>
      </c>
      <c r="E10" s="135">
        <v>55.25</v>
      </c>
    </row>
    <row r="11" spans="1:6">
      <c r="A11" s="298"/>
      <c r="B11" s="306"/>
      <c r="C11" s="302" t="s">
        <v>159</v>
      </c>
      <c r="D11" s="302"/>
      <c r="E11" s="302"/>
    </row>
    <row r="12" spans="1:6" ht="18.75" customHeight="1">
      <c r="A12" s="298"/>
      <c r="B12" s="306"/>
      <c r="C12" s="136" t="s">
        <v>160</v>
      </c>
      <c r="D12" s="135" t="s">
        <v>161</v>
      </c>
      <c r="E12" s="135">
        <v>5</v>
      </c>
    </row>
    <row r="13" spans="1:6" ht="18.75" customHeight="1">
      <c r="A13" s="298"/>
      <c r="B13" s="305"/>
      <c r="C13" s="136" t="s">
        <v>60</v>
      </c>
      <c r="D13" s="135"/>
      <c r="E13" s="135">
        <v>1</v>
      </c>
    </row>
    <row r="14" spans="1:6">
      <c r="A14" s="297" t="s">
        <v>86</v>
      </c>
      <c r="B14" s="303" t="s">
        <v>162</v>
      </c>
      <c r="C14" s="302" t="s">
        <v>163</v>
      </c>
      <c r="D14" s="302"/>
      <c r="E14" s="302"/>
    </row>
    <row r="15" spans="1:6" ht="13.5" customHeight="1">
      <c r="A15" s="298"/>
      <c r="B15" s="304"/>
      <c r="C15" s="136" t="s">
        <v>19</v>
      </c>
      <c r="D15" s="135" t="s">
        <v>164</v>
      </c>
      <c r="E15" s="29">
        <v>200200</v>
      </c>
    </row>
    <row r="16" spans="1:6">
      <c r="A16" s="298"/>
      <c r="B16" s="304"/>
      <c r="C16" s="136" t="s">
        <v>20</v>
      </c>
      <c r="D16" s="135" t="s">
        <v>23</v>
      </c>
      <c r="E16" s="30">
        <v>1620</v>
      </c>
    </row>
    <row r="17" spans="1:5">
      <c r="A17" s="298"/>
      <c r="B17" s="304"/>
      <c r="C17" s="136" t="s">
        <v>49</v>
      </c>
      <c r="D17" s="135" t="s">
        <v>24</v>
      </c>
      <c r="E17" s="30">
        <v>5000</v>
      </c>
    </row>
    <row r="18" spans="1:5" ht="15" customHeight="1">
      <c r="A18" s="298"/>
      <c r="B18" s="305"/>
      <c r="C18" s="136" t="s">
        <v>21</v>
      </c>
      <c r="D18" s="135" t="s">
        <v>24</v>
      </c>
      <c r="E18" s="30">
        <v>5500</v>
      </c>
    </row>
    <row r="19" spans="1:5" ht="15" customHeight="1">
      <c r="A19" s="297" t="s">
        <v>87</v>
      </c>
      <c r="B19" s="299" t="s">
        <v>168</v>
      </c>
      <c r="C19" s="137" t="s">
        <v>165</v>
      </c>
      <c r="D19" s="138"/>
      <c r="E19" s="139"/>
    </row>
    <row r="20" spans="1:5" ht="12.75" customHeight="1">
      <c r="A20" s="298"/>
      <c r="B20" s="300"/>
      <c r="C20" s="60" t="s">
        <v>115</v>
      </c>
      <c r="D20" s="143"/>
      <c r="E20" s="146">
        <v>1</v>
      </c>
    </row>
    <row r="21" spans="1:5" ht="12.75" customHeight="1">
      <c r="A21" s="298"/>
      <c r="B21" s="300"/>
      <c r="C21" s="60" t="s">
        <v>116</v>
      </c>
      <c r="D21" s="143"/>
      <c r="E21" s="146">
        <v>1</v>
      </c>
    </row>
    <row r="22" spans="1:5" ht="12.75" customHeight="1">
      <c r="A22" s="298"/>
      <c r="B22" s="300"/>
      <c r="C22" s="60" t="s">
        <v>117</v>
      </c>
      <c r="D22" s="143"/>
      <c r="E22" s="146">
        <v>1</v>
      </c>
    </row>
    <row r="23" spans="1:5" ht="12.75" customHeight="1">
      <c r="A23" s="298"/>
      <c r="B23" s="300"/>
      <c r="C23" s="60" t="s">
        <v>118</v>
      </c>
      <c r="D23" s="143"/>
      <c r="E23" s="146">
        <v>1</v>
      </c>
    </row>
    <row r="24" spans="1:5" ht="12.75" customHeight="1">
      <c r="A24" s="298"/>
      <c r="B24" s="300"/>
      <c r="C24" s="60" t="s">
        <v>75</v>
      </c>
      <c r="D24" s="143"/>
      <c r="E24" s="146">
        <v>1</v>
      </c>
    </row>
    <row r="25" spans="1:5" ht="12.75" customHeight="1">
      <c r="A25" s="298"/>
      <c r="B25" s="300"/>
      <c r="C25" s="60" t="s">
        <v>119</v>
      </c>
      <c r="D25" s="143"/>
      <c r="E25" s="146">
        <v>1</v>
      </c>
    </row>
    <row r="26" spans="1:5" ht="12.75" customHeight="1">
      <c r="A26" s="298"/>
      <c r="B26" s="300"/>
      <c r="C26" s="60" t="s">
        <v>120</v>
      </c>
      <c r="D26" s="143"/>
      <c r="E26" s="146">
        <v>1</v>
      </c>
    </row>
    <row r="27" spans="1:5" ht="12.75" customHeight="1">
      <c r="A27" s="298"/>
      <c r="B27" s="300"/>
      <c r="C27" s="144" t="s">
        <v>121</v>
      </c>
      <c r="D27" s="145"/>
      <c r="E27" s="146">
        <v>1</v>
      </c>
    </row>
    <row r="28" spans="1:5" ht="12.75" customHeight="1">
      <c r="A28" s="313" t="s">
        <v>170</v>
      </c>
      <c r="B28" s="299" t="s">
        <v>171</v>
      </c>
      <c r="C28" s="60" t="s">
        <v>123</v>
      </c>
      <c r="D28" s="143"/>
      <c r="E28" s="146">
        <v>1</v>
      </c>
    </row>
    <row r="29" spans="1:5" ht="12.75" customHeight="1">
      <c r="A29" s="314"/>
      <c r="B29" s="299"/>
      <c r="C29" s="60" t="s">
        <v>176</v>
      </c>
      <c r="D29" s="143"/>
      <c r="E29" s="146"/>
    </row>
    <row r="30" spans="1:5" ht="12.75" customHeight="1">
      <c r="A30" s="314"/>
      <c r="B30" s="299"/>
      <c r="C30" s="60" t="s">
        <v>175</v>
      </c>
      <c r="D30" s="143"/>
      <c r="E30" s="146"/>
    </row>
    <row r="31" spans="1:5" ht="15" customHeight="1">
      <c r="A31" s="314"/>
      <c r="B31" s="299"/>
      <c r="C31" s="310" t="s">
        <v>166</v>
      </c>
      <c r="D31" s="311"/>
      <c r="E31" s="312"/>
    </row>
    <row r="32" spans="1:5" ht="13.5" customHeight="1">
      <c r="A32" s="314"/>
      <c r="B32" s="299"/>
      <c r="C32" s="126" t="s">
        <v>126</v>
      </c>
      <c r="D32" s="126"/>
      <c r="E32" s="146">
        <v>1</v>
      </c>
    </row>
    <row r="33" spans="1:6" ht="13.5" customHeight="1">
      <c r="A33" s="314"/>
      <c r="B33" s="299"/>
      <c r="C33" s="201" t="s">
        <v>184</v>
      </c>
      <c r="D33" s="201"/>
      <c r="E33" s="146">
        <v>1</v>
      </c>
    </row>
    <row r="34" spans="1:6" ht="13.5" customHeight="1">
      <c r="A34" s="314"/>
      <c r="B34" s="299"/>
      <c r="C34" s="201" t="s">
        <v>185</v>
      </c>
      <c r="D34" s="201"/>
      <c r="E34" s="146">
        <v>1</v>
      </c>
    </row>
    <row r="35" spans="1:6" ht="13.8" customHeight="1">
      <c r="A35" s="314"/>
      <c r="B35" s="299"/>
      <c r="C35" s="126" t="s">
        <v>127</v>
      </c>
      <c r="D35" s="126"/>
      <c r="E35" s="146">
        <v>1</v>
      </c>
    </row>
    <row r="36" spans="1:6" ht="16.5" customHeight="1">
      <c r="A36" s="314"/>
      <c r="B36" s="299"/>
      <c r="C36" s="126" t="s">
        <v>128</v>
      </c>
      <c r="D36" s="126"/>
      <c r="E36" s="146">
        <v>1</v>
      </c>
    </row>
    <row r="37" spans="1:6" ht="13.8" customHeight="1">
      <c r="A37" s="314"/>
      <c r="B37" s="299"/>
      <c r="C37" s="60" t="s">
        <v>182</v>
      </c>
      <c r="D37" s="60"/>
      <c r="E37" s="146">
        <v>1</v>
      </c>
    </row>
    <row r="38" spans="1:6" ht="27.6">
      <c r="A38" s="315"/>
      <c r="B38" s="299"/>
      <c r="C38" s="201" t="s">
        <v>177</v>
      </c>
      <c r="D38" s="201"/>
      <c r="E38" s="146">
        <v>1</v>
      </c>
      <c r="F38" s="202"/>
    </row>
    <row r="39" spans="1:6" ht="16.2" customHeight="1">
      <c r="A39" s="317" t="s">
        <v>112</v>
      </c>
      <c r="B39" s="303" t="s">
        <v>172</v>
      </c>
      <c r="C39" s="201" t="s">
        <v>178</v>
      </c>
      <c r="D39" s="201"/>
      <c r="E39" s="146">
        <v>1</v>
      </c>
      <c r="F39" s="202"/>
    </row>
    <row r="40" spans="1:6">
      <c r="A40" s="318"/>
      <c r="B40" s="316"/>
      <c r="C40" s="201" t="s">
        <v>183</v>
      </c>
      <c r="D40" s="201"/>
      <c r="E40" s="146">
        <v>1</v>
      </c>
      <c r="F40" s="202"/>
    </row>
    <row r="41" spans="1:6">
      <c r="A41" s="318"/>
      <c r="B41" s="316"/>
      <c r="C41" s="201" t="s">
        <v>179</v>
      </c>
      <c r="D41" s="201"/>
      <c r="E41" s="146">
        <v>1</v>
      </c>
      <c r="F41" s="202"/>
    </row>
    <row r="42" spans="1:6" ht="13.8" customHeight="1">
      <c r="A42" s="318"/>
      <c r="B42" s="316"/>
      <c r="C42" s="126" t="s">
        <v>130</v>
      </c>
      <c r="D42" s="126"/>
      <c r="E42" s="146">
        <v>1</v>
      </c>
    </row>
    <row r="43" spans="1:6" ht="13.8" customHeight="1">
      <c r="A43" s="318"/>
      <c r="B43" s="316"/>
      <c r="C43" s="201" t="s">
        <v>180</v>
      </c>
      <c r="D43" s="201"/>
      <c r="E43" s="146">
        <v>1</v>
      </c>
    </row>
    <row r="44" spans="1:6" ht="13.8" customHeight="1">
      <c r="A44" s="318"/>
      <c r="B44" s="316"/>
      <c r="C44" s="201" t="s">
        <v>181</v>
      </c>
      <c r="D44" s="201"/>
      <c r="E44" s="146">
        <v>1</v>
      </c>
    </row>
    <row r="45" spans="1:6" ht="13.8" customHeight="1">
      <c r="A45" s="318"/>
      <c r="B45" s="316"/>
      <c r="C45" s="126" t="s">
        <v>131</v>
      </c>
      <c r="D45" s="126"/>
      <c r="E45" s="146">
        <v>1</v>
      </c>
    </row>
    <row r="46" spans="1:6" ht="25.5" customHeight="1">
      <c r="A46" s="318"/>
      <c r="B46" s="316"/>
      <c r="C46" s="126" t="s">
        <v>132</v>
      </c>
      <c r="D46" s="126"/>
      <c r="E46" s="146">
        <v>1</v>
      </c>
    </row>
    <row r="47" spans="1:6" ht="15" customHeight="1">
      <c r="A47" s="318"/>
      <c r="B47" s="204"/>
      <c r="C47" s="307" t="s">
        <v>169</v>
      </c>
      <c r="D47" s="308"/>
      <c r="E47" s="309"/>
    </row>
    <row r="48" spans="1:6" ht="15.75" customHeight="1">
      <c r="A48" s="318"/>
      <c r="B48" s="204"/>
      <c r="C48" s="140" t="s">
        <v>80</v>
      </c>
      <c r="D48" s="141"/>
      <c r="E48" s="146">
        <v>1</v>
      </c>
    </row>
    <row r="49" spans="1:5" ht="15.75" customHeight="1">
      <c r="A49" s="318"/>
      <c r="B49" s="204"/>
      <c r="C49" s="203" t="s">
        <v>192</v>
      </c>
      <c r="D49" s="141"/>
      <c r="E49" s="146">
        <v>1</v>
      </c>
    </row>
    <row r="50" spans="1:5" ht="15.75" customHeight="1">
      <c r="A50" s="318"/>
      <c r="B50" s="204"/>
      <c r="C50" s="203" t="s">
        <v>191</v>
      </c>
      <c r="D50" s="141"/>
      <c r="E50" s="146">
        <v>1</v>
      </c>
    </row>
    <row r="51" spans="1:5" ht="15.75" customHeight="1">
      <c r="A51" s="318"/>
      <c r="B51" s="204"/>
      <c r="C51" s="203" t="s">
        <v>188</v>
      </c>
      <c r="D51" s="141"/>
      <c r="E51" s="146">
        <v>1</v>
      </c>
    </row>
    <row r="52" spans="1:5" ht="15.75" customHeight="1">
      <c r="A52" s="318"/>
      <c r="B52" s="204"/>
      <c r="C52" s="203" t="s">
        <v>189</v>
      </c>
      <c r="D52" s="141"/>
      <c r="E52" s="146">
        <v>1</v>
      </c>
    </row>
    <row r="53" spans="1:5" ht="15.75" customHeight="1">
      <c r="A53" s="206"/>
      <c r="B53" s="204"/>
      <c r="C53" s="203" t="s">
        <v>193</v>
      </c>
      <c r="D53" s="141"/>
      <c r="E53" s="146">
        <v>1</v>
      </c>
    </row>
    <row r="54" spans="1:5" ht="15.75" customHeight="1">
      <c r="A54" s="206"/>
      <c r="B54" s="204"/>
      <c r="C54" s="203" t="s">
        <v>194</v>
      </c>
      <c r="D54" s="141"/>
      <c r="E54" s="146">
        <v>1</v>
      </c>
    </row>
    <row r="55" spans="1:5" ht="15.75" customHeight="1">
      <c r="A55" s="206"/>
      <c r="B55" s="204"/>
      <c r="C55" s="203" t="s">
        <v>190</v>
      </c>
      <c r="D55" s="141"/>
      <c r="E55" s="146">
        <v>1</v>
      </c>
    </row>
    <row r="56" spans="1:5" ht="14.4" customHeight="1">
      <c r="A56" s="206"/>
      <c r="B56" s="204"/>
      <c r="C56" s="307" t="s">
        <v>167</v>
      </c>
      <c r="D56" s="308"/>
      <c r="E56" s="309"/>
    </row>
    <row r="57" spans="1:5" ht="12" customHeight="1">
      <c r="A57" s="206"/>
      <c r="B57" s="204"/>
      <c r="C57" s="140" t="s">
        <v>186</v>
      </c>
      <c r="D57" s="141"/>
      <c r="E57" s="146">
        <v>1</v>
      </c>
    </row>
    <row r="58" spans="1:5" ht="12" customHeight="1">
      <c r="A58" s="206"/>
      <c r="B58" s="204"/>
      <c r="C58" s="140" t="s">
        <v>187</v>
      </c>
      <c r="D58" s="141"/>
      <c r="E58" s="146">
        <v>1</v>
      </c>
    </row>
    <row r="59" spans="1:5" ht="12" customHeight="1">
      <c r="A59" s="207"/>
      <c r="B59" s="205"/>
      <c r="C59" s="140" t="s">
        <v>83</v>
      </c>
      <c r="D59" s="141"/>
      <c r="E59" s="146">
        <v>1</v>
      </c>
    </row>
    <row r="65" spans="1:3" customFormat="1" ht="15.6">
      <c r="A65" s="147" t="s">
        <v>43</v>
      </c>
      <c r="B65" s="7"/>
    </row>
    <row r="66" spans="1:3" customFormat="1" ht="15.6">
      <c r="A66" s="147" t="s">
        <v>196</v>
      </c>
      <c r="B66" s="7"/>
    </row>
    <row r="67" spans="1:3" customFormat="1" ht="15.6">
      <c r="A67" s="147" t="s">
        <v>85</v>
      </c>
      <c r="C67" s="7"/>
    </row>
  </sheetData>
  <mergeCells count="16">
    <mergeCell ref="C47:E47"/>
    <mergeCell ref="C56:E56"/>
    <mergeCell ref="C31:E31"/>
    <mergeCell ref="A28:A38"/>
    <mergeCell ref="B28:B38"/>
    <mergeCell ref="B39:B46"/>
    <mergeCell ref="A39:A52"/>
    <mergeCell ref="A19:A27"/>
    <mergeCell ref="B19:B27"/>
    <mergeCell ref="A5:E5"/>
    <mergeCell ref="A9:A13"/>
    <mergeCell ref="C11:E11"/>
    <mergeCell ref="A14:A18"/>
    <mergeCell ref="C14:E14"/>
    <mergeCell ref="B14:B18"/>
    <mergeCell ref="B9:B13"/>
  </mergeCells>
  <pageMargins left="0.7" right="0.7" top="0.75" bottom="0.75" header="0.3" footer="0.3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Услуга №1</vt:lpstr>
      <vt:lpstr>Услуга №2</vt:lpstr>
      <vt:lpstr>Работа №1</vt:lpstr>
      <vt:lpstr>Работа №2</vt:lpstr>
      <vt:lpstr>Работа №3</vt:lpstr>
      <vt:lpstr>Работа №4</vt:lpstr>
      <vt:lpstr>Всего</vt:lpstr>
      <vt:lpstr>Натуральные нормы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2019-02-26T07:31:29Z</dcterms:modified>
</cp:coreProperties>
</file>