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activeTab="4"/>
  </bookViews>
  <sheets>
    <sheet name="СВОД" sheetId="8" r:id="rId1"/>
    <sheet name="Услуга №1 " sheetId="4" r:id="rId2"/>
    <sheet name="Работа №1" sheetId="5" r:id="rId3"/>
    <sheet name="Работа №2" sheetId="6" r:id="rId4"/>
    <sheet name="Работа №3" sheetId="7" r:id="rId5"/>
  </sheets>
  <definedNames>
    <definedName name="_xlnm.Print_Area" localSheetId="2">'Работа №1'!$A$1:$L$102</definedName>
    <definedName name="_xlnm.Print_Area" localSheetId="1">'Услуга №1 '!$A$1:$L$100</definedName>
  </definedNames>
  <calcPr calcId="162913"/>
</workbook>
</file>

<file path=xl/calcChain.xml><?xml version="1.0" encoding="utf-8"?>
<calcChain xmlns="http://schemas.openxmlformats.org/spreadsheetml/2006/main">
  <c r="M33" i="4" l="1"/>
  <c r="L99" i="5" l="1"/>
  <c r="I97" i="4"/>
  <c r="M76" i="4"/>
  <c r="H68" i="5"/>
  <c r="M63" i="4"/>
  <c r="G49" i="5"/>
  <c r="G50" i="5"/>
  <c r="M54" i="4"/>
  <c r="I43" i="7"/>
  <c r="I42" i="7"/>
  <c r="I41" i="7"/>
  <c r="I40" i="7"/>
  <c r="I39" i="7"/>
  <c r="I53" i="6"/>
  <c r="I52" i="6"/>
  <c r="I51" i="6"/>
  <c r="I50" i="6"/>
  <c r="I49" i="6"/>
  <c r="I51" i="5"/>
  <c r="I50" i="5"/>
  <c r="I49" i="5"/>
  <c r="I53" i="4"/>
  <c r="I52" i="4"/>
  <c r="I51" i="4"/>
  <c r="I50" i="4"/>
  <c r="I49" i="4"/>
  <c r="F40" i="4" l="1"/>
  <c r="H37" i="4"/>
  <c r="I39" i="4"/>
  <c r="F42" i="5"/>
  <c r="F41" i="5"/>
  <c r="F40" i="5"/>
  <c r="F39" i="5"/>
  <c r="F38" i="5"/>
  <c r="F37" i="5"/>
  <c r="F36" i="5"/>
  <c r="F35" i="5"/>
  <c r="H43" i="4"/>
  <c r="I43" i="4" s="1"/>
  <c r="G73" i="7"/>
  <c r="G74" i="7"/>
  <c r="G75" i="7"/>
  <c r="G76" i="7"/>
  <c r="G77" i="7"/>
  <c r="G78" i="7"/>
  <c r="G79" i="7"/>
  <c r="G72" i="7"/>
  <c r="G83" i="6"/>
  <c r="G84" i="6"/>
  <c r="G82" i="6"/>
  <c r="G83" i="5"/>
  <c r="G84" i="5"/>
  <c r="G82" i="5"/>
  <c r="G82" i="4"/>
  <c r="G81" i="4"/>
  <c r="G31" i="7"/>
  <c r="G32" i="7"/>
  <c r="G33" i="7"/>
  <c r="G30" i="7"/>
  <c r="G36" i="6"/>
  <c r="G37" i="6"/>
  <c r="G38" i="6"/>
  <c r="G39" i="6"/>
  <c r="G40" i="6"/>
  <c r="G41" i="6"/>
  <c r="G42" i="6"/>
  <c r="G43" i="6"/>
  <c r="G35" i="6"/>
  <c r="G35" i="5"/>
  <c r="G36" i="5"/>
  <c r="G37" i="5"/>
  <c r="G38" i="5"/>
  <c r="G39" i="5"/>
  <c r="G40" i="5"/>
  <c r="G41" i="5"/>
  <c r="G42" i="5"/>
  <c r="G34" i="5"/>
  <c r="G35" i="4"/>
  <c r="G36" i="4"/>
  <c r="G37" i="4"/>
  <c r="G38" i="4"/>
  <c r="G39" i="4"/>
  <c r="G40" i="4"/>
  <c r="G41" i="4"/>
  <c r="G42" i="4"/>
  <c r="G43" i="4"/>
  <c r="G34" i="4"/>
  <c r="F30" i="5"/>
  <c r="I44" i="7" l="1"/>
  <c r="G61" i="4"/>
  <c r="I58" i="4"/>
  <c r="J79" i="7"/>
  <c r="J78" i="7"/>
  <c r="J77" i="7"/>
  <c r="J76" i="7"/>
  <c r="J75" i="7"/>
  <c r="J74" i="7"/>
  <c r="J73" i="7"/>
  <c r="J34" i="7"/>
  <c r="J33" i="7"/>
  <c r="J32" i="7"/>
  <c r="J31" i="7"/>
  <c r="J30" i="7"/>
  <c r="J34" i="5"/>
  <c r="J35" i="5" s="1"/>
  <c r="J36" i="5" s="1"/>
  <c r="J37" i="5" s="1"/>
  <c r="J38" i="5" s="1"/>
  <c r="J39" i="5" s="1"/>
  <c r="J40" i="5" s="1"/>
  <c r="J41" i="5" s="1"/>
  <c r="J42" i="5" s="1"/>
  <c r="J43" i="5" s="1"/>
  <c r="J34" i="4"/>
  <c r="J35" i="4" s="1"/>
  <c r="J36" i="4" s="1"/>
  <c r="J37" i="4" s="1"/>
  <c r="J38" i="4" s="1"/>
  <c r="J39" i="4" s="1"/>
  <c r="J40" i="4" s="1"/>
  <c r="J41" i="4" s="1"/>
  <c r="J42" i="4" s="1"/>
  <c r="J43" i="4" s="1"/>
  <c r="A95" i="7" l="1"/>
  <c r="A101" i="6"/>
  <c r="A99" i="4"/>
  <c r="F29" i="4" l="1"/>
  <c r="F31" i="6"/>
  <c r="F26" i="7"/>
  <c r="H74" i="5"/>
  <c r="I74" i="5" s="1"/>
  <c r="I75" i="4"/>
  <c r="I73" i="4"/>
  <c r="F79" i="7"/>
  <c r="H79" i="7" s="1"/>
  <c r="I79" i="7" s="1"/>
  <c r="K79" i="7" s="1"/>
  <c r="F78" i="7"/>
  <c r="H78" i="7" s="1"/>
  <c r="I78" i="7" s="1"/>
  <c r="K78" i="7" s="1"/>
  <c r="F77" i="7"/>
  <c r="H77" i="7" s="1"/>
  <c r="I77" i="7" s="1"/>
  <c r="K77" i="7" s="1"/>
  <c r="F76" i="7"/>
  <c r="H76" i="7" s="1"/>
  <c r="I76" i="7" s="1"/>
  <c r="F75" i="7"/>
  <c r="H75" i="7" s="1"/>
  <c r="I75" i="7" s="1"/>
  <c r="K75" i="7" s="1"/>
  <c r="F74" i="7"/>
  <c r="H74" i="7" s="1"/>
  <c r="I74" i="7" s="1"/>
  <c r="K74" i="7" s="1"/>
  <c r="F73" i="7"/>
  <c r="H73" i="7" s="1"/>
  <c r="I73" i="7" s="1"/>
  <c r="K73" i="7" s="1"/>
  <c r="F72" i="7"/>
  <c r="H72" i="7" s="1"/>
  <c r="I72" i="7" s="1"/>
  <c r="K72" i="7" s="1"/>
  <c r="G34" i="7"/>
  <c r="L26" i="7"/>
  <c r="I54" i="6"/>
  <c r="G44" i="6"/>
  <c r="L31" i="6"/>
  <c r="G85" i="5"/>
  <c r="G43" i="5"/>
  <c r="H81" i="4"/>
  <c r="I81" i="4" s="1"/>
  <c r="G83" i="4"/>
  <c r="I67" i="4"/>
  <c r="I59" i="4"/>
  <c r="I60" i="4"/>
  <c r="I61" i="4"/>
  <c r="I62" i="4"/>
  <c r="I54" i="4"/>
  <c r="G53" i="4"/>
  <c r="G52" i="4"/>
  <c r="G51" i="4"/>
  <c r="G49" i="4"/>
  <c r="G44" i="4"/>
  <c r="H34" i="4"/>
  <c r="I34" i="4" s="1"/>
  <c r="G80" i="7" l="1"/>
  <c r="G85" i="6"/>
  <c r="I76" i="4"/>
  <c r="I63" i="4"/>
  <c r="K76" i="7"/>
  <c r="K80" i="7" s="1"/>
  <c r="I80" i="7"/>
  <c r="I90" i="6"/>
  <c r="J49" i="4"/>
  <c r="J50" i="4" s="1"/>
  <c r="J51" i="4" s="1"/>
  <c r="H51" i="5"/>
  <c r="G51" i="5" s="1"/>
  <c r="H35" i="4"/>
  <c r="I35" i="4" s="1"/>
  <c r="J52" i="4" l="1"/>
  <c r="J53" i="4" s="1"/>
  <c r="K53" i="4" s="1"/>
  <c r="K51" i="4"/>
  <c r="K75" i="6"/>
  <c r="H50" i="4"/>
  <c r="G50" i="4" s="1"/>
  <c r="H36" i="4"/>
  <c r="H51" i="6"/>
  <c r="G51" i="6" s="1"/>
  <c r="H41" i="7"/>
  <c r="G41" i="7" s="1"/>
  <c r="K49" i="4"/>
  <c r="K65" i="7" l="1"/>
  <c r="H41" i="4"/>
  <c r="I41" i="4" l="1"/>
  <c r="K41" i="4" s="1"/>
  <c r="F33" i="7"/>
  <c r="F84" i="6"/>
  <c r="F83" i="6"/>
  <c r="H83" i="6" s="1"/>
  <c r="F82" i="6"/>
  <c r="F84" i="5"/>
  <c r="F83" i="5"/>
  <c r="F82" i="5"/>
  <c r="H82" i="5" s="1"/>
  <c r="I82" i="5" s="1"/>
  <c r="H66" i="7" l="1"/>
  <c r="I66" i="7" s="1"/>
  <c r="H64" i="7"/>
  <c r="I64" i="7" s="1"/>
  <c r="I67" i="7" s="1"/>
  <c r="H76" i="6"/>
  <c r="I76" i="6" s="1"/>
  <c r="H74" i="6"/>
  <c r="I74" i="6" s="1"/>
  <c r="H76" i="5"/>
  <c r="I76" i="5" s="1"/>
  <c r="I77" i="5" s="1"/>
  <c r="H59" i="7"/>
  <c r="H58" i="7"/>
  <c r="I58" i="7" s="1"/>
  <c r="H68" i="6"/>
  <c r="I68" i="6" s="1"/>
  <c r="I70" i="6" s="1"/>
  <c r="I68" i="5"/>
  <c r="H50" i="7"/>
  <c r="I50" i="7" s="1"/>
  <c r="H51" i="7"/>
  <c r="I51" i="7" s="1"/>
  <c r="H52" i="7"/>
  <c r="I52" i="7" s="1"/>
  <c r="H53" i="7"/>
  <c r="I53" i="7" s="1"/>
  <c r="H49" i="7"/>
  <c r="I49" i="7" s="1"/>
  <c r="I54" i="7" s="1"/>
  <c r="H60" i="6"/>
  <c r="I60" i="6" s="1"/>
  <c r="H61" i="6"/>
  <c r="I61" i="6" s="1"/>
  <c r="H62" i="6"/>
  <c r="I62" i="6" s="1"/>
  <c r="H63" i="6"/>
  <c r="I63" i="6" s="1"/>
  <c r="H59" i="6"/>
  <c r="I59" i="6" s="1"/>
  <c r="H62" i="5"/>
  <c r="I62" i="5" s="1"/>
  <c r="H63" i="5"/>
  <c r="I63" i="5" s="1"/>
  <c r="H61" i="5"/>
  <c r="I61" i="5" s="1"/>
  <c r="H60" i="5"/>
  <c r="I60" i="5" s="1"/>
  <c r="H59" i="5"/>
  <c r="I59" i="5" s="1"/>
  <c r="H43" i="7"/>
  <c r="G43" i="7" s="1"/>
  <c r="H42" i="7"/>
  <c r="G42" i="7" s="1"/>
  <c r="H40" i="7"/>
  <c r="G40" i="7" s="1"/>
  <c r="H39" i="7"/>
  <c r="G39" i="7" s="1"/>
  <c r="H53" i="6"/>
  <c r="G53" i="6" s="1"/>
  <c r="H52" i="6"/>
  <c r="G52" i="6" s="1"/>
  <c r="H50" i="6"/>
  <c r="G50" i="6" s="1"/>
  <c r="H49" i="6"/>
  <c r="G49" i="6" s="1"/>
  <c r="H53" i="5"/>
  <c r="G53" i="5" s="1"/>
  <c r="H52" i="5"/>
  <c r="G52" i="5" s="1"/>
  <c r="H50" i="5"/>
  <c r="H49" i="5"/>
  <c r="F43" i="6"/>
  <c r="F42" i="6"/>
  <c r="F32" i="7"/>
  <c r="F41" i="6"/>
  <c r="F40" i="6"/>
  <c r="F39" i="6"/>
  <c r="F38" i="6"/>
  <c r="F37" i="6"/>
  <c r="F31" i="7"/>
  <c r="F36" i="6"/>
  <c r="H35" i="5"/>
  <c r="F30" i="7"/>
  <c r="F35" i="6"/>
  <c r="F34" i="5"/>
  <c r="I64" i="6" l="1"/>
  <c r="I64" i="5"/>
  <c r="I77" i="6"/>
  <c r="J36" i="6"/>
  <c r="J38" i="6" s="1"/>
  <c r="J40" i="6" s="1"/>
  <c r="J35" i="6"/>
  <c r="J37" i="6" l="1"/>
  <c r="J39" i="6" s="1"/>
  <c r="J42" i="6"/>
  <c r="J43" i="6" s="1"/>
  <c r="J44" i="6" s="1"/>
  <c r="J41" i="6"/>
  <c r="I85" i="7" l="1"/>
  <c r="K85" i="7" s="1"/>
  <c r="I90" i="5"/>
  <c r="I88" i="4"/>
  <c r="M87" i="4" s="1"/>
  <c r="N94" i="4" s="1"/>
  <c r="H82" i="6"/>
  <c r="I82" i="6" s="1"/>
  <c r="J82" i="6"/>
  <c r="J39" i="7"/>
  <c r="J40" i="7" s="1"/>
  <c r="J49" i="6"/>
  <c r="J50" i="6" s="1"/>
  <c r="J49" i="5"/>
  <c r="J50" i="5" s="1"/>
  <c r="J58" i="4"/>
  <c r="J59" i="4" s="1"/>
  <c r="J60" i="4" s="1"/>
  <c r="J61" i="4" s="1"/>
  <c r="J62" i="4" s="1"/>
  <c r="J41" i="7" l="1"/>
  <c r="J51" i="6"/>
  <c r="J89" i="6"/>
  <c r="J83" i="6"/>
  <c r="J84" i="6" s="1"/>
  <c r="J52" i="5"/>
  <c r="J53" i="5" s="1"/>
  <c r="J59" i="5" s="1"/>
  <c r="J60" i="5" s="1"/>
  <c r="J61" i="5" s="1"/>
  <c r="K61" i="5" s="1"/>
  <c r="J51" i="5"/>
  <c r="K51" i="5" s="1"/>
  <c r="I54" i="5"/>
  <c r="K50" i="6"/>
  <c r="K49" i="6"/>
  <c r="K82" i="6"/>
  <c r="K40" i="7"/>
  <c r="J62" i="5"/>
  <c r="I60" i="7"/>
  <c r="I70" i="5"/>
  <c r="I69" i="4"/>
  <c r="M69" i="4" s="1"/>
  <c r="K59" i="4"/>
  <c r="K58" i="4"/>
  <c r="K50" i="5"/>
  <c r="K49" i="5"/>
  <c r="K52" i="4"/>
  <c r="K39" i="7"/>
  <c r="K53" i="5"/>
  <c r="K50" i="4"/>
  <c r="K54" i="4" l="1"/>
  <c r="K51" i="6"/>
  <c r="J52" i="6"/>
  <c r="K52" i="5"/>
  <c r="K59" i="5"/>
  <c r="K60" i="5"/>
  <c r="J42" i="7"/>
  <c r="K41" i="7"/>
  <c r="K89" i="6"/>
  <c r="K90" i="6"/>
  <c r="K54" i="5"/>
  <c r="D96" i="5" s="1"/>
  <c r="J67" i="4"/>
  <c r="D94" i="4"/>
  <c r="J63" i="5"/>
  <c r="K64" i="5" s="1"/>
  <c r="K62" i="5"/>
  <c r="K60" i="4"/>
  <c r="K62" i="4"/>
  <c r="K61" i="4"/>
  <c r="J53" i="6" l="1"/>
  <c r="K52" i="6"/>
  <c r="K63" i="4"/>
  <c r="E94" i="4" s="1"/>
  <c r="K67" i="4"/>
  <c r="J73" i="4"/>
  <c r="J43" i="7"/>
  <c r="K42" i="7"/>
  <c r="K63" i="5"/>
  <c r="E96" i="5" s="1"/>
  <c r="J68" i="5"/>
  <c r="K70" i="5" s="1"/>
  <c r="F96" i="5" s="1"/>
  <c r="K53" i="6" l="1"/>
  <c r="K54" i="6"/>
  <c r="D96" i="6" s="1"/>
  <c r="J59" i="6"/>
  <c r="J49" i="7"/>
  <c r="K43" i="7"/>
  <c r="K44" i="7"/>
  <c r="D91" i="7" s="1"/>
  <c r="K69" i="4"/>
  <c r="H94" i="4" s="1"/>
  <c r="J69" i="5"/>
  <c r="K68" i="5"/>
  <c r="K59" i="6" l="1"/>
  <c r="J60" i="6"/>
  <c r="K73" i="4"/>
  <c r="J74" i="4"/>
  <c r="K74" i="4" s="1"/>
  <c r="K49" i="7"/>
  <c r="J50" i="7"/>
  <c r="J75" i="4"/>
  <c r="J81" i="4" s="1"/>
  <c r="J74" i="5"/>
  <c r="J75" i="5" s="1"/>
  <c r="K69" i="5"/>
  <c r="K60" i="6" l="1"/>
  <c r="J61" i="6"/>
  <c r="J82" i="5"/>
  <c r="K75" i="5"/>
  <c r="K81" i="4"/>
  <c r="J87" i="4"/>
  <c r="K87" i="4" s="1"/>
  <c r="K88" i="4" s="1"/>
  <c r="J94" i="4" s="1"/>
  <c r="K50" i="7"/>
  <c r="J51" i="7"/>
  <c r="K75" i="4"/>
  <c r="J76" i="5"/>
  <c r="K74" i="5"/>
  <c r="J62" i="6" l="1"/>
  <c r="K61" i="6"/>
  <c r="J83" i="5"/>
  <c r="J84" i="5" s="1"/>
  <c r="J89" i="5"/>
  <c r="K76" i="4"/>
  <c r="G94" i="4" s="1"/>
  <c r="J52" i="7"/>
  <c r="K51" i="7"/>
  <c r="K76" i="5"/>
  <c r="K77" i="5"/>
  <c r="G96" i="5" s="1"/>
  <c r="J63" i="6" l="1"/>
  <c r="K62" i="6"/>
  <c r="K90" i="5"/>
  <c r="J96" i="5" s="1"/>
  <c r="K89" i="5"/>
  <c r="K52" i="7"/>
  <c r="J53" i="7"/>
  <c r="J68" i="6" l="1"/>
  <c r="K64" i="6"/>
  <c r="K63" i="6"/>
  <c r="K54" i="7"/>
  <c r="J58" i="7"/>
  <c r="K53" i="7"/>
  <c r="E91" i="7" s="1"/>
  <c r="E96" i="6" l="1"/>
  <c r="K70" i="6"/>
  <c r="J96" i="6" s="1"/>
  <c r="K68" i="6"/>
  <c r="J69" i="6"/>
  <c r="K60" i="7"/>
  <c r="J59" i="7"/>
  <c r="K58" i="7"/>
  <c r="H36" i="5"/>
  <c r="H37" i="5"/>
  <c r="I37" i="5" s="1"/>
  <c r="H38" i="5"/>
  <c r="H39" i="5"/>
  <c r="H40" i="5"/>
  <c r="H41" i="5"/>
  <c r="H42" i="5"/>
  <c r="H34" i="5"/>
  <c r="H84" i="5"/>
  <c r="H83" i="5"/>
  <c r="I83" i="5" s="1"/>
  <c r="J82" i="4"/>
  <c r="K84" i="7"/>
  <c r="J91" i="7" s="1"/>
  <c r="L29" i="4"/>
  <c r="J74" i="6" l="1"/>
  <c r="K69" i="6"/>
  <c r="K59" i="7"/>
  <c r="J64" i="7"/>
  <c r="K83" i="5"/>
  <c r="K82" i="5"/>
  <c r="I84" i="5"/>
  <c r="K84" i="5" s="1"/>
  <c r="I91" i="7"/>
  <c r="K74" i="6" l="1"/>
  <c r="J76" i="6"/>
  <c r="K64" i="7"/>
  <c r="J66" i="7"/>
  <c r="I85" i="5"/>
  <c r="K85" i="5"/>
  <c r="K76" i="6" l="1"/>
  <c r="K77" i="6"/>
  <c r="G96" i="6" s="1"/>
  <c r="I96" i="5"/>
  <c r="K67" i="7"/>
  <c r="G91" i="7" s="1"/>
  <c r="K66" i="7"/>
  <c r="I36" i="4"/>
  <c r="K36" i="4" s="1"/>
  <c r="I37" i="4"/>
  <c r="K37" i="4" s="1"/>
  <c r="H38" i="4"/>
  <c r="I38" i="4" s="1"/>
  <c r="K38" i="4" s="1"/>
  <c r="H39" i="4"/>
  <c r="H40" i="4"/>
  <c r="H42" i="4"/>
  <c r="K43" i="4"/>
  <c r="I34" i="5"/>
  <c r="K34" i="5" s="1"/>
  <c r="I35" i="5"/>
  <c r="K35" i="5" s="1"/>
  <c r="I36" i="5"/>
  <c r="K36" i="5" s="1"/>
  <c r="K37" i="5"/>
  <c r="I38" i="5"/>
  <c r="K38" i="5" s="1"/>
  <c r="I39" i="5"/>
  <c r="I40" i="5"/>
  <c r="K40" i="5" s="1"/>
  <c r="I41" i="5"/>
  <c r="K41" i="5" s="1"/>
  <c r="I42" i="5"/>
  <c r="I40" i="4" l="1"/>
  <c r="I42" i="4"/>
  <c r="K42" i="4" s="1"/>
  <c r="K39" i="5"/>
  <c r="I43" i="5"/>
  <c r="I99" i="5" s="1"/>
  <c r="K39" i="4"/>
  <c r="I44" i="4"/>
  <c r="K34" i="4"/>
  <c r="K40" i="4"/>
  <c r="K42" i="5"/>
  <c r="K43" i="5" s="1"/>
  <c r="H31" i="7"/>
  <c r="I31" i="7" s="1"/>
  <c r="K31" i="7" s="1"/>
  <c r="H32" i="7"/>
  <c r="I32" i="7" s="1"/>
  <c r="H33" i="7"/>
  <c r="I33" i="7" s="1"/>
  <c r="K33" i="7" s="1"/>
  <c r="H30" i="7"/>
  <c r="I30" i="7" s="1"/>
  <c r="H36" i="6"/>
  <c r="I36" i="6" s="1"/>
  <c r="K36" i="6" s="1"/>
  <c r="H37" i="6"/>
  <c r="I37" i="6" s="1"/>
  <c r="K37" i="6" s="1"/>
  <c r="H38" i="6"/>
  <c r="I38" i="6" s="1"/>
  <c r="K38" i="6" s="1"/>
  <c r="H39" i="6"/>
  <c r="I39" i="6" s="1"/>
  <c r="K39" i="6" s="1"/>
  <c r="H40" i="6"/>
  <c r="I40" i="6" s="1"/>
  <c r="I83" i="6"/>
  <c r="H41" i="6"/>
  <c r="H42" i="6"/>
  <c r="I42" i="6" s="1"/>
  <c r="K42" i="6" s="1"/>
  <c r="H84" i="6"/>
  <c r="I84" i="6" s="1"/>
  <c r="H43" i="6"/>
  <c r="H35" i="6"/>
  <c r="I35" i="6" s="1"/>
  <c r="K35" i="6" s="1"/>
  <c r="I43" i="6" l="1"/>
  <c r="K43" i="6" s="1"/>
  <c r="I41" i="6"/>
  <c r="K41" i="6" s="1"/>
  <c r="A96" i="5"/>
  <c r="K96" i="5" s="1"/>
  <c r="K84" i="6"/>
  <c r="I85" i="6"/>
  <c r="K32" i="7"/>
  <c r="I34" i="7"/>
  <c r="I93" i="7" s="1"/>
  <c r="K40" i="6"/>
  <c r="K44" i="6" s="1"/>
  <c r="K35" i="4"/>
  <c r="K30" i="7"/>
  <c r="K83" i="6"/>
  <c r="I44" i="6" l="1"/>
  <c r="M44" i="4" s="1"/>
  <c r="K44" i="4"/>
  <c r="A94" i="4" s="1"/>
  <c r="K85" i="6"/>
  <c r="K34" i="7"/>
  <c r="A91" i="7" s="1"/>
  <c r="I98" i="6"/>
  <c r="A96" i="6"/>
  <c r="I96" i="6"/>
  <c r="F91" i="7"/>
  <c r="L30" i="5"/>
  <c r="M29" i="4" s="1"/>
  <c r="K91" i="7" l="1"/>
  <c r="L93" i="7" s="1"/>
  <c r="K96" i="6"/>
  <c r="L98" i="6" s="1"/>
  <c r="H82" i="4"/>
  <c r="I82" i="4" s="1"/>
  <c r="I83" i="4" l="1"/>
  <c r="A2" i="8" s="1"/>
  <c r="K82" i="4"/>
  <c r="K83" i="4" s="1"/>
  <c r="I94" i="4" l="1"/>
  <c r="K94" i="4" s="1"/>
  <c r="L97" i="4" l="1"/>
  <c r="B2" i="8" s="1"/>
</calcChain>
</file>

<file path=xl/sharedStrings.xml><?xml version="1.0" encoding="utf-8"?>
<sst xmlns="http://schemas.openxmlformats.org/spreadsheetml/2006/main" count="619" uniqueCount="110">
  <si>
    <t>Работники, непосредственно связанные с оказанием услуги</t>
  </si>
  <si>
    <t>Кол-во ставок</t>
  </si>
  <si>
    <t>Работники, непосредственно не связанные с оказанием услуги</t>
  </si>
  <si>
    <t>Ученый секретарь</t>
  </si>
  <si>
    <t>Заведующий выставочным залом</t>
  </si>
  <si>
    <t>Директор</t>
  </si>
  <si>
    <t>Главный хранитель фондов</t>
  </si>
  <si>
    <t>Художник-фотограф</t>
  </si>
  <si>
    <t>Заведующий сектором учета отдела фондов и научной паспортизации</t>
  </si>
  <si>
    <t>Художник-реставратор</t>
  </si>
  <si>
    <t>Смотритель музейный</t>
  </si>
  <si>
    <t>Методист музея</t>
  </si>
  <si>
    <t>Специалист экспозиционного и выставочного отдела</t>
  </si>
  <si>
    <t>Руководитель любительского объединения "Эхо Арги"</t>
  </si>
  <si>
    <t>Всего</t>
  </si>
  <si>
    <t>Должности по штатному расписанию</t>
  </si>
  <si>
    <t>З/п на одну ставку (ФОТ)</t>
  </si>
  <si>
    <t>Ед.изм. нормы</t>
  </si>
  <si>
    <t>Затраты на коммунальные услуги</t>
  </si>
  <si>
    <t>Наименование коммунальных услуг</t>
  </si>
  <si>
    <t>Электроэнергия</t>
  </si>
  <si>
    <t>Теплоэнергия</t>
  </si>
  <si>
    <t>Холодное водоснабжение</t>
  </si>
  <si>
    <t>Водоотведение</t>
  </si>
  <si>
    <t>кВт час.</t>
  </si>
  <si>
    <t>Гкал</t>
  </si>
  <si>
    <t>м3</t>
  </si>
  <si>
    <t>Затраты на содержание объектов недвижимого имущества</t>
  </si>
  <si>
    <t>Вывоз мусора</t>
  </si>
  <si>
    <t>ТО средств тревожной сигнализации</t>
  </si>
  <si>
    <t>Промывка теплосети</t>
  </si>
  <si>
    <t>ТО пожарной сигнализации</t>
  </si>
  <si>
    <t>договор</t>
  </si>
  <si>
    <t>Итого содержание объектов недвиж.имущества</t>
  </si>
  <si>
    <t>Наименование затрат</t>
  </si>
  <si>
    <t>Наименование услуги связи</t>
  </si>
  <si>
    <t>Абонентская связь</t>
  </si>
  <si>
    <t>кол-во номеров, ед.</t>
  </si>
  <si>
    <t>Итого услуги связи</t>
  </si>
  <si>
    <t>Итого работники, не связанные с оказанием услуг</t>
  </si>
  <si>
    <t>Затраты на прочие общехозяйственные нужды</t>
  </si>
  <si>
    <t>сумма в год</t>
  </si>
  <si>
    <t>Итого прочие общехоз.нужды</t>
  </si>
  <si>
    <t>Утверждение базового норматива затрат</t>
  </si>
  <si>
    <t>Затраты, непосредственно связанные с оказанием услуги, руб.</t>
  </si>
  <si>
    <t>Затраты на общехозяйственные нужды, руб.</t>
  </si>
  <si>
    <t>ОТ1</t>
  </si>
  <si>
    <t>МЗ и ОЦДИ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</si>
  <si>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</si>
  <si>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</si>
  <si>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</si>
  <si>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</si>
  <si>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</si>
  <si>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</si>
  <si>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</si>
  <si>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</si>
  <si>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Базовый норматив затрат на оказание услуг, руб.</t>
  </si>
  <si>
    <t>Руководитель коллектива (народный)</t>
  </si>
  <si>
    <t>Затраты на оплату труда (с начислениями) работников, непосредственно не связанных с оказанием услуги</t>
  </si>
  <si>
    <t>Планируемое число зрителей в год:</t>
  </si>
  <si>
    <t xml:space="preserve">ИСХОДНЫЕ ДАННЫЕ И РЕЗУЛЬТАТЫ РАСЧЕТОВ  МБУК  "МВЦ"г.НАЗАРОВО </t>
  </si>
  <si>
    <t>Утверждаю</t>
  </si>
  <si>
    <t xml:space="preserve">Приказ № _____ от  _______________ </t>
  </si>
  <si>
    <t>_______________________ Н.Н.Гурулев</t>
  </si>
  <si>
    <t>Директор МБУК "МВЦ"</t>
  </si>
  <si>
    <t>Т.М.Мельникова</t>
  </si>
  <si>
    <t>8(39155) 7-45-95</t>
  </si>
  <si>
    <r>
      <t xml:space="preserve">Учреждение: </t>
    </r>
    <r>
      <rPr>
        <sz val="11"/>
        <color theme="1"/>
        <rFont val="Times New Roman"/>
        <family val="1"/>
        <charset val="204"/>
      </rPr>
      <t>Муниципальное бюджетное учреждение культуры "Музейно-Выставочный центр" г.Назарово Красноярского края</t>
    </r>
  </si>
  <si>
    <r>
      <t xml:space="preserve">Услуга: </t>
    </r>
    <r>
      <rPr>
        <sz val="11"/>
        <color theme="1"/>
        <rFont val="Times New Roman"/>
        <family val="1"/>
        <charset val="204"/>
      </rPr>
      <t xml:space="preserve">Публичный показ музейных предметов, музейных коллекций </t>
    </r>
  </si>
  <si>
    <t xml:space="preserve">Тариф (цена), рублей </t>
  </si>
  <si>
    <t xml:space="preserve">Нормативный объем </t>
  </si>
  <si>
    <t xml:space="preserve">Итого работники, непосредственно связанные с оказанием услуг </t>
  </si>
  <si>
    <t>Итого коммунальные услуги</t>
  </si>
  <si>
    <r>
      <t xml:space="preserve">Содержание услуги: </t>
    </r>
    <r>
      <rPr>
        <sz val="11"/>
        <color theme="1"/>
        <rFont val="Times New Roman"/>
        <family val="1"/>
        <charset val="204"/>
      </rPr>
      <t>Стационар, вне стационара, удаленно через сеть Интернет</t>
    </r>
  </si>
  <si>
    <t>Штатное расписание: 11,5 человек</t>
  </si>
  <si>
    <t>ФОТ за год с учетом количества ставок</t>
  </si>
  <si>
    <t>ФОТ с начислениями на выплаты по оплате труда</t>
  </si>
  <si>
    <t>Количество потребителей</t>
  </si>
  <si>
    <t>Нормативные затраты на 1 потребителя</t>
  </si>
  <si>
    <t>Руководитель коллектива "народный"</t>
  </si>
  <si>
    <t>СВОД рубли</t>
  </si>
  <si>
    <t>СВОД норматив</t>
  </si>
  <si>
    <t>Сумма в год</t>
  </si>
  <si>
    <t>Плата за содерж. и тек. ремонт общего имущества мнгоквартирного дома</t>
  </si>
  <si>
    <t>Затраты на прочие работы, услуги</t>
  </si>
  <si>
    <t>Реагирование на срабатывание средств тревожной сигнализации</t>
  </si>
  <si>
    <t>Обучение сотрудников</t>
  </si>
  <si>
    <t>Итого прочие работы, услуги</t>
  </si>
  <si>
    <t>Затраты на услуги связи</t>
  </si>
  <si>
    <t>Интернет</t>
  </si>
  <si>
    <t>Прочие затраты</t>
  </si>
  <si>
    <t>Планируемое число выставок в год:</t>
  </si>
  <si>
    <t>Планируемое число основного фонда в год:</t>
  </si>
  <si>
    <t xml:space="preserve"> БАЗОВОГО  НОРМАТИВА ЗАТРАТ НА ОКАЗАНИЕ МУНИЦИПАЛЬНЫХ УСЛУГ (РАБОТ)</t>
  </si>
  <si>
    <r>
      <t xml:space="preserve">Работа: </t>
    </r>
    <r>
      <rPr>
        <sz val="11"/>
        <color theme="1"/>
        <rFont val="Times New Roman"/>
        <family val="1"/>
        <charset val="204"/>
      </rPr>
      <t>Формирование, учет, изучение, обеспечение физического сохранения и безопасности музейных предметов, музейных коллекций.</t>
    </r>
  </si>
  <si>
    <r>
      <t xml:space="preserve">Работа: </t>
    </r>
    <r>
      <rPr>
        <sz val="11"/>
        <color theme="1"/>
        <rFont val="Times New Roman"/>
        <family val="1"/>
        <charset val="204"/>
      </rPr>
      <t>Осуществление экскурсионного обслуживания</t>
    </r>
  </si>
  <si>
    <r>
      <t xml:space="preserve">Работа: </t>
    </r>
    <r>
      <rPr>
        <sz val="11"/>
        <color theme="1"/>
        <rFont val="Times New Roman"/>
        <family val="1"/>
        <charset val="204"/>
      </rPr>
      <t>Создание экспозиций (выставок) музеев, организация выездных выставок</t>
    </r>
  </si>
  <si>
    <r>
      <t xml:space="preserve">Содержание работы: </t>
    </r>
    <r>
      <rPr>
        <sz val="11"/>
        <color theme="1"/>
        <rFont val="Times New Roman"/>
        <family val="1"/>
        <charset val="204"/>
      </rPr>
      <t>Стационар, вне стационара, удаленно через сеть Интернет</t>
    </r>
  </si>
  <si>
    <r>
      <t xml:space="preserve">Содержание работы: </t>
    </r>
    <r>
      <rPr>
        <sz val="11"/>
        <color theme="1"/>
        <rFont val="Times New Roman"/>
        <family val="1"/>
        <charset val="204"/>
      </rPr>
      <t>Стационар</t>
    </r>
  </si>
  <si>
    <t>"________"____________2018 г.</t>
  </si>
  <si>
    <t>Теплоэнергия подвал</t>
  </si>
  <si>
    <t>Услуги междугородней связи</t>
  </si>
  <si>
    <t>Мероприятия, призовая продукция</t>
  </si>
  <si>
    <t xml:space="preserve">НА 2019 г. </t>
  </si>
  <si>
    <t>Курлович Анастасия Вячеславовна</t>
  </si>
  <si>
    <r>
      <t xml:space="preserve">Наименование показателя объема: </t>
    </r>
    <r>
      <rPr>
        <sz val="11"/>
        <color theme="1"/>
        <rFont val="Times New Roman"/>
        <family val="1"/>
        <charset val="204"/>
      </rPr>
      <t>40020 человек.</t>
    </r>
  </si>
  <si>
    <r>
      <t xml:space="preserve">Содержание работы: </t>
    </r>
    <r>
      <rPr>
        <sz val="11"/>
        <color theme="1"/>
        <rFont val="Times New Roman"/>
        <family val="1"/>
        <charset val="204"/>
      </rPr>
      <t>Очно</t>
    </r>
  </si>
  <si>
    <r>
      <t xml:space="preserve">Наименование показателя объема: </t>
    </r>
    <r>
      <rPr>
        <sz val="11"/>
        <color theme="1"/>
        <rFont val="Times New Roman"/>
        <family val="1"/>
        <charset val="204"/>
      </rPr>
      <t>13800 ед. основного фонда</t>
    </r>
  </si>
  <si>
    <r>
      <t xml:space="preserve">Наименование показателя объема: </t>
    </r>
    <r>
      <rPr>
        <sz val="11"/>
        <color theme="1"/>
        <rFont val="Times New Roman"/>
        <family val="1"/>
        <charset val="204"/>
      </rPr>
      <t>43 выставки</t>
    </r>
  </si>
  <si>
    <r>
      <t xml:space="preserve">Наименование показателя объема: </t>
    </r>
    <r>
      <rPr>
        <sz val="11"/>
        <color theme="1"/>
        <rFont val="Times New Roman"/>
        <family val="1"/>
        <charset val="204"/>
      </rPr>
      <t>22000 человек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</si>
</sst>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0.000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0" borderId="1" xfId="0" applyFont="1" applyBorder="1"/>
    <xf numFmtId="0" fontId="3" fillId="0" borderId="0" xfId="0" applyFont="1"/>
    <xf numFmtId="0" fontId="4" fillId="0" borderId="0" xfId="0" applyFont="1" applyBorder="1" applyAlignment="1">
      <alignment horizontal="center"/>
    </xf>
    <xf numFmtId="4" fontId="4" fillId="0" borderId="0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/>
    <xf numFmtId="0" fontId="3" fillId="0" borderId="0" xfId="0" applyFont="1" applyAlignment="1"/>
    <xf numFmtId="0" fontId="1" fillId="0" borderId="0" xfId="0" applyFont="1"/>
    <xf numFmtId="0" fontId="5" fillId="0" borderId="0" xfId="0" applyFont="1"/>
    <xf numFmtId="0" fontId="1" fillId="0" borderId="1" xfId="0" applyFont="1" applyFill="1" applyBorder="1"/>
    <xf numFmtId="0" fontId="1" fillId="0" borderId="1" xfId="0" applyFont="1" applyBorder="1" applyAlignment="1">
      <alignment wrapText="1"/>
    </xf>
    <xf numFmtId="2" fontId="1" fillId="0" borderId="1" xfId="0" applyNumberFormat="1" applyFont="1" applyBorder="1"/>
    <xf numFmtId="0" fontId="4" fillId="0" borderId="1" xfId="0" applyFont="1" applyBorder="1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2" fontId="1" fillId="0" borderId="0" xfId="0" applyNumberFormat="1" applyFont="1" applyBorder="1"/>
    <xf numFmtId="0" fontId="1" fillId="0" borderId="0" xfId="0" applyNumberFormat="1" applyFont="1" applyAlignment="1">
      <alignment horizontal="right"/>
    </xf>
    <xf numFmtId="0" fontId="1" fillId="0" borderId="1" xfId="0" applyFont="1" applyFill="1" applyBorder="1" applyAlignment="1">
      <alignment wrapText="1"/>
    </xf>
    <xf numFmtId="0" fontId="4" fillId="0" borderId="0" xfId="0" applyFont="1"/>
    <xf numFmtId="0" fontId="5" fillId="0" borderId="1" xfId="0" applyFont="1" applyBorder="1" applyAlignment="1"/>
    <xf numFmtId="0" fontId="1" fillId="0" borderId="1" xfId="0" applyFont="1" applyBorder="1" applyAlignment="1"/>
    <xf numFmtId="1" fontId="1" fillId="0" borderId="1" xfId="0" applyNumberFormat="1" applyFont="1" applyBorder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5" fillId="0" borderId="0" xfId="0" applyFont="1" applyBorder="1" applyAlignment="1">
      <alignment horizontal="left"/>
    </xf>
    <xf numFmtId="0" fontId="1" fillId="0" borderId="0" xfId="0" applyFont="1" applyBorder="1" applyAlignment="1"/>
    <xf numFmtId="0" fontId="5" fillId="0" borderId="0" xfId="0" applyFont="1" applyBorder="1" applyAlignment="1"/>
    <xf numFmtId="2" fontId="1" fillId="0" borderId="0" xfId="0" applyNumberFormat="1" applyFont="1" applyBorder="1" applyAlignment="1"/>
    <xf numFmtId="0" fontId="1" fillId="0" borderId="1" xfId="0" applyFont="1" applyBorder="1" applyAlignment="1">
      <alignment horizontal="center" wrapText="1"/>
    </xf>
    <xf numFmtId="2" fontId="1" fillId="0" borderId="0" xfId="0" applyNumberFormat="1" applyFont="1"/>
    <xf numFmtId="4" fontId="1" fillId="0" borderId="0" xfId="0" applyNumberFormat="1" applyFont="1"/>
    <xf numFmtId="4" fontId="0" fillId="0" borderId="0" xfId="0" applyNumberFormat="1"/>
    <xf numFmtId="0" fontId="6" fillId="0" borderId="1" xfId="0" applyFon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5" fillId="0" borderId="0" xfId="0" applyFont="1" applyBorder="1" applyAlignment="1">
      <alignment horizontal="left" wrapText="1"/>
    </xf>
    <xf numFmtId="0" fontId="1" fillId="0" borderId="0" xfId="0" applyFont="1" applyBorder="1" applyAlignment="1">
      <alignment wrapText="1"/>
    </xf>
    <xf numFmtId="164" fontId="1" fillId="0" borderId="1" xfId="0" applyNumberFormat="1" applyFont="1" applyBorder="1"/>
    <xf numFmtId="2" fontId="5" fillId="0" borderId="1" xfId="0" applyNumberFormat="1" applyFont="1" applyBorder="1" applyAlignment="1"/>
    <xf numFmtId="4" fontId="5" fillId="0" borderId="1" xfId="0" applyNumberFormat="1" applyFont="1" applyBorder="1" applyAlignment="1"/>
    <xf numFmtId="1" fontId="1" fillId="0" borderId="2" xfId="0" applyNumberFormat="1" applyFont="1" applyBorder="1"/>
    <xf numFmtId="4" fontId="5" fillId="0" borderId="1" xfId="0" applyNumberFormat="1" applyFont="1" applyBorder="1" applyAlignment="1">
      <alignment horizontal="right"/>
    </xf>
    <xf numFmtId="4" fontId="5" fillId="0" borderId="1" xfId="0" applyNumberFormat="1" applyFont="1" applyBorder="1"/>
    <xf numFmtId="0" fontId="1" fillId="0" borderId="0" xfId="0" applyFont="1" applyFill="1" applyBorder="1"/>
    <xf numFmtId="4" fontId="5" fillId="0" borderId="0" xfId="0" applyNumberFormat="1" applyFont="1" applyBorder="1" applyAlignment="1"/>
    <xf numFmtId="2" fontId="5" fillId="0" borderId="0" xfId="0" applyNumberFormat="1" applyFont="1" applyBorder="1" applyAlignment="1"/>
    <xf numFmtId="2" fontId="0" fillId="0" borderId="0" xfId="0" applyNumberFormat="1"/>
    <xf numFmtId="4" fontId="7" fillId="2" borderId="1" xfId="0" applyNumberFormat="1" applyFont="1" applyFill="1" applyBorder="1"/>
    <xf numFmtId="2" fontId="5" fillId="0" borderId="1" xfId="0" applyNumberFormat="1" applyFont="1" applyBorder="1"/>
    <xf numFmtId="2" fontId="5" fillId="0" borderId="0" xfId="0" applyNumberFormat="1" applyFont="1" applyBorder="1"/>
    <xf numFmtId="4" fontId="5" fillId="0" borderId="0" xfId="0" applyNumberFormat="1" applyFont="1"/>
    <xf numFmtId="2" fontId="0" fillId="0" borderId="1" xfId="0" applyNumberFormat="1" applyFont="1" applyBorder="1"/>
    <xf numFmtId="3" fontId="5" fillId="0" borderId="1" xfId="0" applyNumberFormat="1" applyFont="1" applyBorder="1" applyAlignment="1"/>
    <xf numFmtId="0" fontId="5" fillId="0" borderId="1" xfId="0" applyFont="1" applyBorder="1"/>
    <xf numFmtId="2" fontId="4" fillId="0" borderId="1" xfId="0" applyNumberFormat="1" applyFont="1" applyBorder="1"/>
    <xf numFmtId="165" fontId="1" fillId="0" borderId="1" xfId="0" applyNumberFormat="1" applyFont="1" applyBorder="1"/>
    <xf numFmtId="4" fontId="1" fillId="0" borderId="0" xfId="0" applyNumberFormat="1" applyFont="1" applyAlignment="1">
      <alignment horizontal="right"/>
    </xf>
    <xf numFmtId="2" fontId="5" fillId="0" borderId="0" xfId="0" applyNumberFormat="1" applyFont="1"/>
    <xf numFmtId="2" fontId="1" fillId="0" borderId="2" xfId="0" applyNumberFormat="1" applyFont="1" applyBorder="1"/>
    <xf numFmtId="1" fontId="5" fillId="0" borderId="1" xfId="0" applyNumberFormat="1" applyFont="1" applyBorder="1"/>
    <xf numFmtId="0" fontId="1" fillId="0" borderId="2" xfId="0" applyFont="1" applyFill="1" applyBorder="1" applyAlignment="1">
      <alignment horizontal="center" wrapText="1"/>
    </xf>
    <xf numFmtId="2" fontId="5" fillId="0" borderId="2" xfId="0" applyNumberFormat="1" applyFont="1" applyBorder="1" applyAlignment="1"/>
    <xf numFmtId="0" fontId="1" fillId="0" borderId="9" xfId="0" applyFont="1" applyBorder="1" applyAlignment="1">
      <alignment wrapText="1"/>
    </xf>
    <xf numFmtId="2" fontId="1" fillId="0" borderId="9" xfId="0" applyNumberFormat="1" applyFont="1" applyBorder="1"/>
    <xf numFmtId="4" fontId="5" fillId="0" borderId="2" xfId="0" applyNumberFormat="1" applyFont="1" applyBorder="1" applyAlignment="1"/>
    <xf numFmtId="0" fontId="1" fillId="0" borderId="9" xfId="0" applyFont="1" applyBorder="1" applyAlignment="1">
      <alignment horizontal="center" wrapText="1"/>
    </xf>
    <xf numFmtId="4" fontId="5" fillId="0" borderId="2" xfId="0" applyNumberFormat="1" applyFont="1" applyBorder="1"/>
    <xf numFmtId="0" fontId="1" fillId="0" borderId="2" xfId="0" applyFont="1" applyFill="1" applyBorder="1" applyAlignment="1">
      <alignment wrapText="1"/>
    </xf>
    <xf numFmtId="166" fontId="1" fillId="0" borderId="1" xfId="0" applyNumberFormat="1" applyFont="1" applyBorder="1"/>
    <xf numFmtId="0" fontId="1" fillId="0" borderId="1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/>
    <xf numFmtId="0" fontId="3" fillId="0" borderId="0" xfId="0" applyFont="1" applyAlignment="1"/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5" fillId="0" borderId="1" xfId="0" applyFont="1" applyBorder="1" applyAlignment="1">
      <alignment horizontal="center"/>
    </xf>
    <xf numFmtId="2" fontId="1" fillId="0" borderId="2" xfId="0" applyNumberFormat="1" applyFont="1" applyBorder="1"/>
    <xf numFmtId="2" fontId="1" fillId="0" borderId="4" xfId="0" applyNumberFormat="1" applyFont="1" applyBorder="1"/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1" fillId="0" borderId="4" xfId="0" applyFont="1" applyBorder="1"/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A3" sqref="A3"/>
    </sheetView>
  </sheetViews>
  <sheetFormatPr defaultRowHeight="15" x14ac:dyDescent="0.25"/>
  <cols>
    <col min="1" max="2" width="18.28515625" customWidth="1"/>
  </cols>
  <sheetData>
    <row r="1" spans="1:2" ht="33" customHeight="1" x14ac:dyDescent="0.25">
      <c r="A1" s="42" t="s">
        <v>80</v>
      </c>
      <c r="B1" s="42" t="s">
        <v>81</v>
      </c>
    </row>
    <row r="2" spans="1:2" ht="31.5" customHeight="1" x14ac:dyDescent="0.25">
      <c r="A2" s="43">
        <f>'Услуга №1 '!I97+'Работа №1'!I99+'Работа №2'!I98+'Работа №3'!I93</f>
        <v>3860300.0003034882</v>
      </c>
      <c r="B2" s="43">
        <f>'Услуга №1 '!L97+'Работа №1'!L99+'Работа №2'!L98+'Работа №3'!L93</f>
        <v>3860300.0003034878</v>
      </c>
    </row>
    <row r="4" spans="1:2" x14ac:dyDescent="0.25">
      <c r="A4">
        <v>212</v>
      </c>
      <c r="B4">
        <v>540</v>
      </c>
    </row>
    <row r="6" spans="1:2" x14ac:dyDescent="0.25">
      <c r="A6" s="5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02"/>
  <sheetViews>
    <sheetView view="pageBreakPreview" zoomScale="60" zoomScaleNormal="85" workbookViewId="0">
      <selection activeCell="F29" sqref="F29"/>
    </sheetView>
  </sheetViews>
  <sheetFormatPr defaultRowHeight="15" x14ac:dyDescent="0.25"/>
  <cols>
    <col min="1" max="1" width="10.42578125" bestFit="1" customWidth="1"/>
    <col min="5" max="5" width="14.140625" customWidth="1"/>
    <col min="6" max="6" width="11.42578125" customWidth="1"/>
    <col min="7" max="7" width="9.7109375" customWidth="1"/>
    <col min="8" max="8" width="14" customWidth="1"/>
    <col min="9" max="9" width="13.7109375" customWidth="1"/>
    <col min="10" max="10" width="14.28515625" customWidth="1"/>
    <col min="11" max="11" width="14.140625" customWidth="1"/>
    <col min="12" max="12" width="14.7109375" customWidth="1"/>
    <col min="13" max="13" width="13.85546875" customWidth="1"/>
    <col min="14" max="14" width="11.7109375" bestFit="1" customWidth="1"/>
  </cols>
  <sheetData>
    <row r="2" spans="1:13" ht="15.75" x14ac:dyDescent="0.25">
      <c r="A2" s="2" t="s">
        <v>61</v>
      </c>
      <c r="B2" s="2"/>
      <c r="C2" s="3"/>
      <c r="D2" s="4"/>
    </row>
    <row r="3" spans="1:13" ht="15.75" x14ac:dyDescent="0.25">
      <c r="A3" s="5" t="s">
        <v>62</v>
      </c>
      <c r="B3" s="5"/>
      <c r="C3" s="3"/>
      <c r="D3" s="4"/>
    </row>
    <row r="4" spans="1:13" ht="6" customHeight="1" x14ac:dyDescent="0.25">
      <c r="A4" s="6"/>
      <c r="B4" s="7"/>
      <c r="C4" s="3"/>
      <c r="D4" s="4"/>
    </row>
    <row r="5" spans="1:13" ht="15.75" x14ac:dyDescent="0.25">
      <c r="A5" s="79" t="s">
        <v>63</v>
      </c>
      <c r="B5" s="79"/>
      <c r="C5" s="79"/>
      <c r="D5" s="80"/>
      <c r="E5" s="80"/>
      <c r="F5" s="80"/>
    </row>
    <row r="6" spans="1:13" ht="15.75" x14ac:dyDescent="0.25">
      <c r="A6" s="81" t="s">
        <v>99</v>
      </c>
      <c r="B6" s="81"/>
      <c r="C6" s="81"/>
      <c r="D6" s="80"/>
    </row>
    <row r="7" spans="1:13" ht="15.75" x14ac:dyDescent="0.25">
      <c r="A7" s="8"/>
      <c r="B7" s="8"/>
      <c r="C7" s="8"/>
      <c r="D7" s="2"/>
    </row>
    <row r="9" spans="1:13" ht="15.75" x14ac:dyDescent="0.25">
      <c r="A9" s="86" t="s">
        <v>60</v>
      </c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</row>
    <row r="10" spans="1:13" ht="15.75" x14ac:dyDescent="0.25">
      <c r="A10" s="86" t="s">
        <v>93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</row>
    <row r="11" spans="1:13" ht="15.75" x14ac:dyDescent="0.25">
      <c r="A11" s="86" t="s">
        <v>103</v>
      </c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</row>
    <row r="13" spans="1:13" s="9" customFormat="1" x14ac:dyDescent="0.25">
      <c r="A13" s="10" t="s">
        <v>67</v>
      </c>
    </row>
    <row r="14" spans="1:13" s="9" customFormat="1" x14ac:dyDescent="0.25">
      <c r="A14" s="10" t="s">
        <v>68</v>
      </c>
    </row>
    <row r="15" spans="1:13" s="9" customFormat="1" x14ac:dyDescent="0.25">
      <c r="A15" s="10" t="s">
        <v>73</v>
      </c>
    </row>
    <row r="16" spans="1:13" s="9" customFormat="1" x14ac:dyDescent="0.25">
      <c r="A16" s="10" t="s">
        <v>105</v>
      </c>
    </row>
    <row r="17" spans="1:14" x14ac:dyDescent="0.25">
      <c r="A17" s="10" t="s">
        <v>74</v>
      </c>
      <c r="B17" s="9"/>
      <c r="C17" s="9"/>
      <c r="D17" s="9"/>
      <c r="E17" s="9"/>
    </row>
    <row r="18" spans="1:14" s="9" customFormat="1" ht="33" customHeight="1" x14ac:dyDescent="0.25">
      <c r="A18" s="87" t="s">
        <v>0</v>
      </c>
      <c r="B18" s="87"/>
      <c r="C18" s="87"/>
      <c r="D18" s="87"/>
      <c r="E18" s="87"/>
      <c r="F18" s="38" t="s">
        <v>1</v>
      </c>
      <c r="G18" s="87" t="s">
        <v>2</v>
      </c>
      <c r="H18" s="87"/>
      <c r="I18" s="87"/>
      <c r="J18" s="87"/>
      <c r="K18" s="87"/>
      <c r="L18" s="1" t="s">
        <v>1</v>
      </c>
    </row>
    <row r="19" spans="1:14" s="9" customFormat="1" x14ac:dyDescent="0.25">
      <c r="A19" s="82" t="s">
        <v>6</v>
      </c>
      <c r="B19" s="83"/>
      <c r="C19" s="83"/>
      <c r="D19" s="83"/>
      <c r="E19" s="84"/>
      <c r="F19" s="1">
        <v>0.52749999999999997</v>
      </c>
      <c r="G19" s="78" t="s">
        <v>5</v>
      </c>
      <c r="H19" s="78"/>
      <c r="I19" s="78"/>
      <c r="J19" s="78"/>
      <c r="K19" s="78"/>
      <c r="L19" s="11">
        <v>0.52749999999999997</v>
      </c>
    </row>
    <row r="20" spans="1:14" s="9" customFormat="1" x14ac:dyDescent="0.25">
      <c r="A20" s="82" t="s">
        <v>3</v>
      </c>
      <c r="B20" s="83"/>
      <c r="C20" s="83"/>
      <c r="D20" s="83"/>
      <c r="E20" s="84"/>
      <c r="F20" s="1">
        <v>0.52749999999999997</v>
      </c>
      <c r="G20" s="78" t="s">
        <v>13</v>
      </c>
      <c r="H20" s="78"/>
      <c r="I20" s="78"/>
      <c r="J20" s="78"/>
      <c r="K20" s="78"/>
      <c r="L20" s="11">
        <v>0.52749999999999997</v>
      </c>
    </row>
    <row r="21" spans="1:14" s="9" customFormat="1" x14ac:dyDescent="0.25">
      <c r="A21" s="82" t="s">
        <v>4</v>
      </c>
      <c r="B21" s="83"/>
      <c r="C21" s="83"/>
      <c r="D21" s="83"/>
      <c r="E21" s="84"/>
      <c r="F21" s="1">
        <v>0.52749999999999997</v>
      </c>
      <c r="G21" s="85"/>
      <c r="H21" s="85"/>
      <c r="I21" s="85"/>
      <c r="J21" s="85"/>
      <c r="K21" s="85"/>
      <c r="L21" s="1"/>
    </row>
    <row r="22" spans="1:14" s="9" customFormat="1" x14ac:dyDescent="0.25">
      <c r="A22" s="82" t="s">
        <v>11</v>
      </c>
      <c r="B22" s="83"/>
      <c r="C22" s="83"/>
      <c r="D22" s="83"/>
      <c r="E22" s="84"/>
      <c r="F22" s="1">
        <v>0.52749999999999997</v>
      </c>
      <c r="G22" s="85"/>
      <c r="H22" s="85"/>
      <c r="I22" s="85"/>
      <c r="J22" s="85"/>
      <c r="K22" s="85"/>
      <c r="L22" s="1"/>
    </row>
    <row r="23" spans="1:14" s="9" customFormat="1" x14ac:dyDescent="0.25">
      <c r="A23" s="82" t="s">
        <v>7</v>
      </c>
      <c r="B23" s="83"/>
      <c r="C23" s="83"/>
      <c r="D23" s="83"/>
      <c r="E23" s="84"/>
      <c r="F23" s="1">
        <v>0.52749999999999997</v>
      </c>
      <c r="G23" s="85"/>
      <c r="H23" s="85"/>
      <c r="I23" s="85"/>
      <c r="J23" s="85"/>
      <c r="K23" s="85"/>
      <c r="L23" s="1"/>
    </row>
    <row r="24" spans="1:14" s="9" customFormat="1" x14ac:dyDescent="0.25">
      <c r="A24" s="82" t="s">
        <v>10</v>
      </c>
      <c r="B24" s="83"/>
      <c r="C24" s="83"/>
      <c r="D24" s="83"/>
      <c r="E24" s="84"/>
      <c r="F24" s="1">
        <v>0.52749999999999997</v>
      </c>
      <c r="G24" s="85"/>
      <c r="H24" s="85"/>
      <c r="I24" s="85"/>
      <c r="J24" s="85"/>
      <c r="K24" s="85"/>
      <c r="L24" s="1"/>
    </row>
    <row r="25" spans="1:14" s="9" customFormat="1" x14ac:dyDescent="0.25">
      <c r="A25" s="82" t="s">
        <v>9</v>
      </c>
      <c r="B25" s="83"/>
      <c r="C25" s="83"/>
      <c r="D25" s="83"/>
      <c r="E25" s="84"/>
      <c r="F25" s="1">
        <v>0.26369999999999999</v>
      </c>
      <c r="G25" s="85"/>
      <c r="H25" s="85"/>
      <c r="I25" s="85"/>
      <c r="J25" s="85"/>
      <c r="K25" s="85"/>
      <c r="L25" s="1"/>
    </row>
    <row r="26" spans="1:14" s="9" customFormat="1" x14ac:dyDescent="0.25">
      <c r="A26" s="82" t="s">
        <v>12</v>
      </c>
      <c r="B26" s="83"/>
      <c r="C26" s="83"/>
      <c r="D26" s="83"/>
      <c r="E26" s="84"/>
      <c r="F26" s="1">
        <v>0.52749999999999997</v>
      </c>
      <c r="G26" s="85"/>
      <c r="H26" s="85"/>
      <c r="I26" s="85"/>
      <c r="J26" s="85"/>
      <c r="K26" s="85"/>
      <c r="L26" s="1"/>
    </row>
    <row r="27" spans="1:14" s="9" customFormat="1" ht="28.5" customHeight="1" x14ac:dyDescent="0.25">
      <c r="A27" s="88" t="s">
        <v>8</v>
      </c>
      <c r="B27" s="89"/>
      <c r="C27" s="89"/>
      <c r="D27" s="89"/>
      <c r="E27" s="90"/>
      <c r="F27" s="1">
        <v>0.52749999999999997</v>
      </c>
      <c r="G27" s="85"/>
      <c r="H27" s="85"/>
      <c r="I27" s="85"/>
      <c r="J27" s="85"/>
      <c r="K27" s="85"/>
      <c r="L27" s="1"/>
    </row>
    <row r="28" spans="1:14" s="9" customFormat="1" x14ac:dyDescent="0.25">
      <c r="A28" s="82" t="s">
        <v>57</v>
      </c>
      <c r="B28" s="83"/>
      <c r="C28" s="83"/>
      <c r="D28" s="83"/>
      <c r="E28" s="84"/>
      <c r="F28" s="1">
        <v>0.52749999999999997</v>
      </c>
      <c r="G28" s="85"/>
      <c r="H28" s="85"/>
      <c r="I28" s="85"/>
      <c r="J28" s="85"/>
      <c r="K28" s="85"/>
      <c r="L28" s="1"/>
    </row>
    <row r="29" spans="1:14" s="10" customFormat="1" ht="14.25" x14ac:dyDescent="0.2">
      <c r="A29" s="97" t="s">
        <v>14</v>
      </c>
      <c r="B29" s="97"/>
      <c r="C29" s="97"/>
      <c r="D29" s="97"/>
      <c r="E29" s="97"/>
      <c r="F29" s="62">
        <f>SUM(F19:F28)</f>
        <v>5.0111999999999997</v>
      </c>
      <c r="G29" s="97" t="s">
        <v>14</v>
      </c>
      <c r="H29" s="97"/>
      <c r="I29" s="97"/>
      <c r="J29" s="97"/>
      <c r="K29" s="97"/>
      <c r="L29" s="62">
        <f>SUM(L19:L28)</f>
        <v>1.0549999999999999</v>
      </c>
      <c r="M29" s="66">
        <f>F29+L29+'Работа №1'!F30+'Работа №1'!L30+'Работа №2'!F31+'Работа №2'!L31+'Работа №3'!F26+'Работа №3'!L26</f>
        <v>11.4999</v>
      </c>
      <c r="N29" s="66"/>
    </row>
    <row r="30" spans="1:14" s="9" customFormat="1" x14ac:dyDescent="0.25"/>
    <row r="31" spans="1:14" s="9" customFormat="1" x14ac:dyDescent="0.25">
      <c r="A31" s="10" t="s">
        <v>59</v>
      </c>
      <c r="F31" s="9">
        <v>40020</v>
      </c>
    </row>
    <row r="32" spans="1:14" s="9" customFormat="1" x14ac:dyDescent="0.25"/>
    <row r="33" spans="1:14" s="9" customFormat="1" ht="60.75" customHeight="1" x14ac:dyDescent="0.25">
      <c r="A33" s="92" t="s">
        <v>15</v>
      </c>
      <c r="B33" s="92"/>
      <c r="C33" s="92"/>
      <c r="D33" s="92"/>
      <c r="E33" s="92"/>
      <c r="F33" s="31" t="s">
        <v>16</v>
      </c>
      <c r="G33" s="31" t="s">
        <v>1</v>
      </c>
      <c r="H33" s="31" t="s">
        <v>75</v>
      </c>
      <c r="I33" s="31" t="s">
        <v>76</v>
      </c>
      <c r="J33" s="31" t="s">
        <v>77</v>
      </c>
      <c r="K33" s="33" t="s">
        <v>78</v>
      </c>
      <c r="L33" s="12"/>
      <c r="M33" s="39">
        <f>L29+'Работа №1'!L30+'Работа №2'!L31+'Работа №3'!L26</f>
        <v>3.1456999999999997</v>
      </c>
    </row>
    <row r="34" spans="1:14" s="9" customFormat="1" ht="14.25" customHeight="1" x14ac:dyDescent="0.25">
      <c r="A34" s="85" t="s">
        <v>6</v>
      </c>
      <c r="B34" s="85"/>
      <c r="C34" s="85"/>
      <c r="D34" s="85"/>
      <c r="E34" s="85"/>
      <c r="F34" s="13">
        <v>21778.37</v>
      </c>
      <c r="G34" s="1">
        <f>F19</f>
        <v>0.52749999999999997</v>
      </c>
      <c r="H34" s="13">
        <f>F34*G34*12</f>
        <v>137857.0821</v>
      </c>
      <c r="I34" s="13">
        <f>H34*1.302</f>
        <v>179489.92089420001</v>
      </c>
      <c r="J34" s="1">
        <f>F31</f>
        <v>40020</v>
      </c>
      <c r="K34" s="13">
        <f>I34/J34</f>
        <v>4.4850055195952025</v>
      </c>
      <c r="L34" s="13"/>
      <c r="N34" s="39"/>
    </row>
    <row r="35" spans="1:14" s="9" customFormat="1" ht="15" customHeight="1" x14ac:dyDescent="0.25">
      <c r="A35" s="85" t="s">
        <v>3</v>
      </c>
      <c r="B35" s="85"/>
      <c r="C35" s="85"/>
      <c r="D35" s="85"/>
      <c r="E35" s="85"/>
      <c r="F35" s="13">
        <v>15601.33</v>
      </c>
      <c r="G35" s="1">
        <f t="shared" ref="G35:G43" si="0">F20</f>
        <v>0.52749999999999997</v>
      </c>
      <c r="H35" s="13">
        <f>F35*G35*12</f>
        <v>98756.41889999999</v>
      </c>
      <c r="I35" s="13">
        <f>H35*1.302</f>
        <v>128580.85740779999</v>
      </c>
      <c r="J35" s="1">
        <f t="shared" ref="J35:J43" si="1">J34</f>
        <v>40020</v>
      </c>
      <c r="K35" s="13">
        <f>I35/J35</f>
        <v>3.2129149777061468</v>
      </c>
      <c r="L35" s="13"/>
      <c r="N35" s="39"/>
    </row>
    <row r="36" spans="1:14" s="9" customFormat="1" ht="15" customHeight="1" x14ac:dyDescent="0.25">
      <c r="A36" s="85" t="s">
        <v>4</v>
      </c>
      <c r="B36" s="85"/>
      <c r="C36" s="85"/>
      <c r="D36" s="85"/>
      <c r="E36" s="85"/>
      <c r="F36" s="13">
        <v>16065.33</v>
      </c>
      <c r="G36" s="1">
        <f t="shared" si="0"/>
        <v>0.52749999999999997</v>
      </c>
      <c r="H36" s="13">
        <f>F36*G36*12</f>
        <v>101693.53889999999</v>
      </c>
      <c r="I36" s="13">
        <f t="shared" ref="I36:I42" si="2">H36*1.302</f>
        <v>132404.98764779998</v>
      </c>
      <c r="J36" s="1">
        <f t="shared" si="1"/>
        <v>40020</v>
      </c>
      <c r="K36" s="13">
        <f t="shared" ref="K36:K40" si="3">I36/J36</f>
        <v>3.3084704559670159</v>
      </c>
      <c r="L36" s="13"/>
      <c r="N36" s="39"/>
    </row>
    <row r="37" spans="1:14" s="9" customFormat="1" ht="15" customHeight="1" x14ac:dyDescent="0.25">
      <c r="A37" s="85" t="s">
        <v>11</v>
      </c>
      <c r="B37" s="85"/>
      <c r="C37" s="85"/>
      <c r="D37" s="85"/>
      <c r="E37" s="85"/>
      <c r="F37" s="13">
        <v>14072.442999999999</v>
      </c>
      <c r="G37" s="1">
        <f t="shared" si="0"/>
        <v>0.52749999999999997</v>
      </c>
      <c r="H37" s="13">
        <f>F37*G37*12</f>
        <v>89078.56418999999</v>
      </c>
      <c r="I37" s="13">
        <f t="shared" si="2"/>
        <v>115980.29057537999</v>
      </c>
      <c r="J37" s="1">
        <f t="shared" si="1"/>
        <v>40020</v>
      </c>
      <c r="K37" s="13">
        <f>I37/J37</f>
        <v>2.8980582352668662</v>
      </c>
      <c r="L37" s="13"/>
      <c r="N37" s="39"/>
    </row>
    <row r="38" spans="1:14" s="9" customFormat="1" ht="15" customHeight="1" x14ac:dyDescent="0.25">
      <c r="A38" s="85" t="s">
        <v>7</v>
      </c>
      <c r="B38" s="85"/>
      <c r="C38" s="85"/>
      <c r="D38" s="85"/>
      <c r="E38" s="85"/>
      <c r="F38" s="13">
        <v>13589.6</v>
      </c>
      <c r="G38" s="1">
        <f t="shared" si="0"/>
        <v>0.52749999999999997</v>
      </c>
      <c r="H38" s="13">
        <f t="shared" ref="H38:H42" si="4">F38*G38*12</f>
        <v>86022.168000000005</v>
      </c>
      <c r="I38" s="13">
        <f t="shared" si="2"/>
        <v>112000.86273600001</v>
      </c>
      <c r="J38" s="1">
        <f t="shared" si="1"/>
        <v>40020</v>
      </c>
      <c r="K38" s="13">
        <f t="shared" si="3"/>
        <v>2.7986222572713646</v>
      </c>
      <c r="L38" s="13"/>
      <c r="N38" s="39"/>
    </row>
    <row r="39" spans="1:14" s="9" customFormat="1" ht="15" customHeight="1" x14ac:dyDescent="0.25">
      <c r="A39" s="85" t="s">
        <v>10</v>
      </c>
      <c r="B39" s="85"/>
      <c r="C39" s="85"/>
      <c r="D39" s="85"/>
      <c r="E39" s="85"/>
      <c r="F39" s="13">
        <v>6930.4</v>
      </c>
      <c r="G39" s="1">
        <f t="shared" si="0"/>
        <v>0.52749999999999997</v>
      </c>
      <c r="H39" s="13">
        <f t="shared" si="4"/>
        <v>43869.431999999993</v>
      </c>
      <c r="I39" s="13">
        <f>H39*1.302</f>
        <v>57118.000463999997</v>
      </c>
      <c r="J39" s="1">
        <f t="shared" si="1"/>
        <v>40020</v>
      </c>
      <c r="K39" s="13">
        <f t="shared" si="3"/>
        <v>1.4272363934032983</v>
      </c>
      <c r="L39" s="13"/>
      <c r="N39" s="39"/>
    </row>
    <row r="40" spans="1:14" s="9" customFormat="1" ht="15" customHeight="1" x14ac:dyDescent="0.25">
      <c r="A40" s="85" t="s">
        <v>9</v>
      </c>
      <c r="B40" s="85"/>
      <c r="C40" s="85"/>
      <c r="D40" s="85"/>
      <c r="E40" s="85"/>
      <c r="F40" s="63">
        <f>6897.44*2</f>
        <v>13794.88</v>
      </c>
      <c r="G40" s="1">
        <f t="shared" si="0"/>
        <v>0.26369999999999999</v>
      </c>
      <c r="H40" s="13">
        <f t="shared" si="4"/>
        <v>43652.518271999994</v>
      </c>
      <c r="I40" s="13">
        <f t="shared" si="2"/>
        <v>56835.578790143991</v>
      </c>
      <c r="J40" s="1">
        <f t="shared" si="1"/>
        <v>40020</v>
      </c>
      <c r="K40" s="13">
        <f t="shared" si="3"/>
        <v>1.420179380063568</v>
      </c>
      <c r="L40" s="13"/>
      <c r="N40" s="39"/>
    </row>
    <row r="41" spans="1:14" s="9" customFormat="1" ht="17.25" customHeight="1" x14ac:dyDescent="0.25">
      <c r="A41" s="88" t="s">
        <v>12</v>
      </c>
      <c r="B41" s="89"/>
      <c r="C41" s="89"/>
      <c r="D41" s="89"/>
      <c r="E41" s="90"/>
      <c r="F41" s="63">
        <v>13589.6</v>
      </c>
      <c r="G41" s="1">
        <f t="shared" si="0"/>
        <v>0.52749999999999997</v>
      </c>
      <c r="H41" s="13">
        <f>F41*G41*12</f>
        <v>86022.168000000005</v>
      </c>
      <c r="I41" s="13">
        <f>H41*1.302</f>
        <v>112000.86273600001</v>
      </c>
      <c r="J41" s="1">
        <f t="shared" si="1"/>
        <v>40020</v>
      </c>
      <c r="K41" s="13">
        <f>I41/J41</f>
        <v>2.7986222572713646</v>
      </c>
      <c r="L41" s="13"/>
      <c r="N41" s="39"/>
    </row>
    <row r="42" spans="1:14" s="9" customFormat="1" ht="30" customHeight="1" x14ac:dyDescent="0.25">
      <c r="A42" s="88" t="s">
        <v>8</v>
      </c>
      <c r="B42" s="89"/>
      <c r="C42" s="89"/>
      <c r="D42" s="89"/>
      <c r="E42" s="90"/>
      <c r="F42" s="63">
        <v>16065.33</v>
      </c>
      <c r="G42" s="1">
        <f t="shared" si="0"/>
        <v>0.52749999999999997</v>
      </c>
      <c r="H42" s="13">
        <f t="shared" si="4"/>
        <v>101693.53889999999</v>
      </c>
      <c r="I42" s="13">
        <f t="shared" si="2"/>
        <v>132404.98764779998</v>
      </c>
      <c r="J42" s="1">
        <f t="shared" si="1"/>
        <v>40020</v>
      </c>
      <c r="K42" s="13">
        <f>I42/J42</f>
        <v>3.3084704559670159</v>
      </c>
      <c r="L42" s="13"/>
    </row>
    <row r="43" spans="1:14" s="9" customFormat="1" ht="15.75" customHeight="1" x14ac:dyDescent="0.25">
      <c r="A43" s="85" t="s">
        <v>57</v>
      </c>
      <c r="B43" s="85"/>
      <c r="C43" s="85"/>
      <c r="D43" s="85"/>
      <c r="E43" s="85"/>
      <c r="F43" s="63">
        <v>17517.915000000001</v>
      </c>
      <c r="G43" s="1">
        <f t="shared" si="0"/>
        <v>0.52749999999999997</v>
      </c>
      <c r="H43" s="13">
        <f>F43*G43*12</f>
        <v>110888.40195</v>
      </c>
      <c r="I43" s="13">
        <f>H43*1.302</f>
        <v>144376.69933890001</v>
      </c>
      <c r="J43" s="1">
        <f t="shared" si="1"/>
        <v>40020</v>
      </c>
      <c r="K43" s="13">
        <f>I43/J43</f>
        <v>3.6076136766341831</v>
      </c>
      <c r="L43" s="13"/>
      <c r="N43" s="39"/>
    </row>
    <row r="44" spans="1:14" s="9" customFormat="1" ht="30" customHeight="1" x14ac:dyDescent="0.25">
      <c r="A44" s="94" t="s">
        <v>71</v>
      </c>
      <c r="B44" s="95"/>
      <c r="C44" s="95"/>
      <c r="D44" s="95"/>
      <c r="E44" s="96"/>
      <c r="F44" s="13"/>
      <c r="G44" s="62">
        <f>SUM(G34:G43)</f>
        <v>5.0111999999999997</v>
      </c>
      <c r="H44" s="57"/>
      <c r="I44" s="48">
        <f>SUM(I34:I43)</f>
        <v>1171193.0482380239</v>
      </c>
      <c r="J44" s="13"/>
      <c r="K44" s="47">
        <f>SUM(K34:K43)</f>
        <v>29.265193609146028</v>
      </c>
      <c r="L44" s="13"/>
      <c r="M44" s="59">
        <f>I44+I83+'Работа №1'!I85+'Работа №1'!I43+'Работа №2'!I85+'Работа №2'!I44+'Работа №3'!I80+'Работа №3'!I34</f>
        <v>2837580.0006314879</v>
      </c>
    </row>
    <row r="45" spans="1:14" s="9" customFormat="1" ht="17.25" customHeight="1" x14ac:dyDescent="0.25">
      <c r="A45" s="44"/>
      <c r="B45" s="44"/>
      <c r="C45" s="44"/>
      <c r="D45" s="44"/>
      <c r="E45" s="44"/>
      <c r="F45" s="16"/>
      <c r="G45" s="16"/>
      <c r="H45" s="16"/>
      <c r="I45" s="17"/>
      <c r="J45" s="17"/>
      <c r="K45" s="17"/>
      <c r="L45" s="17"/>
    </row>
    <row r="46" spans="1:14" s="9" customFormat="1" x14ac:dyDescent="0.25">
      <c r="A46" s="93" t="s">
        <v>18</v>
      </c>
      <c r="B46" s="93"/>
      <c r="C46" s="93"/>
      <c r="D46" s="93"/>
      <c r="E46" s="93"/>
      <c r="F46" s="93"/>
      <c r="G46" s="93"/>
      <c r="H46" s="93"/>
      <c r="I46" s="93"/>
      <c r="J46" s="93"/>
      <c r="K46" s="93"/>
      <c r="L46" s="93"/>
    </row>
    <row r="47" spans="1:14" s="9" customFormat="1" x14ac:dyDescent="0.25"/>
    <row r="48" spans="1:14" s="9" customFormat="1" ht="60" customHeight="1" x14ac:dyDescent="0.25">
      <c r="A48" s="92" t="s">
        <v>19</v>
      </c>
      <c r="B48" s="92"/>
      <c r="C48" s="92"/>
      <c r="D48" s="92"/>
      <c r="E48" s="92"/>
      <c r="F48" s="31" t="s">
        <v>17</v>
      </c>
      <c r="G48" s="31" t="s">
        <v>70</v>
      </c>
      <c r="H48" s="31" t="s">
        <v>69</v>
      </c>
      <c r="I48" s="31" t="s">
        <v>82</v>
      </c>
      <c r="J48" s="31" t="s">
        <v>77</v>
      </c>
      <c r="K48" s="33" t="s">
        <v>78</v>
      </c>
      <c r="L48" s="45"/>
    </row>
    <row r="49" spans="1:14" s="9" customFormat="1" x14ac:dyDescent="0.25">
      <c r="A49" s="85" t="s">
        <v>20</v>
      </c>
      <c r="B49" s="85"/>
      <c r="C49" s="85"/>
      <c r="D49" s="85"/>
      <c r="E49" s="85"/>
      <c r="F49" s="1" t="s">
        <v>24</v>
      </c>
      <c r="G49" s="13">
        <f>I49/H49</f>
        <v>4219.9999999999991</v>
      </c>
      <c r="H49" s="13">
        <v>7.45</v>
      </c>
      <c r="I49" s="13">
        <f>59600*52.75%</f>
        <v>31438.999999999996</v>
      </c>
      <c r="J49" s="23">
        <f>F31</f>
        <v>40020</v>
      </c>
      <c r="K49" s="13">
        <f>I49/J49</f>
        <v>0.78558220889555208</v>
      </c>
      <c r="L49" s="17"/>
      <c r="N49" s="17"/>
    </row>
    <row r="50" spans="1:14" s="9" customFormat="1" x14ac:dyDescent="0.25">
      <c r="A50" s="85" t="s">
        <v>21</v>
      </c>
      <c r="B50" s="85"/>
      <c r="C50" s="85"/>
      <c r="D50" s="85"/>
      <c r="E50" s="85"/>
      <c r="F50" s="1" t="s">
        <v>25</v>
      </c>
      <c r="G50" s="13">
        <f>I50/H50</f>
        <v>84.4</v>
      </c>
      <c r="H50" s="13">
        <f>1875</f>
        <v>1875</v>
      </c>
      <c r="I50" s="13">
        <f>300000*52.75%</f>
        <v>158250</v>
      </c>
      <c r="J50" s="23">
        <f>J49</f>
        <v>40020</v>
      </c>
      <c r="K50" s="13">
        <f t="shared" ref="K50:K52" si="5">I50/J50</f>
        <v>3.9542728635682161</v>
      </c>
      <c r="L50" s="17"/>
      <c r="N50" s="17"/>
    </row>
    <row r="51" spans="1:14" s="9" customFormat="1" x14ac:dyDescent="0.25">
      <c r="A51" s="85" t="s">
        <v>100</v>
      </c>
      <c r="B51" s="85"/>
      <c r="C51" s="85"/>
      <c r="D51" s="85"/>
      <c r="E51" s="85"/>
      <c r="F51" s="1" t="s">
        <v>25</v>
      </c>
      <c r="G51" s="13">
        <f>I51/H51</f>
        <v>49.321148867018458</v>
      </c>
      <c r="H51" s="13">
        <v>1643.01</v>
      </c>
      <c r="I51" s="13">
        <f>153621.12*52.75%</f>
        <v>81035.140799999994</v>
      </c>
      <c r="J51" s="23">
        <f>J50</f>
        <v>40020</v>
      </c>
      <c r="K51" s="13">
        <f>I51/J51</f>
        <v>2.0248660869565214</v>
      </c>
      <c r="L51" s="17"/>
      <c r="N51" s="17"/>
    </row>
    <row r="52" spans="1:14" s="9" customFormat="1" x14ac:dyDescent="0.25">
      <c r="A52" s="85" t="s">
        <v>22</v>
      </c>
      <c r="B52" s="85"/>
      <c r="C52" s="85"/>
      <c r="D52" s="85"/>
      <c r="E52" s="85"/>
      <c r="F52" s="1" t="s">
        <v>26</v>
      </c>
      <c r="G52" s="13">
        <f>I52/H52</f>
        <v>53.029618510431838</v>
      </c>
      <c r="H52" s="13">
        <v>41.22</v>
      </c>
      <c r="I52" s="13">
        <f>4143.85*52.75%</f>
        <v>2185.8808750000003</v>
      </c>
      <c r="J52" s="23">
        <f>J51</f>
        <v>40020</v>
      </c>
      <c r="K52" s="13">
        <f t="shared" si="5"/>
        <v>5.4619712018990511E-2</v>
      </c>
      <c r="L52" s="17"/>
      <c r="N52" s="17"/>
    </row>
    <row r="53" spans="1:14" s="9" customFormat="1" x14ac:dyDescent="0.25">
      <c r="A53" s="85" t="s">
        <v>23</v>
      </c>
      <c r="B53" s="85"/>
      <c r="C53" s="85"/>
      <c r="D53" s="85"/>
      <c r="E53" s="85"/>
      <c r="F53" s="1" t="s">
        <v>26</v>
      </c>
      <c r="G53" s="13">
        <f>I53/H53</f>
        <v>53.042082887223408</v>
      </c>
      <c r="H53" s="13">
        <v>56.04</v>
      </c>
      <c r="I53" s="13">
        <f>5635.03*52.75%</f>
        <v>2972.4783249999996</v>
      </c>
      <c r="J53" s="23">
        <f>J52</f>
        <v>40020</v>
      </c>
      <c r="K53" s="13">
        <f>I53/J53</f>
        <v>7.427482071464267E-2</v>
      </c>
      <c r="L53" s="17"/>
      <c r="M53" s="65"/>
      <c r="N53" s="17"/>
    </row>
    <row r="54" spans="1:14" s="9" customFormat="1" x14ac:dyDescent="0.25">
      <c r="A54" s="91" t="s">
        <v>72</v>
      </c>
      <c r="B54" s="91"/>
      <c r="C54" s="91"/>
      <c r="D54" s="91"/>
      <c r="E54" s="91"/>
      <c r="F54" s="91"/>
      <c r="G54" s="91"/>
      <c r="H54" s="91"/>
      <c r="I54" s="48">
        <f>SUM(I49:I53)</f>
        <v>275882.49999999994</v>
      </c>
      <c r="J54" s="47"/>
      <c r="K54" s="47">
        <f>SUM(K49:K53)</f>
        <v>6.8936156921539222</v>
      </c>
      <c r="L54" s="58"/>
      <c r="M54" s="59">
        <f>I54+'Работа №1'!I54+'Работа №2'!I54+'Работа №3'!I44</f>
        <v>523000.00267199997</v>
      </c>
      <c r="N54" s="17"/>
    </row>
    <row r="55" spans="1:14" s="9" customFormat="1" x14ac:dyDescent="0.25"/>
    <row r="56" spans="1:14" s="9" customFormat="1" x14ac:dyDescent="0.25">
      <c r="A56" s="93" t="s">
        <v>27</v>
      </c>
      <c r="B56" s="93"/>
      <c r="C56" s="93"/>
      <c r="D56" s="93"/>
      <c r="E56" s="93"/>
      <c r="F56" s="93"/>
      <c r="G56" s="93"/>
      <c r="H56" s="93"/>
      <c r="I56" s="93"/>
      <c r="J56" s="93"/>
      <c r="K56" s="93"/>
      <c r="L56" s="93"/>
    </row>
    <row r="57" spans="1:14" s="9" customFormat="1" ht="60" customHeight="1" x14ac:dyDescent="0.25">
      <c r="A57" s="92" t="s">
        <v>34</v>
      </c>
      <c r="B57" s="92"/>
      <c r="C57" s="92"/>
      <c r="D57" s="92"/>
      <c r="E57" s="92"/>
      <c r="F57" s="31" t="s">
        <v>17</v>
      </c>
      <c r="G57" s="31" t="s">
        <v>70</v>
      </c>
      <c r="H57" s="31" t="s">
        <v>69</v>
      </c>
      <c r="I57" s="31" t="s">
        <v>82</v>
      </c>
      <c r="J57" s="31" t="s">
        <v>77</v>
      </c>
      <c r="K57" s="33" t="s">
        <v>78</v>
      </c>
      <c r="L57" s="45"/>
    </row>
    <row r="58" spans="1:14" s="9" customFormat="1" x14ac:dyDescent="0.25">
      <c r="A58" s="85" t="s">
        <v>28</v>
      </c>
      <c r="B58" s="85"/>
      <c r="C58" s="85"/>
      <c r="D58" s="85"/>
      <c r="E58" s="85"/>
      <c r="F58" s="1" t="s">
        <v>32</v>
      </c>
      <c r="G58" s="13">
        <v>6.33</v>
      </c>
      <c r="H58" s="13">
        <v>412.8</v>
      </c>
      <c r="I58" s="13">
        <f>(G58*H58)</f>
        <v>2613.0239999999999</v>
      </c>
      <c r="J58" s="23">
        <f>J53</f>
        <v>40020</v>
      </c>
      <c r="K58" s="13">
        <f>I58/J58</f>
        <v>6.5292953523238384E-2</v>
      </c>
      <c r="L58" s="17"/>
    </row>
    <row r="59" spans="1:14" s="9" customFormat="1" x14ac:dyDescent="0.25">
      <c r="A59" s="85" t="s">
        <v>29</v>
      </c>
      <c r="B59" s="85"/>
      <c r="C59" s="85"/>
      <c r="D59" s="85"/>
      <c r="E59" s="85"/>
      <c r="F59" s="1" t="s">
        <v>32</v>
      </c>
      <c r="G59" s="13">
        <v>6.33</v>
      </c>
      <c r="H59" s="13">
        <v>724.31</v>
      </c>
      <c r="I59" s="13">
        <f t="shared" ref="I59:I62" si="6">(G59*H59)</f>
        <v>4584.8822999999993</v>
      </c>
      <c r="J59" s="23">
        <f>J58</f>
        <v>40020</v>
      </c>
      <c r="K59" s="13">
        <f t="shared" ref="K59:K62" si="7">I59/J59</f>
        <v>0.11456477511244376</v>
      </c>
      <c r="L59" s="17"/>
    </row>
    <row r="60" spans="1:14" s="9" customFormat="1" x14ac:dyDescent="0.25">
      <c r="A60" s="85" t="s">
        <v>30</v>
      </c>
      <c r="B60" s="85"/>
      <c r="C60" s="85"/>
      <c r="D60" s="85"/>
      <c r="E60" s="85"/>
      <c r="F60" s="1" t="s">
        <v>32</v>
      </c>
      <c r="G60" s="13">
        <v>0.52749999999999997</v>
      </c>
      <c r="H60" s="13">
        <v>6350</v>
      </c>
      <c r="I60" s="13">
        <f t="shared" si="6"/>
        <v>3349.625</v>
      </c>
      <c r="J60" s="23">
        <f>J59</f>
        <v>40020</v>
      </c>
      <c r="K60" s="13">
        <f t="shared" si="7"/>
        <v>8.369877561219391E-2</v>
      </c>
      <c r="L60" s="17"/>
    </row>
    <row r="61" spans="1:14" s="9" customFormat="1" x14ac:dyDescent="0.25">
      <c r="A61" s="85" t="s">
        <v>31</v>
      </c>
      <c r="B61" s="85"/>
      <c r="C61" s="85"/>
      <c r="D61" s="85"/>
      <c r="E61" s="85"/>
      <c r="F61" s="1" t="s">
        <v>32</v>
      </c>
      <c r="G61" s="13">
        <f>G59</f>
        <v>6.33</v>
      </c>
      <c r="H61" s="13">
        <v>2400</v>
      </c>
      <c r="I61" s="13">
        <f t="shared" si="6"/>
        <v>15192</v>
      </c>
      <c r="J61" s="23">
        <f>J60</f>
        <v>40020</v>
      </c>
      <c r="K61" s="13">
        <f t="shared" si="7"/>
        <v>0.37961019490254871</v>
      </c>
      <c r="L61" s="17"/>
    </row>
    <row r="62" spans="1:14" s="9" customFormat="1" ht="28.5" customHeight="1" x14ac:dyDescent="0.25">
      <c r="A62" s="88" t="s">
        <v>83</v>
      </c>
      <c r="B62" s="89"/>
      <c r="C62" s="89"/>
      <c r="D62" s="89"/>
      <c r="E62" s="90"/>
      <c r="F62" s="1" t="s">
        <v>32</v>
      </c>
      <c r="G62" s="13">
        <v>6.33</v>
      </c>
      <c r="H62" s="13">
        <v>28325.39</v>
      </c>
      <c r="I62" s="13">
        <f t="shared" si="6"/>
        <v>179299.7187</v>
      </c>
      <c r="J62" s="23">
        <f>J61</f>
        <v>40020</v>
      </c>
      <c r="K62" s="13">
        <f t="shared" si="7"/>
        <v>4.4802528410794604</v>
      </c>
      <c r="L62" s="17"/>
      <c r="M62" s="40"/>
    </row>
    <row r="63" spans="1:14" s="9" customFormat="1" x14ac:dyDescent="0.25">
      <c r="A63" s="100" t="s">
        <v>33</v>
      </c>
      <c r="B63" s="101"/>
      <c r="C63" s="101"/>
      <c r="D63" s="101"/>
      <c r="E63" s="101"/>
      <c r="F63" s="101"/>
      <c r="G63" s="101"/>
      <c r="H63" s="101"/>
      <c r="I63" s="48">
        <f>SUM(I58:I62)</f>
        <v>205039.25</v>
      </c>
      <c r="J63" s="47"/>
      <c r="K63" s="47">
        <f>SUM(K58:K62)</f>
        <v>5.123419540229885</v>
      </c>
      <c r="L63" s="58"/>
      <c r="M63" s="59">
        <f>I63+'Работа №1'!I64+'Работа №2'!I64+'Работа №3'!I54</f>
        <v>388700</v>
      </c>
    </row>
    <row r="64" spans="1:14" s="9" customFormat="1" ht="13.5" customHeight="1" x14ac:dyDescent="0.25"/>
    <row r="65" spans="1:13" s="9" customFormat="1" x14ac:dyDescent="0.25">
      <c r="A65" s="93" t="s">
        <v>84</v>
      </c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</row>
    <row r="66" spans="1:13" s="9" customFormat="1" ht="60" customHeight="1" x14ac:dyDescent="0.25">
      <c r="A66" s="92" t="s">
        <v>34</v>
      </c>
      <c r="B66" s="92"/>
      <c r="C66" s="92"/>
      <c r="D66" s="92"/>
      <c r="E66" s="92"/>
      <c r="F66" s="31" t="s">
        <v>17</v>
      </c>
      <c r="G66" s="31" t="s">
        <v>70</v>
      </c>
      <c r="H66" s="31" t="s">
        <v>69</v>
      </c>
      <c r="I66" s="31" t="s">
        <v>82</v>
      </c>
      <c r="J66" s="31" t="s">
        <v>77</v>
      </c>
      <c r="K66" s="33" t="s">
        <v>78</v>
      </c>
      <c r="L66" s="45"/>
    </row>
    <row r="67" spans="1:13" s="9" customFormat="1" ht="30.75" customHeight="1" x14ac:dyDescent="0.25">
      <c r="A67" s="88" t="s">
        <v>85</v>
      </c>
      <c r="B67" s="89"/>
      <c r="C67" s="89"/>
      <c r="D67" s="89"/>
      <c r="E67" s="90"/>
      <c r="F67" s="1" t="s">
        <v>32</v>
      </c>
      <c r="G67" s="13">
        <v>5.8025000000000002</v>
      </c>
      <c r="H67" s="13">
        <v>4742.7269999999999</v>
      </c>
      <c r="I67" s="13">
        <f>(G67*H67)</f>
        <v>27519.673417500002</v>
      </c>
      <c r="J67" s="23">
        <f>J62</f>
        <v>40020</v>
      </c>
      <c r="K67" s="13">
        <f>I67/J67</f>
        <v>0.68764801143178411</v>
      </c>
      <c r="L67" s="17"/>
      <c r="M67" s="40"/>
    </row>
    <row r="68" spans="1:13" s="9" customFormat="1" hidden="1" x14ac:dyDescent="0.25">
      <c r="A68" s="85" t="s">
        <v>86</v>
      </c>
      <c r="B68" s="85"/>
      <c r="C68" s="85"/>
      <c r="D68" s="85"/>
      <c r="E68" s="85"/>
      <c r="F68" s="1" t="s">
        <v>32</v>
      </c>
      <c r="G68" s="13"/>
      <c r="H68" s="13"/>
      <c r="I68" s="13"/>
      <c r="J68" s="23"/>
      <c r="K68" s="13"/>
      <c r="L68" s="17"/>
    </row>
    <row r="69" spans="1:13" s="9" customFormat="1" x14ac:dyDescent="0.25">
      <c r="A69" s="100" t="s">
        <v>87</v>
      </c>
      <c r="B69" s="101"/>
      <c r="C69" s="101"/>
      <c r="D69" s="101"/>
      <c r="E69" s="101"/>
      <c r="F69" s="101"/>
      <c r="G69" s="101"/>
      <c r="H69" s="101"/>
      <c r="I69" s="48">
        <f>SUM(I67:I68)</f>
        <v>27519.673417500002</v>
      </c>
      <c r="J69" s="47"/>
      <c r="K69" s="47">
        <f>SUM(K67:K68)</f>
        <v>0.68764801143178411</v>
      </c>
      <c r="L69" s="58"/>
      <c r="M69" s="59">
        <f>I69+'Работа №1'!I70+'Работа №2'!I70+'Работа №3'!I60</f>
        <v>52169.997000000003</v>
      </c>
    </row>
    <row r="70" spans="1:13" s="9" customFormat="1" x14ac:dyDescent="0.25">
      <c r="A70" s="34"/>
      <c r="B70" s="34"/>
      <c r="C70" s="34"/>
      <c r="D70" s="34"/>
      <c r="E70" s="34"/>
      <c r="F70" s="34"/>
      <c r="G70" s="34"/>
      <c r="H70" s="34"/>
      <c r="I70" s="53"/>
      <c r="J70" s="54"/>
      <c r="K70" s="54"/>
      <c r="L70" s="17"/>
    </row>
    <row r="71" spans="1:13" s="9" customFormat="1" x14ac:dyDescent="0.25">
      <c r="A71" s="93" t="s">
        <v>88</v>
      </c>
      <c r="B71" s="93"/>
      <c r="C71" s="93"/>
      <c r="D71" s="93"/>
      <c r="E71" s="93"/>
      <c r="F71" s="93"/>
      <c r="G71" s="93"/>
      <c r="H71" s="93"/>
      <c r="I71" s="93"/>
      <c r="J71" s="93"/>
      <c r="K71" s="93"/>
      <c r="L71" s="93"/>
    </row>
    <row r="72" spans="1:13" s="9" customFormat="1" ht="60" customHeight="1" x14ac:dyDescent="0.25">
      <c r="A72" s="103" t="s">
        <v>35</v>
      </c>
      <c r="B72" s="104"/>
      <c r="C72" s="104"/>
      <c r="D72" s="104"/>
      <c r="E72" s="105"/>
      <c r="F72" s="31" t="s">
        <v>17</v>
      </c>
      <c r="G72" s="31" t="s">
        <v>70</v>
      </c>
      <c r="H72" s="31" t="s">
        <v>69</v>
      </c>
      <c r="I72" s="31" t="s">
        <v>82</v>
      </c>
      <c r="J72" s="32" t="s">
        <v>77</v>
      </c>
      <c r="K72" s="33" t="s">
        <v>78</v>
      </c>
      <c r="L72" s="45"/>
      <c r="M72" s="45"/>
    </row>
    <row r="73" spans="1:13" s="9" customFormat="1" ht="45" x14ac:dyDescent="0.25">
      <c r="A73" s="103" t="s">
        <v>36</v>
      </c>
      <c r="B73" s="104"/>
      <c r="C73" s="104"/>
      <c r="D73" s="104"/>
      <c r="E73" s="105"/>
      <c r="F73" s="19" t="s">
        <v>37</v>
      </c>
      <c r="G73" s="13">
        <v>1.0549999999999999</v>
      </c>
      <c r="H73" s="13">
        <v>400</v>
      </c>
      <c r="I73" s="13">
        <f>H73*G73*12</f>
        <v>5064</v>
      </c>
      <c r="J73" s="49">
        <f>J67</f>
        <v>40020</v>
      </c>
      <c r="K73" s="13">
        <f>I73/J73</f>
        <v>0.12653673163418291</v>
      </c>
      <c r="L73" s="16"/>
      <c r="M73" s="17"/>
    </row>
    <row r="74" spans="1:13" s="9" customFormat="1" ht="30" x14ac:dyDescent="0.25">
      <c r="A74" s="103" t="s">
        <v>101</v>
      </c>
      <c r="B74" s="104"/>
      <c r="C74" s="104"/>
      <c r="D74" s="104"/>
      <c r="E74" s="105"/>
      <c r="F74" s="19" t="s">
        <v>41</v>
      </c>
      <c r="G74" s="13"/>
      <c r="H74" s="13"/>
      <c r="I74" s="13">
        <v>5697</v>
      </c>
      <c r="J74" s="49">
        <f>J73</f>
        <v>40020</v>
      </c>
      <c r="K74" s="13">
        <f>I74/J74</f>
        <v>0.14235382308845576</v>
      </c>
      <c r="L74" s="16"/>
      <c r="M74" s="17"/>
    </row>
    <row r="75" spans="1:13" s="9" customFormat="1" x14ac:dyDescent="0.25">
      <c r="A75" s="103" t="s">
        <v>89</v>
      </c>
      <c r="B75" s="104"/>
      <c r="C75" s="104"/>
      <c r="D75" s="104"/>
      <c r="E75" s="105"/>
      <c r="F75" s="19" t="s">
        <v>32</v>
      </c>
      <c r="G75" s="13">
        <v>0.52749999999999997</v>
      </c>
      <c r="H75" s="13">
        <v>800</v>
      </c>
      <c r="I75" s="13">
        <f>G75*H75*12</f>
        <v>5064</v>
      </c>
      <c r="J75" s="49">
        <f>J73</f>
        <v>40020</v>
      </c>
      <c r="K75" s="13">
        <f>I75/J75</f>
        <v>0.12653673163418291</v>
      </c>
      <c r="L75" s="16"/>
      <c r="M75" s="17"/>
    </row>
    <row r="76" spans="1:13" s="9" customFormat="1" x14ac:dyDescent="0.25">
      <c r="A76" s="100" t="s">
        <v>38</v>
      </c>
      <c r="B76" s="101"/>
      <c r="C76" s="101"/>
      <c r="D76" s="101"/>
      <c r="E76" s="101"/>
      <c r="F76" s="101"/>
      <c r="G76" s="101"/>
      <c r="H76" s="102"/>
      <c r="I76" s="48">
        <f>SUM(I73:I75)</f>
        <v>15825</v>
      </c>
      <c r="J76" s="47"/>
      <c r="K76" s="47">
        <f>SUM(K73:K75)</f>
        <v>0.39542728635682156</v>
      </c>
      <c r="L76" s="53"/>
      <c r="M76" s="58">
        <f>I76+'Работа №1'!I77+'Работа №2'!I77+'Работа №3'!I67</f>
        <v>30000</v>
      </c>
    </row>
    <row r="77" spans="1:13" s="9" customFormat="1" x14ac:dyDescent="0.25"/>
    <row r="78" spans="1:13" s="9" customFormat="1" x14ac:dyDescent="0.25">
      <c r="A78" s="93" t="s">
        <v>58</v>
      </c>
      <c r="B78" s="93"/>
      <c r="C78" s="93"/>
      <c r="D78" s="93"/>
      <c r="E78" s="93"/>
      <c r="F78" s="93"/>
      <c r="G78" s="93"/>
      <c r="H78" s="93"/>
      <c r="I78" s="93"/>
      <c r="J78" s="93"/>
      <c r="K78" s="93"/>
      <c r="L78" s="93"/>
    </row>
    <row r="79" spans="1:13" s="9" customFormat="1" x14ac:dyDescent="0.25"/>
    <row r="80" spans="1:13" s="9" customFormat="1" ht="75" x14ac:dyDescent="0.25">
      <c r="A80" s="92" t="s">
        <v>15</v>
      </c>
      <c r="B80" s="92"/>
      <c r="C80" s="92"/>
      <c r="D80" s="92"/>
      <c r="E80" s="92"/>
      <c r="F80" s="31" t="s">
        <v>16</v>
      </c>
      <c r="G80" s="31" t="s">
        <v>1</v>
      </c>
      <c r="H80" s="31" t="s">
        <v>75</v>
      </c>
      <c r="I80" s="31" t="s">
        <v>76</v>
      </c>
      <c r="J80" s="31" t="s">
        <v>77</v>
      </c>
      <c r="K80" s="69" t="s">
        <v>78</v>
      </c>
      <c r="L80" s="71"/>
    </row>
    <row r="81" spans="1:14" s="9" customFormat="1" ht="17.25" customHeight="1" x14ac:dyDescent="0.25">
      <c r="A81" s="85" t="s">
        <v>5</v>
      </c>
      <c r="B81" s="85"/>
      <c r="C81" s="85"/>
      <c r="D81" s="85"/>
      <c r="E81" s="85"/>
      <c r="F81" s="63">
        <v>21778.37</v>
      </c>
      <c r="G81" s="1">
        <f>L19</f>
        <v>0.52749999999999997</v>
      </c>
      <c r="H81" s="13">
        <f>F81*G81*12</f>
        <v>137857.0821</v>
      </c>
      <c r="I81" s="13">
        <f>H81*1.302</f>
        <v>179489.92089420001</v>
      </c>
      <c r="J81" s="23">
        <f>J75</f>
        <v>40020</v>
      </c>
      <c r="K81" s="67">
        <f>I81/J81</f>
        <v>4.4850055195952025</v>
      </c>
      <c r="L81" s="72"/>
    </row>
    <row r="82" spans="1:14" s="9" customFormat="1" ht="17.25" customHeight="1" x14ac:dyDescent="0.25">
      <c r="A82" s="85" t="s">
        <v>13</v>
      </c>
      <c r="B82" s="85"/>
      <c r="C82" s="85"/>
      <c r="D82" s="85"/>
      <c r="E82" s="85"/>
      <c r="F82" s="63">
        <v>17731.994999999999</v>
      </c>
      <c r="G82" s="1">
        <f>L20</f>
        <v>0.52749999999999997</v>
      </c>
      <c r="H82" s="13">
        <f>F82*G82*12</f>
        <v>112243.52834999999</v>
      </c>
      <c r="I82" s="13">
        <f>H82*1.302</f>
        <v>146141.07391169999</v>
      </c>
      <c r="J82" s="23">
        <f>J81</f>
        <v>40020</v>
      </c>
      <c r="K82" s="67">
        <f>I82/J82</f>
        <v>3.6517009972938528</v>
      </c>
      <c r="L82" s="72"/>
    </row>
    <row r="83" spans="1:14" s="9" customFormat="1" ht="18" customHeight="1" x14ac:dyDescent="0.25">
      <c r="A83" s="94" t="s">
        <v>39</v>
      </c>
      <c r="B83" s="95"/>
      <c r="C83" s="95"/>
      <c r="D83" s="95"/>
      <c r="E83" s="96"/>
      <c r="F83" s="22"/>
      <c r="G83" s="21">
        <f>SUM(G81:G82)</f>
        <v>1.0549999999999999</v>
      </c>
      <c r="H83" s="21"/>
      <c r="I83" s="48">
        <f>SUM(I81:I82)</f>
        <v>325630.99480590003</v>
      </c>
      <c r="J83" s="23"/>
      <c r="K83" s="70">
        <f>SUM(K81:K82)</f>
        <v>8.1367065168890562</v>
      </c>
      <c r="L83" s="72"/>
    </row>
    <row r="84" spans="1:14" s="9" customFormat="1" ht="13.5" customHeight="1" x14ac:dyDescent="0.25"/>
    <row r="85" spans="1:14" s="9" customFormat="1" x14ac:dyDescent="0.25">
      <c r="A85" s="93" t="s">
        <v>40</v>
      </c>
      <c r="B85" s="93"/>
      <c r="C85" s="93"/>
      <c r="D85" s="93"/>
      <c r="E85" s="93"/>
      <c r="F85" s="93"/>
      <c r="G85" s="93"/>
      <c r="H85" s="93"/>
      <c r="I85" s="93"/>
      <c r="J85" s="93"/>
      <c r="K85" s="93"/>
      <c r="L85" s="93"/>
    </row>
    <row r="86" spans="1:14" s="9" customFormat="1" ht="60" customHeight="1" x14ac:dyDescent="0.25">
      <c r="A86" s="92" t="s">
        <v>90</v>
      </c>
      <c r="B86" s="92"/>
      <c r="C86" s="92"/>
      <c r="D86" s="92"/>
      <c r="E86" s="92"/>
      <c r="F86" s="31" t="s">
        <v>17</v>
      </c>
      <c r="G86" s="31" t="s">
        <v>70</v>
      </c>
      <c r="H86" s="31" t="s">
        <v>69</v>
      </c>
      <c r="I86" s="31" t="s">
        <v>82</v>
      </c>
      <c r="J86" s="31" t="s">
        <v>77</v>
      </c>
      <c r="K86" s="33" t="s">
        <v>78</v>
      </c>
      <c r="L86" s="45"/>
    </row>
    <row r="87" spans="1:14" s="9" customFormat="1" x14ac:dyDescent="0.25">
      <c r="A87" s="85" t="s">
        <v>102</v>
      </c>
      <c r="B87" s="85"/>
      <c r="C87" s="85"/>
      <c r="D87" s="85"/>
      <c r="E87" s="85"/>
      <c r="F87" s="1" t="s">
        <v>41</v>
      </c>
      <c r="G87" s="13"/>
      <c r="H87" s="13"/>
      <c r="I87" s="13">
        <v>15218.38</v>
      </c>
      <c r="J87" s="23">
        <f>J81</f>
        <v>40020</v>
      </c>
      <c r="K87" s="13">
        <f>I87/J87</f>
        <v>0.38026936531734129</v>
      </c>
      <c r="L87" s="17"/>
      <c r="M87" s="59">
        <f>I88+'Работа №1'!I90+'Работа №2'!I90+'Работа №3'!I85</f>
        <v>28850</v>
      </c>
    </row>
    <row r="88" spans="1:14" s="9" customFormat="1" x14ac:dyDescent="0.25">
      <c r="A88" s="100" t="s">
        <v>42</v>
      </c>
      <c r="B88" s="101"/>
      <c r="C88" s="101"/>
      <c r="D88" s="101"/>
      <c r="E88" s="101"/>
      <c r="F88" s="101"/>
      <c r="G88" s="101"/>
      <c r="H88" s="101"/>
      <c r="I88" s="48">
        <f>I87</f>
        <v>15218.38</v>
      </c>
      <c r="J88" s="48"/>
      <c r="K88" s="48">
        <f>SUM(K87)</f>
        <v>0.38026936531734129</v>
      </c>
      <c r="L88" s="17"/>
      <c r="M88" s="40"/>
    </row>
    <row r="89" spans="1:14" s="9" customFormat="1" x14ac:dyDescent="0.25"/>
    <row r="90" spans="1:14" s="9" customFormat="1" x14ac:dyDescent="0.25">
      <c r="A90" s="93" t="s">
        <v>43</v>
      </c>
      <c r="B90" s="93"/>
      <c r="C90" s="93"/>
      <c r="D90" s="93"/>
      <c r="E90" s="93"/>
      <c r="F90" s="93"/>
      <c r="G90" s="93"/>
      <c r="H90" s="93"/>
      <c r="I90" s="93"/>
      <c r="J90" s="93"/>
      <c r="K90" s="93"/>
      <c r="L90" s="93"/>
    </row>
    <row r="91" spans="1:14" s="9" customFormat="1" x14ac:dyDescent="0.25"/>
    <row r="92" spans="1:14" s="9" customFormat="1" ht="48" customHeight="1" x14ac:dyDescent="0.25">
      <c r="A92" s="87" t="s">
        <v>44</v>
      </c>
      <c r="B92" s="87"/>
      <c r="C92" s="87"/>
      <c r="D92" s="103" t="s">
        <v>45</v>
      </c>
      <c r="E92" s="104"/>
      <c r="F92" s="104"/>
      <c r="G92" s="104"/>
      <c r="H92" s="104"/>
      <c r="I92" s="104"/>
      <c r="J92" s="105"/>
      <c r="K92" s="106" t="s">
        <v>56</v>
      </c>
      <c r="L92" s="107"/>
    </row>
    <row r="93" spans="1:14" s="9" customFormat="1" ht="30" x14ac:dyDescent="0.25">
      <c r="A93" s="1" t="s">
        <v>46</v>
      </c>
      <c r="B93" s="12" t="s">
        <v>47</v>
      </c>
      <c r="C93" s="1" t="s">
        <v>48</v>
      </c>
      <c r="D93" s="1" t="s">
        <v>49</v>
      </c>
      <c r="E93" s="1" t="s">
        <v>50</v>
      </c>
      <c r="F93" s="1" t="s">
        <v>51</v>
      </c>
      <c r="G93" s="1" t="s">
        <v>52</v>
      </c>
      <c r="H93" s="1" t="s">
        <v>53</v>
      </c>
      <c r="I93" s="1" t="s">
        <v>54</v>
      </c>
      <c r="J93" s="1" t="s">
        <v>55</v>
      </c>
      <c r="K93" s="108"/>
      <c r="L93" s="109"/>
    </row>
    <row r="94" spans="1:14" s="9" customFormat="1" x14ac:dyDescent="0.25">
      <c r="A94" s="13">
        <f>K44</f>
        <v>29.265193609146028</v>
      </c>
      <c r="B94" s="13"/>
      <c r="C94" s="1"/>
      <c r="D94" s="13">
        <f>K54</f>
        <v>6.8936156921539222</v>
      </c>
      <c r="E94" s="13">
        <f>K63</f>
        <v>5.123419540229885</v>
      </c>
      <c r="F94" s="1"/>
      <c r="G94" s="13">
        <f>K76</f>
        <v>0.39542728635682156</v>
      </c>
      <c r="H94" s="13">
        <f>K69</f>
        <v>0.68764801143178411</v>
      </c>
      <c r="I94" s="13">
        <f>K83</f>
        <v>8.1367065168890562</v>
      </c>
      <c r="J94" s="60">
        <f>K88</f>
        <v>0.38026936531734129</v>
      </c>
      <c r="K94" s="98">
        <f>SUM(A94:J94)</f>
        <v>50.882280021524835</v>
      </c>
      <c r="L94" s="99"/>
      <c r="N94" s="40">
        <f>M87+M76+M69+M63+M54+M44</f>
        <v>3860300.0003034878</v>
      </c>
    </row>
    <row r="95" spans="1:14" s="9" customFormat="1" x14ac:dyDescent="0.25"/>
    <row r="96" spans="1:14" s="9" customFormat="1" x14ac:dyDescent="0.25">
      <c r="A96" s="20" t="s">
        <v>64</v>
      </c>
      <c r="B96" s="20"/>
      <c r="C96" s="20"/>
      <c r="D96" s="20"/>
      <c r="E96" s="20"/>
      <c r="F96" s="20" t="s">
        <v>65</v>
      </c>
      <c r="G96" s="20"/>
    </row>
    <row r="97" spans="1:12" s="9" customFormat="1" x14ac:dyDescent="0.25">
      <c r="A97" s="20"/>
      <c r="B97" s="20"/>
      <c r="C97" s="3"/>
      <c r="D97" s="4"/>
      <c r="E97" s="4"/>
      <c r="F97" s="4"/>
      <c r="G97" s="4"/>
      <c r="I97" s="56">
        <f>I88+I83+I76+I69+I63+I54+I44</f>
        <v>2036308.8464614239</v>
      </c>
      <c r="L97" s="56">
        <f>K94*40020</f>
        <v>2036308.8464614239</v>
      </c>
    </row>
    <row r="98" spans="1:12" s="9" customFormat="1" x14ac:dyDescent="0.25"/>
    <row r="99" spans="1:12" s="9" customFormat="1" x14ac:dyDescent="0.25">
      <c r="A99" s="20" t="str">
        <f>'Работа №1'!A101:C101</f>
        <v>Курлович Анастасия Вячеславовна</v>
      </c>
      <c r="B99" s="7"/>
      <c r="I99" s="40"/>
      <c r="L99" s="40"/>
    </row>
    <row r="100" spans="1:12" s="9" customFormat="1" x14ac:dyDescent="0.25">
      <c r="A100" s="20" t="s">
        <v>66</v>
      </c>
      <c r="B100" s="7"/>
      <c r="I100" s="40"/>
      <c r="L100" s="40"/>
    </row>
    <row r="101" spans="1:12" x14ac:dyDescent="0.25">
      <c r="I101" s="41"/>
      <c r="J101" s="41"/>
      <c r="L101" s="55"/>
    </row>
    <row r="102" spans="1:12" x14ac:dyDescent="0.25">
      <c r="H102" s="52"/>
      <c r="I102" s="41"/>
    </row>
  </sheetData>
  <mergeCells count="82">
    <mergeCell ref="A83:E83"/>
    <mergeCell ref="A87:E87"/>
    <mergeCell ref="A82:E82"/>
    <mergeCell ref="A85:L85"/>
    <mergeCell ref="A72:E72"/>
    <mergeCell ref="A73:E73"/>
    <mergeCell ref="A80:E80"/>
    <mergeCell ref="A81:E81"/>
    <mergeCell ref="A74:E74"/>
    <mergeCell ref="A78:L78"/>
    <mergeCell ref="K94:L94"/>
    <mergeCell ref="A63:H63"/>
    <mergeCell ref="A65:L65"/>
    <mergeCell ref="A66:E66"/>
    <mergeCell ref="A67:E67"/>
    <mergeCell ref="A68:E68"/>
    <mergeCell ref="A69:H69"/>
    <mergeCell ref="A76:H76"/>
    <mergeCell ref="A90:L90"/>
    <mergeCell ref="A92:C92"/>
    <mergeCell ref="D92:J92"/>
    <mergeCell ref="K92:L93"/>
    <mergeCell ref="A86:E86"/>
    <mergeCell ref="A75:E75"/>
    <mergeCell ref="A88:H88"/>
    <mergeCell ref="A71:L71"/>
    <mergeCell ref="A40:E40"/>
    <mergeCell ref="A41:E41"/>
    <mergeCell ref="A42:E42"/>
    <mergeCell ref="A29:E29"/>
    <mergeCell ref="G29:K29"/>
    <mergeCell ref="A33:E33"/>
    <mergeCell ref="A34:E34"/>
    <mergeCell ref="A35:E35"/>
    <mergeCell ref="A52:E52"/>
    <mergeCell ref="A46:L46"/>
    <mergeCell ref="G22:K22"/>
    <mergeCell ref="A23:E23"/>
    <mergeCell ref="G23:K23"/>
    <mergeCell ref="A43:E43"/>
    <mergeCell ref="A24:E24"/>
    <mergeCell ref="G24:K24"/>
    <mergeCell ref="A25:E25"/>
    <mergeCell ref="G25:K25"/>
    <mergeCell ref="A26:E26"/>
    <mergeCell ref="A36:E36"/>
    <mergeCell ref="A37:E37"/>
    <mergeCell ref="A44:E44"/>
    <mergeCell ref="A38:E38"/>
    <mergeCell ref="A39:E39"/>
    <mergeCell ref="A27:E27"/>
    <mergeCell ref="G27:K27"/>
    <mergeCell ref="A19:E19"/>
    <mergeCell ref="A62:E62"/>
    <mergeCell ref="A54:H54"/>
    <mergeCell ref="A48:E48"/>
    <mergeCell ref="A49:E49"/>
    <mergeCell ref="A50:E50"/>
    <mergeCell ref="A51:E51"/>
    <mergeCell ref="A60:E60"/>
    <mergeCell ref="A61:E61"/>
    <mergeCell ref="A53:E53"/>
    <mergeCell ref="A56:L56"/>
    <mergeCell ref="A57:E57"/>
    <mergeCell ref="A58:E58"/>
    <mergeCell ref="A59:E59"/>
    <mergeCell ref="G19:K19"/>
    <mergeCell ref="A5:F5"/>
    <mergeCell ref="A6:D6"/>
    <mergeCell ref="A28:E28"/>
    <mergeCell ref="G28:K28"/>
    <mergeCell ref="A9:M9"/>
    <mergeCell ref="A10:M10"/>
    <mergeCell ref="A11:M11"/>
    <mergeCell ref="A18:E18"/>
    <mergeCell ref="G18:K18"/>
    <mergeCell ref="A20:E20"/>
    <mergeCell ref="G20:K20"/>
    <mergeCell ref="A21:E21"/>
    <mergeCell ref="G21:K21"/>
    <mergeCell ref="A22:E22"/>
    <mergeCell ref="G26:K26"/>
  </mergeCells>
  <pageMargins left="0.70866141732283472" right="0.55118110236220474" top="0.55118110236220474" bottom="0.55118110236220474" header="0.31496062992125984" footer="0.31496062992125984"/>
  <pageSetup paperSize="9" scale="77" orientation="landscape" horizontalDpi="180" verticalDpi="180" r:id="rId1"/>
  <rowBreaks count="1" manualBreakCount="1">
    <brk id="71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04"/>
  <sheetViews>
    <sheetView view="pageBreakPreview" zoomScale="60" zoomScaleNormal="90" workbookViewId="0">
      <selection activeCell="L100" sqref="L100"/>
    </sheetView>
  </sheetViews>
  <sheetFormatPr defaultRowHeight="15" x14ac:dyDescent="0.25"/>
  <cols>
    <col min="2" max="2" width="13.42578125" customWidth="1"/>
    <col min="5" max="5" width="13.42578125" customWidth="1"/>
    <col min="6" max="6" width="12.7109375" customWidth="1"/>
    <col min="7" max="7" width="9.5703125" customWidth="1"/>
    <col min="8" max="8" width="13.140625" customWidth="1"/>
    <col min="9" max="9" width="13.7109375" customWidth="1"/>
    <col min="10" max="11" width="13.5703125" customWidth="1"/>
    <col min="12" max="12" width="14.7109375" customWidth="1"/>
    <col min="13" max="13" width="13.85546875" customWidth="1"/>
  </cols>
  <sheetData>
    <row r="2" spans="1:13" ht="15.75" x14ac:dyDescent="0.25">
      <c r="A2" s="2" t="s">
        <v>61</v>
      </c>
      <c r="B2" s="2"/>
      <c r="C2" s="3"/>
      <c r="D2" s="4"/>
    </row>
    <row r="3" spans="1:13" ht="15.75" x14ac:dyDescent="0.25">
      <c r="A3" s="25" t="s">
        <v>62</v>
      </c>
      <c r="B3" s="25"/>
      <c r="C3" s="3"/>
      <c r="D3" s="4"/>
    </row>
    <row r="4" spans="1:13" x14ac:dyDescent="0.25">
      <c r="A4" s="6"/>
      <c r="B4" s="7"/>
      <c r="C4" s="3"/>
      <c r="D4" s="4"/>
    </row>
    <row r="5" spans="1:13" ht="15.75" x14ac:dyDescent="0.25">
      <c r="A5" s="79" t="s">
        <v>63</v>
      </c>
      <c r="B5" s="79"/>
      <c r="C5" s="79"/>
      <c r="D5" s="80"/>
      <c r="E5" s="80"/>
      <c r="F5" s="80"/>
    </row>
    <row r="6" spans="1:13" ht="15.75" x14ac:dyDescent="0.25">
      <c r="A6" s="81" t="s">
        <v>99</v>
      </c>
      <c r="B6" s="81"/>
      <c r="C6" s="81"/>
      <c r="D6" s="80"/>
    </row>
    <row r="7" spans="1:13" ht="15.75" x14ac:dyDescent="0.25">
      <c r="A7" s="26"/>
      <c r="B7" s="26"/>
      <c r="C7" s="26"/>
      <c r="D7" s="2"/>
    </row>
    <row r="8" spans="1:13" ht="15.75" x14ac:dyDescent="0.25">
      <c r="A8" s="86" t="s">
        <v>60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</row>
    <row r="9" spans="1:13" ht="15.75" x14ac:dyDescent="0.25">
      <c r="A9" s="86" t="s">
        <v>93</v>
      </c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</row>
    <row r="10" spans="1:13" ht="15.75" x14ac:dyDescent="0.25">
      <c r="A10" s="86" t="s">
        <v>103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</row>
    <row r="12" spans="1:13" s="9" customFormat="1" x14ac:dyDescent="0.25">
      <c r="A12" s="10" t="s">
        <v>67</v>
      </c>
    </row>
    <row r="13" spans="1:13" s="9" customFormat="1" x14ac:dyDescent="0.25">
      <c r="A13" s="10" t="s">
        <v>96</v>
      </c>
    </row>
    <row r="14" spans="1:13" s="9" customFormat="1" x14ac:dyDescent="0.25">
      <c r="A14" s="10" t="s">
        <v>97</v>
      </c>
    </row>
    <row r="15" spans="1:13" s="9" customFormat="1" x14ac:dyDescent="0.25">
      <c r="A15" s="10" t="s">
        <v>108</v>
      </c>
    </row>
    <row r="16" spans="1:13" x14ac:dyDescent="0.25">
      <c r="A16" s="10" t="s">
        <v>74</v>
      </c>
      <c r="B16" s="9"/>
      <c r="C16" s="9"/>
      <c r="D16" s="9"/>
      <c r="E16" s="9"/>
    </row>
    <row r="17" spans="1:12" s="9" customFormat="1" ht="29.25" customHeight="1" x14ac:dyDescent="0.25">
      <c r="A17" s="87" t="s">
        <v>0</v>
      </c>
      <c r="B17" s="87"/>
      <c r="C17" s="87"/>
      <c r="D17" s="87"/>
      <c r="E17" s="87"/>
      <c r="F17" s="38" t="s">
        <v>1</v>
      </c>
      <c r="G17" s="87" t="s">
        <v>2</v>
      </c>
      <c r="H17" s="87"/>
      <c r="I17" s="87"/>
      <c r="J17" s="87"/>
      <c r="K17" s="87"/>
      <c r="L17" s="1" t="s">
        <v>1</v>
      </c>
    </row>
    <row r="18" spans="1:12" s="9" customFormat="1" x14ac:dyDescent="0.25">
      <c r="A18" s="82" t="s">
        <v>6</v>
      </c>
      <c r="B18" s="83"/>
      <c r="C18" s="83"/>
      <c r="D18" s="83"/>
      <c r="E18" s="84"/>
      <c r="F18" s="1">
        <v>5.9999999999999995E-4</v>
      </c>
      <c r="G18" s="85" t="s">
        <v>5</v>
      </c>
      <c r="H18" s="85"/>
      <c r="I18" s="85"/>
      <c r="J18" s="85"/>
      <c r="K18" s="85"/>
      <c r="L18" s="1">
        <v>5.9999999999999995E-4</v>
      </c>
    </row>
    <row r="19" spans="1:12" s="9" customFormat="1" x14ac:dyDescent="0.25">
      <c r="A19" s="82" t="s">
        <v>3</v>
      </c>
      <c r="B19" s="83"/>
      <c r="C19" s="83"/>
      <c r="D19" s="83"/>
      <c r="E19" s="84"/>
      <c r="F19" s="1">
        <v>5.9999999999999995E-4</v>
      </c>
      <c r="G19" s="85" t="s">
        <v>8</v>
      </c>
      <c r="H19" s="85"/>
      <c r="I19" s="85"/>
      <c r="J19" s="85"/>
      <c r="K19" s="85"/>
      <c r="L19" s="1">
        <v>5.9999999999999995E-4</v>
      </c>
    </row>
    <row r="20" spans="1:12" s="9" customFormat="1" x14ac:dyDescent="0.25">
      <c r="A20" s="82" t="s">
        <v>4</v>
      </c>
      <c r="B20" s="83"/>
      <c r="C20" s="83"/>
      <c r="D20" s="83"/>
      <c r="E20" s="84"/>
      <c r="F20" s="1">
        <v>5.9999999999999995E-4</v>
      </c>
      <c r="G20" s="85" t="s">
        <v>9</v>
      </c>
      <c r="H20" s="85"/>
      <c r="I20" s="85"/>
      <c r="J20" s="85"/>
      <c r="K20" s="85"/>
      <c r="L20" s="1">
        <v>2.9999999999999997E-4</v>
      </c>
    </row>
    <row r="21" spans="1:12" s="9" customFormat="1" x14ac:dyDescent="0.25">
      <c r="A21" s="82" t="s">
        <v>11</v>
      </c>
      <c r="B21" s="83"/>
      <c r="C21" s="83"/>
      <c r="D21" s="83"/>
      <c r="E21" s="84"/>
      <c r="F21" s="1">
        <v>5.9999999999999995E-4</v>
      </c>
      <c r="G21" s="85"/>
      <c r="H21" s="85"/>
      <c r="I21" s="85"/>
      <c r="J21" s="85"/>
      <c r="K21" s="85"/>
      <c r="L21" s="1"/>
    </row>
    <row r="22" spans="1:12" s="9" customFormat="1" x14ac:dyDescent="0.25">
      <c r="A22" s="82" t="s">
        <v>7</v>
      </c>
      <c r="B22" s="83"/>
      <c r="C22" s="83"/>
      <c r="D22" s="83"/>
      <c r="E22" s="84"/>
      <c r="F22" s="1">
        <v>5.9999999999999995E-4</v>
      </c>
      <c r="G22" s="85"/>
      <c r="H22" s="85"/>
      <c r="I22" s="85"/>
      <c r="J22" s="85"/>
      <c r="K22" s="85"/>
      <c r="L22" s="1"/>
    </row>
    <row r="23" spans="1:12" s="9" customFormat="1" x14ac:dyDescent="0.25">
      <c r="A23" s="82" t="s">
        <v>10</v>
      </c>
      <c r="B23" s="83"/>
      <c r="C23" s="83"/>
      <c r="D23" s="83"/>
      <c r="E23" s="84"/>
      <c r="F23" s="1">
        <v>5.9999999999999995E-4</v>
      </c>
      <c r="G23" s="85"/>
      <c r="H23" s="85"/>
      <c r="I23" s="85"/>
      <c r="J23" s="85"/>
      <c r="K23" s="85"/>
      <c r="L23" s="1"/>
    </row>
    <row r="24" spans="1:12" s="9" customFormat="1" x14ac:dyDescent="0.25">
      <c r="A24" s="82" t="s">
        <v>12</v>
      </c>
      <c r="B24" s="83"/>
      <c r="C24" s="83"/>
      <c r="D24" s="83"/>
      <c r="E24" s="84"/>
      <c r="F24" s="1">
        <v>5.9999999999999995E-4</v>
      </c>
      <c r="G24" s="85"/>
      <c r="H24" s="85"/>
      <c r="I24" s="85"/>
      <c r="J24" s="85"/>
      <c r="K24" s="85"/>
      <c r="L24" s="1"/>
    </row>
    <row r="25" spans="1:12" s="9" customFormat="1" x14ac:dyDescent="0.25">
      <c r="A25" s="82" t="s">
        <v>13</v>
      </c>
      <c r="B25" s="83"/>
      <c r="C25" s="83"/>
      <c r="D25" s="83"/>
      <c r="E25" s="84"/>
      <c r="F25" s="1">
        <v>5.9999999999999995E-4</v>
      </c>
      <c r="G25" s="85"/>
      <c r="H25" s="85"/>
      <c r="I25" s="85"/>
      <c r="J25" s="85"/>
      <c r="K25" s="85"/>
      <c r="L25" s="1"/>
    </row>
    <row r="26" spans="1:12" s="9" customFormat="1" x14ac:dyDescent="0.25">
      <c r="A26" s="82" t="s">
        <v>57</v>
      </c>
      <c r="B26" s="83"/>
      <c r="C26" s="83"/>
      <c r="D26" s="83"/>
      <c r="E26" s="84"/>
      <c r="F26" s="1">
        <v>5.9999999999999995E-4</v>
      </c>
      <c r="G26" s="85"/>
      <c r="H26" s="85"/>
      <c r="I26" s="85"/>
      <c r="J26" s="85"/>
      <c r="K26" s="85"/>
      <c r="L26" s="1"/>
    </row>
    <row r="27" spans="1:12" s="9" customFormat="1" ht="12.75" customHeight="1" x14ac:dyDescent="0.25">
      <c r="A27" s="82"/>
      <c r="B27" s="83"/>
      <c r="C27" s="83"/>
      <c r="D27" s="83"/>
      <c r="E27" s="84"/>
      <c r="F27" s="1"/>
      <c r="G27" s="110"/>
      <c r="H27" s="110"/>
      <c r="I27" s="110"/>
      <c r="J27" s="110"/>
      <c r="K27" s="110"/>
      <c r="L27" s="11"/>
    </row>
    <row r="28" spans="1:12" s="9" customFormat="1" ht="12.75" customHeight="1" x14ac:dyDescent="0.25">
      <c r="A28" s="82"/>
      <c r="B28" s="83"/>
      <c r="C28" s="83"/>
      <c r="D28" s="83"/>
      <c r="E28" s="84"/>
      <c r="F28" s="1"/>
      <c r="G28" s="110"/>
      <c r="H28" s="110"/>
      <c r="I28" s="110"/>
      <c r="J28" s="110"/>
      <c r="K28" s="110"/>
      <c r="L28" s="11"/>
    </row>
    <row r="29" spans="1:12" s="9" customFormat="1" ht="12.75" customHeight="1" x14ac:dyDescent="0.25">
      <c r="A29" s="82"/>
      <c r="B29" s="83"/>
      <c r="C29" s="83"/>
      <c r="D29" s="83"/>
      <c r="E29" s="84"/>
      <c r="F29" s="1"/>
      <c r="G29" s="88"/>
      <c r="H29" s="89"/>
      <c r="I29" s="89"/>
      <c r="J29" s="89"/>
      <c r="K29" s="90"/>
      <c r="L29" s="11"/>
    </row>
    <row r="30" spans="1:12" s="10" customFormat="1" ht="14.25" x14ac:dyDescent="0.2">
      <c r="A30" s="97" t="s">
        <v>14</v>
      </c>
      <c r="B30" s="97"/>
      <c r="C30" s="97"/>
      <c r="D30" s="97"/>
      <c r="E30" s="97"/>
      <c r="F30" s="62">
        <f>SUM(F18:F29)</f>
        <v>5.3999999999999994E-3</v>
      </c>
      <c r="G30" s="97" t="s">
        <v>14</v>
      </c>
      <c r="H30" s="97"/>
      <c r="I30" s="97"/>
      <c r="J30" s="97"/>
      <c r="K30" s="97"/>
      <c r="L30" s="62">
        <f>SUM(L18:L29)</f>
        <v>1.4999999999999998E-3</v>
      </c>
    </row>
    <row r="31" spans="1:12" s="9" customFormat="1" x14ac:dyDescent="0.25"/>
    <row r="32" spans="1:12" s="9" customFormat="1" x14ac:dyDescent="0.25">
      <c r="A32" s="10" t="s">
        <v>91</v>
      </c>
      <c r="F32" s="9">
        <v>43</v>
      </c>
    </row>
    <row r="33" spans="1:12" s="9" customFormat="1" ht="75" x14ac:dyDescent="0.25">
      <c r="A33" s="92" t="s">
        <v>15</v>
      </c>
      <c r="B33" s="92"/>
      <c r="C33" s="92"/>
      <c r="D33" s="92"/>
      <c r="E33" s="92"/>
      <c r="F33" s="27" t="s">
        <v>16</v>
      </c>
      <c r="G33" s="27" t="s">
        <v>1</v>
      </c>
      <c r="H33" s="27" t="s">
        <v>75</v>
      </c>
      <c r="I33" s="27" t="s">
        <v>76</v>
      </c>
      <c r="J33" s="27" t="s">
        <v>77</v>
      </c>
      <c r="K33" s="33" t="s">
        <v>78</v>
      </c>
      <c r="L33" s="27"/>
    </row>
    <row r="34" spans="1:12" s="9" customFormat="1" x14ac:dyDescent="0.25">
      <c r="A34" s="85" t="s">
        <v>6</v>
      </c>
      <c r="B34" s="85"/>
      <c r="C34" s="85"/>
      <c r="D34" s="85"/>
      <c r="E34" s="85"/>
      <c r="F34" s="1">
        <f>'Услуга №1 '!F34</f>
        <v>21778.37</v>
      </c>
      <c r="G34" s="1">
        <f>F18</f>
        <v>5.9999999999999995E-4</v>
      </c>
      <c r="H34" s="1">
        <f>F34*G34*12</f>
        <v>156.80426399999999</v>
      </c>
      <c r="I34" s="13">
        <f>H34*1.302</f>
        <v>204.15915172799998</v>
      </c>
      <c r="J34" s="23">
        <f>F32</f>
        <v>43</v>
      </c>
      <c r="K34" s="13">
        <f>I34/J34</f>
        <v>4.7478872494883717</v>
      </c>
      <c r="L34" s="13"/>
    </row>
    <row r="35" spans="1:12" s="9" customFormat="1" x14ac:dyDescent="0.25">
      <c r="A35" s="85" t="s">
        <v>3</v>
      </c>
      <c r="B35" s="85"/>
      <c r="C35" s="85"/>
      <c r="D35" s="85"/>
      <c r="E35" s="85"/>
      <c r="F35" s="13">
        <f>'Услуга №1 '!F35</f>
        <v>15601.33</v>
      </c>
      <c r="G35" s="1">
        <f t="shared" ref="G35:G42" si="0">F19</f>
        <v>5.9999999999999995E-4</v>
      </c>
      <c r="H35" s="1">
        <f>F35*G35*12</f>
        <v>112.32957599999999</v>
      </c>
      <c r="I35" s="13">
        <f t="shared" ref="I35:I42" si="1">H35*1.302</f>
        <v>146.25310795199999</v>
      </c>
      <c r="J35" s="23">
        <f t="shared" ref="J35:J43" si="2">J34</f>
        <v>43</v>
      </c>
      <c r="K35" s="13">
        <f t="shared" ref="K35:K42" si="3">I35/J35</f>
        <v>3.4012350686511628</v>
      </c>
      <c r="L35" s="13"/>
    </row>
    <row r="36" spans="1:12" s="9" customFormat="1" x14ac:dyDescent="0.25">
      <c r="A36" s="85" t="s">
        <v>4</v>
      </c>
      <c r="B36" s="85"/>
      <c r="C36" s="85"/>
      <c r="D36" s="85"/>
      <c r="E36" s="85"/>
      <c r="F36" s="13">
        <f>'Услуга №1 '!F36</f>
        <v>16065.33</v>
      </c>
      <c r="G36" s="1">
        <f t="shared" si="0"/>
        <v>5.9999999999999995E-4</v>
      </c>
      <c r="H36" s="1">
        <f t="shared" ref="H36:H42" si="4">F36*G36*12</f>
        <v>115.67037599999998</v>
      </c>
      <c r="I36" s="13">
        <f t="shared" si="1"/>
        <v>150.60282955199997</v>
      </c>
      <c r="J36" s="23">
        <f t="shared" si="2"/>
        <v>43</v>
      </c>
      <c r="K36" s="13">
        <f t="shared" si="3"/>
        <v>3.5023913849302319</v>
      </c>
      <c r="L36" s="13"/>
    </row>
    <row r="37" spans="1:12" s="9" customFormat="1" x14ac:dyDescent="0.25">
      <c r="A37" s="85" t="s">
        <v>11</v>
      </c>
      <c r="B37" s="85"/>
      <c r="C37" s="85"/>
      <c r="D37" s="85"/>
      <c r="E37" s="85"/>
      <c r="F37" s="13">
        <f>'Услуга №1 '!F37</f>
        <v>14072.442999999999</v>
      </c>
      <c r="G37" s="1">
        <f t="shared" si="0"/>
        <v>5.9999999999999995E-4</v>
      </c>
      <c r="H37" s="1">
        <f t="shared" si="4"/>
        <v>101.32158959999998</v>
      </c>
      <c r="I37" s="13">
        <f>H37*1.302</f>
        <v>131.92070965919999</v>
      </c>
      <c r="J37" s="23">
        <f t="shared" si="2"/>
        <v>43</v>
      </c>
      <c r="K37" s="13">
        <f t="shared" si="3"/>
        <v>3.0679234804465114</v>
      </c>
      <c r="L37" s="13"/>
    </row>
    <row r="38" spans="1:12" s="9" customFormat="1" x14ac:dyDescent="0.25">
      <c r="A38" s="85" t="s">
        <v>7</v>
      </c>
      <c r="B38" s="85"/>
      <c r="C38" s="85"/>
      <c r="D38" s="85"/>
      <c r="E38" s="85"/>
      <c r="F38" s="13">
        <f>'Услуга №1 '!F38</f>
        <v>13589.6</v>
      </c>
      <c r="G38" s="1">
        <f t="shared" si="0"/>
        <v>5.9999999999999995E-4</v>
      </c>
      <c r="H38" s="1">
        <f t="shared" si="4"/>
        <v>97.845120000000009</v>
      </c>
      <c r="I38" s="13">
        <f t="shared" si="1"/>
        <v>127.39434624000002</v>
      </c>
      <c r="J38" s="23">
        <f t="shared" si="2"/>
        <v>43</v>
      </c>
      <c r="K38" s="13">
        <f t="shared" si="3"/>
        <v>2.9626592148837214</v>
      </c>
      <c r="L38" s="13"/>
    </row>
    <row r="39" spans="1:12" s="9" customFormat="1" x14ac:dyDescent="0.25">
      <c r="A39" s="85" t="s">
        <v>10</v>
      </c>
      <c r="B39" s="85"/>
      <c r="C39" s="85"/>
      <c r="D39" s="85"/>
      <c r="E39" s="85"/>
      <c r="F39" s="13">
        <f>'Услуга №1 '!F39</f>
        <v>6930.4</v>
      </c>
      <c r="G39" s="1">
        <f t="shared" si="0"/>
        <v>5.9999999999999995E-4</v>
      </c>
      <c r="H39" s="1">
        <f t="shared" si="4"/>
        <v>49.898879999999991</v>
      </c>
      <c r="I39" s="13">
        <f t="shared" si="1"/>
        <v>64.968341759999987</v>
      </c>
      <c r="J39" s="23">
        <f t="shared" si="2"/>
        <v>43</v>
      </c>
      <c r="K39" s="13">
        <f t="shared" si="3"/>
        <v>1.5108916688372089</v>
      </c>
      <c r="L39" s="13"/>
    </row>
    <row r="40" spans="1:12" s="9" customFormat="1" ht="15.75" customHeight="1" x14ac:dyDescent="0.25">
      <c r="A40" s="88" t="s">
        <v>12</v>
      </c>
      <c r="B40" s="89"/>
      <c r="C40" s="89"/>
      <c r="D40" s="89"/>
      <c r="E40" s="90"/>
      <c r="F40" s="63">
        <f>'Услуга №1 '!F41</f>
        <v>13589.6</v>
      </c>
      <c r="G40" s="1">
        <f t="shared" si="0"/>
        <v>5.9999999999999995E-4</v>
      </c>
      <c r="H40" s="1">
        <f t="shared" si="4"/>
        <v>97.845120000000009</v>
      </c>
      <c r="I40" s="13">
        <f t="shared" si="1"/>
        <v>127.39434624000002</v>
      </c>
      <c r="J40" s="23">
        <f t="shared" si="2"/>
        <v>43</v>
      </c>
      <c r="K40" s="13">
        <f t="shared" si="3"/>
        <v>2.9626592148837214</v>
      </c>
      <c r="L40" s="13"/>
    </row>
    <row r="41" spans="1:12" s="9" customFormat="1" x14ac:dyDescent="0.25">
      <c r="A41" s="88" t="s">
        <v>13</v>
      </c>
      <c r="B41" s="89"/>
      <c r="C41" s="89"/>
      <c r="D41" s="89"/>
      <c r="E41" s="90"/>
      <c r="F41" s="63">
        <f>'Услуга №1 '!F82</f>
        <v>17731.994999999999</v>
      </c>
      <c r="G41" s="1">
        <f t="shared" si="0"/>
        <v>5.9999999999999995E-4</v>
      </c>
      <c r="H41" s="1">
        <f t="shared" si="4"/>
        <v>127.67036399999998</v>
      </c>
      <c r="I41" s="13">
        <f t="shared" si="1"/>
        <v>166.22681392799998</v>
      </c>
      <c r="J41" s="23">
        <f t="shared" si="2"/>
        <v>43</v>
      </c>
      <c r="K41" s="13">
        <f t="shared" si="3"/>
        <v>3.8657398587906973</v>
      </c>
      <c r="L41" s="13"/>
    </row>
    <row r="42" spans="1:12" s="9" customFormat="1" x14ac:dyDescent="0.25">
      <c r="A42" s="85" t="s">
        <v>57</v>
      </c>
      <c r="B42" s="85"/>
      <c r="C42" s="85"/>
      <c r="D42" s="85"/>
      <c r="E42" s="85"/>
      <c r="F42" s="63">
        <f>'Услуга №1 '!F43</f>
        <v>17517.915000000001</v>
      </c>
      <c r="G42" s="1">
        <f t="shared" si="0"/>
        <v>5.9999999999999995E-4</v>
      </c>
      <c r="H42" s="1">
        <f t="shared" si="4"/>
        <v>126.12898799999999</v>
      </c>
      <c r="I42" s="13">
        <f t="shared" si="1"/>
        <v>164.21994237600001</v>
      </c>
      <c r="J42" s="23">
        <f t="shared" si="2"/>
        <v>43</v>
      </c>
      <c r="K42" s="13">
        <f t="shared" si="3"/>
        <v>3.8190684273488373</v>
      </c>
      <c r="L42" s="13"/>
    </row>
    <row r="43" spans="1:12" s="10" customFormat="1" ht="29.25" customHeight="1" x14ac:dyDescent="0.2">
      <c r="A43" s="94" t="s">
        <v>71</v>
      </c>
      <c r="B43" s="95"/>
      <c r="C43" s="95"/>
      <c r="D43" s="95"/>
      <c r="E43" s="96"/>
      <c r="F43" s="62"/>
      <c r="G43" s="57">
        <f>SUM(G34:G42)</f>
        <v>5.3999999999999994E-3</v>
      </c>
      <c r="H43" s="62"/>
      <c r="I43" s="50">
        <f>SUM(I34:I42)</f>
        <v>1283.1395894351999</v>
      </c>
      <c r="J43" s="68">
        <f t="shared" si="2"/>
        <v>43</v>
      </c>
      <c r="K43" s="50">
        <f>SUM(K34:K42)</f>
        <v>29.840455568260467</v>
      </c>
      <c r="L43" s="62"/>
    </row>
    <row r="44" spans="1:12" s="9" customFormat="1" x14ac:dyDescent="0.25">
      <c r="A44" s="15"/>
      <c r="B44" s="15"/>
      <c r="C44" s="15"/>
      <c r="D44" s="15"/>
      <c r="E44" s="15"/>
      <c r="F44" s="16"/>
      <c r="G44" s="16"/>
      <c r="H44" s="16"/>
      <c r="I44" s="16"/>
      <c r="J44" s="17"/>
      <c r="K44" s="16"/>
      <c r="L44" s="17"/>
    </row>
    <row r="45" spans="1:12" s="9" customFormat="1" x14ac:dyDescent="0.25">
      <c r="A45" s="93" t="s">
        <v>18</v>
      </c>
      <c r="B45" s="93"/>
      <c r="C45" s="93"/>
      <c r="D45" s="93"/>
      <c r="E45" s="93"/>
      <c r="F45" s="93"/>
      <c r="G45" s="93"/>
      <c r="H45" s="93"/>
      <c r="I45" s="93"/>
      <c r="J45" s="93"/>
      <c r="K45" s="93"/>
      <c r="L45" s="93"/>
    </row>
    <row r="46" spans="1:12" s="9" customFormat="1" hidden="1" x14ac:dyDescent="0.25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</row>
    <row r="47" spans="1:12" s="9" customFormat="1" hidden="1" x14ac:dyDescent="0.25"/>
    <row r="48" spans="1:12" s="9" customFormat="1" ht="60" customHeight="1" x14ac:dyDescent="0.25">
      <c r="A48" s="92" t="s">
        <v>19</v>
      </c>
      <c r="B48" s="92"/>
      <c r="C48" s="92"/>
      <c r="D48" s="92"/>
      <c r="E48" s="92"/>
      <c r="F48" s="31" t="s">
        <v>17</v>
      </c>
      <c r="G48" s="31" t="s">
        <v>70</v>
      </c>
      <c r="H48" s="31" t="s">
        <v>69</v>
      </c>
      <c r="I48" s="31" t="s">
        <v>82</v>
      </c>
      <c r="J48" s="32" t="s">
        <v>77</v>
      </c>
      <c r="K48" s="33" t="s">
        <v>78</v>
      </c>
      <c r="L48" s="45"/>
    </row>
    <row r="49" spans="1:14" s="9" customFormat="1" x14ac:dyDescent="0.25">
      <c r="A49" s="85" t="s">
        <v>20</v>
      </c>
      <c r="B49" s="85"/>
      <c r="C49" s="85"/>
      <c r="D49" s="85"/>
      <c r="E49" s="85"/>
      <c r="F49" s="1" t="s">
        <v>24</v>
      </c>
      <c r="G49" s="13">
        <f>I49/H49</f>
        <v>4.8</v>
      </c>
      <c r="H49" s="13">
        <f>'Услуга №1 '!H49</f>
        <v>7.45</v>
      </c>
      <c r="I49" s="13">
        <f>59600*0.06%</f>
        <v>35.76</v>
      </c>
      <c r="J49" s="49">
        <f>F32</f>
        <v>43</v>
      </c>
      <c r="K49" s="13">
        <f>I49/J49</f>
        <v>0.83162790697674416</v>
      </c>
      <c r="L49" s="17"/>
      <c r="N49" s="17"/>
    </row>
    <row r="50" spans="1:14" s="9" customFormat="1" x14ac:dyDescent="0.25">
      <c r="A50" s="85" t="s">
        <v>21</v>
      </c>
      <c r="B50" s="85"/>
      <c r="C50" s="85"/>
      <c r="D50" s="85"/>
      <c r="E50" s="85"/>
      <c r="F50" s="1" t="s">
        <v>25</v>
      </c>
      <c r="G50" s="13">
        <f>I50/H50</f>
        <v>9.5999999999999988E-2</v>
      </c>
      <c r="H50" s="13">
        <f>'Услуга №1 '!H50</f>
        <v>1875</v>
      </c>
      <c r="I50" s="13">
        <f>300000*0.06%</f>
        <v>179.99999999999997</v>
      </c>
      <c r="J50" s="49">
        <f>J49</f>
        <v>43</v>
      </c>
      <c r="K50" s="13">
        <f t="shared" ref="K50:K53" si="5">I50/J50</f>
        <v>4.1860465116279064</v>
      </c>
      <c r="L50" s="17"/>
      <c r="N50" s="17"/>
    </row>
    <row r="51" spans="1:14" s="9" customFormat="1" x14ac:dyDescent="0.25">
      <c r="A51" s="85" t="s">
        <v>100</v>
      </c>
      <c r="B51" s="85"/>
      <c r="C51" s="85"/>
      <c r="D51" s="85"/>
      <c r="E51" s="85"/>
      <c r="F51" s="1" t="s">
        <v>25</v>
      </c>
      <c r="G51" s="13">
        <f>I51/H51</f>
        <v>5.6099884967224782E-2</v>
      </c>
      <c r="H51" s="13">
        <f>'Услуга №1 '!H51</f>
        <v>1643.01</v>
      </c>
      <c r="I51" s="13">
        <f>153621.12*0.06%</f>
        <v>92.172671999999991</v>
      </c>
      <c r="J51" s="49">
        <f>J50</f>
        <v>43</v>
      </c>
      <c r="K51" s="13">
        <f>I51/J51</f>
        <v>2.143550511627907</v>
      </c>
      <c r="L51" s="17"/>
      <c r="N51" s="17"/>
    </row>
    <row r="52" spans="1:14" s="9" customFormat="1" x14ac:dyDescent="0.25">
      <c r="A52" s="85" t="s">
        <v>22</v>
      </c>
      <c r="B52" s="85"/>
      <c r="C52" s="85"/>
      <c r="D52" s="85"/>
      <c r="E52" s="85"/>
      <c r="F52" s="1" t="s">
        <v>26</v>
      </c>
      <c r="G52" s="13">
        <f>I52/H52</f>
        <v>6.04075691411936E-2</v>
      </c>
      <c r="H52" s="13">
        <f>'Услуга №1 '!H52</f>
        <v>41.22</v>
      </c>
      <c r="I52" s="13">
        <v>2.4900000000000002</v>
      </c>
      <c r="J52" s="49">
        <f>J50</f>
        <v>43</v>
      </c>
      <c r="K52" s="13">
        <f t="shared" si="5"/>
        <v>5.7906976744186052E-2</v>
      </c>
      <c r="L52" s="17"/>
      <c r="N52" s="17"/>
    </row>
    <row r="53" spans="1:14" s="9" customFormat="1" x14ac:dyDescent="0.25">
      <c r="A53" s="85" t="s">
        <v>23</v>
      </c>
      <c r="B53" s="85"/>
      <c r="C53" s="85"/>
      <c r="D53" s="85"/>
      <c r="E53" s="85"/>
      <c r="F53" s="1" t="s">
        <v>26</v>
      </c>
      <c r="G53" s="13">
        <f>I53/H53</f>
        <v>6.0314061384725198E-2</v>
      </c>
      <c r="H53" s="13">
        <f>'Услуга №1 '!H53</f>
        <v>56.04</v>
      </c>
      <c r="I53" s="13">
        <v>3.38</v>
      </c>
      <c r="J53" s="49">
        <f>J52</f>
        <v>43</v>
      </c>
      <c r="K53" s="13">
        <f t="shared" si="5"/>
        <v>7.8604651162790695E-2</v>
      </c>
      <c r="L53" s="17"/>
      <c r="M53" s="18"/>
      <c r="N53" s="17"/>
    </row>
    <row r="54" spans="1:14" s="9" customFormat="1" x14ac:dyDescent="0.25">
      <c r="A54" s="100" t="s">
        <v>72</v>
      </c>
      <c r="B54" s="101"/>
      <c r="C54" s="101"/>
      <c r="D54" s="101"/>
      <c r="E54" s="101"/>
      <c r="F54" s="101"/>
      <c r="G54" s="101"/>
      <c r="H54" s="102"/>
      <c r="I54" s="50">
        <f>SUM(I49:I53)</f>
        <v>313.80267199999997</v>
      </c>
      <c r="J54" s="50"/>
      <c r="K54" s="50">
        <f>I54/J53</f>
        <v>7.2977365581395341</v>
      </c>
      <c r="L54" s="17"/>
      <c r="N54" s="17"/>
    </row>
    <row r="55" spans="1:14" s="9" customFormat="1" x14ac:dyDescent="0.25"/>
    <row r="56" spans="1:14" s="9" customFormat="1" x14ac:dyDescent="0.25">
      <c r="A56" s="93" t="s">
        <v>27</v>
      </c>
      <c r="B56" s="93"/>
      <c r="C56" s="93"/>
      <c r="D56" s="93"/>
      <c r="E56" s="93"/>
      <c r="F56" s="93"/>
      <c r="G56" s="93"/>
      <c r="H56" s="93"/>
      <c r="I56" s="93"/>
      <c r="J56" s="93"/>
      <c r="K56" s="93"/>
      <c r="L56" s="93"/>
    </row>
    <row r="57" spans="1:14" s="9" customFormat="1" hidden="1" x14ac:dyDescent="0.25"/>
    <row r="58" spans="1:14" s="9" customFormat="1" ht="60" customHeight="1" x14ac:dyDescent="0.25">
      <c r="A58" s="92" t="s">
        <v>34</v>
      </c>
      <c r="B58" s="92"/>
      <c r="C58" s="92"/>
      <c r="D58" s="92"/>
      <c r="E58" s="92"/>
      <c r="F58" s="31" t="s">
        <v>17</v>
      </c>
      <c r="G58" s="31" t="s">
        <v>70</v>
      </c>
      <c r="H58" s="31" t="s">
        <v>69</v>
      </c>
      <c r="I58" s="31" t="s">
        <v>82</v>
      </c>
      <c r="J58" s="31" t="s">
        <v>77</v>
      </c>
      <c r="K58" s="33" t="s">
        <v>78</v>
      </c>
      <c r="L58" s="45"/>
    </row>
    <row r="59" spans="1:14" s="9" customFormat="1" x14ac:dyDescent="0.25">
      <c r="A59" s="85" t="s">
        <v>28</v>
      </c>
      <c r="B59" s="85"/>
      <c r="C59" s="85"/>
      <c r="D59" s="85"/>
      <c r="E59" s="85"/>
      <c r="F59" s="1" t="s">
        <v>32</v>
      </c>
      <c r="G59" s="64">
        <v>7.1999999999999998E-3</v>
      </c>
      <c r="H59" s="13">
        <f>'Услуга №1 '!H58</f>
        <v>412.8</v>
      </c>
      <c r="I59" s="13">
        <f>H59*G59</f>
        <v>2.9721600000000001</v>
      </c>
      <c r="J59" s="23">
        <f>J53</f>
        <v>43</v>
      </c>
      <c r="K59" s="13">
        <f>I59/J59</f>
        <v>6.9120000000000001E-2</v>
      </c>
      <c r="L59" s="17"/>
    </row>
    <row r="60" spans="1:14" s="9" customFormat="1" x14ac:dyDescent="0.25">
      <c r="A60" s="85" t="s">
        <v>29</v>
      </c>
      <c r="B60" s="85"/>
      <c r="C60" s="85"/>
      <c r="D60" s="85"/>
      <c r="E60" s="85"/>
      <c r="F60" s="1" t="s">
        <v>32</v>
      </c>
      <c r="G60" s="64">
        <v>7.1999999999999998E-3</v>
      </c>
      <c r="H60" s="13">
        <f>'Услуга №1 '!H59</f>
        <v>724.31</v>
      </c>
      <c r="I60" s="13">
        <f t="shared" ref="I60:I61" si="6">H60*G60</f>
        <v>5.2150319999999999</v>
      </c>
      <c r="J60" s="23">
        <f>J59</f>
        <v>43</v>
      </c>
      <c r="K60" s="13">
        <f t="shared" ref="K60:K63" si="7">I60/J60</f>
        <v>0.12127981395348837</v>
      </c>
      <c r="L60" s="17"/>
    </row>
    <row r="61" spans="1:14" s="9" customFormat="1" x14ac:dyDescent="0.25">
      <c r="A61" s="85" t="s">
        <v>30</v>
      </c>
      <c r="B61" s="85"/>
      <c r="C61" s="85"/>
      <c r="D61" s="85"/>
      <c r="E61" s="85"/>
      <c r="F61" s="1" t="s">
        <v>32</v>
      </c>
      <c r="G61" s="64">
        <v>5.9999999999999995E-4</v>
      </c>
      <c r="H61" s="13">
        <f>'Услуга №1 '!H60</f>
        <v>6350</v>
      </c>
      <c r="I61" s="13">
        <f t="shared" si="6"/>
        <v>3.8099999999999996</v>
      </c>
      <c r="J61" s="23">
        <f>J60</f>
        <v>43</v>
      </c>
      <c r="K61" s="13">
        <f t="shared" si="7"/>
        <v>8.860465116279069E-2</v>
      </c>
      <c r="L61" s="17"/>
    </row>
    <row r="62" spans="1:14" s="9" customFormat="1" x14ac:dyDescent="0.25">
      <c r="A62" s="85" t="s">
        <v>31</v>
      </c>
      <c r="B62" s="85"/>
      <c r="C62" s="85"/>
      <c r="D62" s="85"/>
      <c r="E62" s="85"/>
      <c r="F62" s="1" t="s">
        <v>32</v>
      </c>
      <c r="G62" s="64">
        <v>7.1999999999999998E-3</v>
      </c>
      <c r="H62" s="13">
        <f>'Услуга №1 '!H61</f>
        <v>2400</v>
      </c>
      <c r="I62" s="13">
        <f>H62*G62</f>
        <v>17.28</v>
      </c>
      <c r="J62" s="23">
        <f>J61</f>
        <v>43</v>
      </c>
      <c r="K62" s="13">
        <f t="shared" si="7"/>
        <v>0.4018604651162791</v>
      </c>
      <c r="L62" s="17"/>
    </row>
    <row r="63" spans="1:14" s="9" customFormat="1" ht="28.5" customHeight="1" x14ac:dyDescent="0.25">
      <c r="A63" s="88" t="s">
        <v>83</v>
      </c>
      <c r="B63" s="89"/>
      <c r="C63" s="89"/>
      <c r="D63" s="89"/>
      <c r="E63" s="90"/>
      <c r="F63" s="1" t="s">
        <v>32</v>
      </c>
      <c r="G63" s="64">
        <v>7.1999999999999998E-3</v>
      </c>
      <c r="H63" s="13">
        <f>'Услуга №1 '!H62</f>
        <v>28325.39</v>
      </c>
      <c r="I63" s="13">
        <f>H63*G63</f>
        <v>203.94280799999999</v>
      </c>
      <c r="J63" s="23">
        <f>J62</f>
        <v>43</v>
      </c>
      <c r="K63" s="13">
        <f t="shared" si="7"/>
        <v>4.7428559999999997</v>
      </c>
      <c r="L63" s="17"/>
    </row>
    <row r="64" spans="1:14" s="9" customFormat="1" x14ac:dyDescent="0.25">
      <c r="A64" s="100" t="s">
        <v>33</v>
      </c>
      <c r="B64" s="101"/>
      <c r="C64" s="101"/>
      <c r="D64" s="101"/>
      <c r="E64" s="101"/>
      <c r="F64" s="101"/>
      <c r="G64" s="101"/>
      <c r="H64" s="101"/>
      <c r="I64" s="48">
        <f>SUM(I59:I63)</f>
        <v>233.21999999999997</v>
      </c>
      <c r="J64" s="48"/>
      <c r="K64" s="48">
        <f>I64/J63</f>
        <v>5.4237209302325571</v>
      </c>
      <c r="L64" s="17"/>
    </row>
    <row r="65" spans="1:13" s="9" customFormat="1" x14ac:dyDescent="0.25"/>
    <row r="66" spans="1:13" s="9" customFormat="1" x14ac:dyDescent="0.25">
      <c r="A66" s="93" t="s">
        <v>84</v>
      </c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</row>
    <row r="67" spans="1:13" s="9" customFormat="1" ht="60" customHeight="1" x14ac:dyDescent="0.25">
      <c r="A67" s="92" t="s">
        <v>34</v>
      </c>
      <c r="B67" s="92"/>
      <c r="C67" s="92"/>
      <c r="D67" s="92"/>
      <c r="E67" s="92"/>
      <c r="F67" s="31" t="s">
        <v>17</v>
      </c>
      <c r="G67" s="31" t="s">
        <v>70</v>
      </c>
      <c r="H67" s="31" t="s">
        <v>69</v>
      </c>
      <c r="I67" s="31" t="s">
        <v>82</v>
      </c>
      <c r="J67" s="31" t="s">
        <v>77</v>
      </c>
      <c r="K67" s="33" t="s">
        <v>78</v>
      </c>
      <c r="L67" s="45"/>
    </row>
    <row r="68" spans="1:13" s="9" customFormat="1" ht="30.75" customHeight="1" x14ac:dyDescent="0.25">
      <c r="A68" s="88" t="s">
        <v>85</v>
      </c>
      <c r="B68" s="89"/>
      <c r="C68" s="89"/>
      <c r="D68" s="89"/>
      <c r="E68" s="90"/>
      <c r="F68" s="1" t="s">
        <v>32</v>
      </c>
      <c r="G68" s="13">
        <v>6.6E-3</v>
      </c>
      <c r="H68" s="13">
        <f>'Услуга №1 '!H67</f>
        <v>4742.7269999999999</v>
      </c>
      <c r="I68" s="13">
        <f>(G68*H68)</f>
        <v>31.3019982</v>
      </c>
      <c r="J68" s="23">
        <f>J63</f>
        <v>43</v>
      </c>
      <c r="K68" s="13">
        <f>I68/J68</f>
        <v>0.72795344651162786</v>
      </c>
      <c r="L68" s="17"/>
    </row>
    <row r="69" spans="1:13" s="9" customFormat="1" hidden="1" x14ac:dyDescent="0.25">
      <c r="A69" s="85" t="s">
        <v>86</v>
      </c>
      <c r="B69" s="85"/>
      <c r="C69" s="85"/>
      <c r="D69" s="85"/>
      <c r="E69" s="85"/>
      <c r="F69" s="1" t="s">
        <v>32</v>
      </c>
      <c r="G69" s="46">
        <v>0.1</v>
      </c>
      <c r="H69" s="13"/>
      <c r="I69" s="13"/>
      <c r="J69" s="23">
        <f>J68</f>
        <v>43</v>
      </c>
      <c r="K69" s="13">
        <f t="shared" ref="K69" si="8">I69/J69</f>
        <v>0</v>
      </c>
      <c r="L69" s="17"/>
    </row>
    <row r="70" spans="1:13" s="9" customFormat="1" x14ac:dyDescent="0.25">
      <c r="A70" s="100" t="s">
        <v>87</v>
      </c>
      <c r="B70" s="101"/>
      <c r="C70" s="101"/>
      <c r="D70" s="101"/>
      <c r="E70" s="101"/>
      <c r="F70" s="101"/>
      <c r="G70" s="101"/>
      <c r="H70" s="101"/>
      <c r="I70" s="48">
        <f>SUM(I68:I69)</f>
        <v>31.3019982</v>
      </c>
      <c r="J70" s="47"/>
      <c r="K70" s="47">
        <f>I70/J68</f>
        <v>0.72795344651162786</v>
      </c>
      <c r="L70" s="17"/>
    </row>
    <row r="71" spans="1:13" s="9" customFormat="1" x14ac:dyDescent="0.25">
      <c r="A71" s="34"/>
      <c r="B71" s="34"/>
      <c r="C71" s="34"/>
      <c r="D71" s="34"/>
      <c r="E71" s="34"/>
      <c r="F71" s="34"/>
      <c r="G71" s="34"/>
      <c r="H71" s="34"/>
      <c r="I71" s="53"/>
      <c r="J71" s="54"/>
      <c r="K71" s="54"/>
      <c r="L71" s="17"/>
    </row>
    <row r="72" spans="1:13" s="9" customFormat="1" x14ac:dyDescent="0.25">
      <c r="A72" s="93" t="s">
        <v>88</v>
      </c>
      <c r="B72" s="93"/>
      <c r="C72" s="93"/>
      <c r="D72" s="93"/>
      <c r="E72" s="93"/>
      <c r="F72" s="93"/>
      <c r="G72" s="93"/>
      <c r="H72" s="93"/>
      <c r="I72" s="93"/>
      <c r="J72" s="93"/>
      <c r="K72" s="93"/>
      <c r="L72" s="93"/>
    </row>
    <row r="73" spans="1:13" s="9" customFormat="1" ht="42.75" customHeight="1" x14ac:dyDescent="0.25">
      <c r="A73" s="103" t="s">
        <v>35</v>
      </c>
      <c r="B73" s="104"/>
      <c r="C73" s="104"/>
      <c r="D73" s="104"/>
      <c r="E73" s="105"/>
      <c r="F73" s="31" t="s">
        <v>17</v>
      </c>
      <c r="G73" s="31" t="s">
        <v>70</v>
      </c>
      <c r="H73" s="31" t="s">
        <v>69</v>
      </c>
      <c r="I73" s="31" t="s">
        <v>82</v>
      </c>
      <c r="J73" s="32" t="s">
        <v>77</v>
      </c>
      <c r="K73" s="33" t="s">
        <v>78</v>
      </c>
      <c r="L73" s="45"/>
      <c r="M73" s="45"/>
    </row>
    <row r="74" spans="1:13" s="9" customFormat="1" ht="30" x14ac:dyDescent="0.25">
      <c r="A74" s="103" t="s">
        <v>36</v>
      </c>
      <c r="B74" s="104"/>
      <c r="C74" s="104"/>
      <c r="D74" s="104"/>
      <c r="E74" s="105"/>
      <c r="F74" s="19" t="s">
        <v>37</v>
      </c>
      <c r="G74" s="64">
        <v>1.1999999999999999E-3</v>
      </c>
      <c r="H74" s="13">
        <f>'Услуга №1 '!H73</f>
        <v>400</v>
      </c>
      <c r="I74" s="13">
        <f>H74*G74*12</f>
        <v>5.76</v>
      </c>
      <c r="J74" s="49">
        <f>J69</f>
        <v>43</v>
      </c>
      <c r="K74" s="13">
        <f>I74/J74</f>
        <v>0.133953488372093</v>
      </c>
      <c r="L74" s="16"/>
      <c r="M74" s="17"/>
    </row>
    <row r="75" spans="1:13" s="9" customFormat="1" x14ac:dyDescent="0.25">
      <c r="A75" s="103" t="s">
        <v>101</v>
      </c>
      <c r="B75" s="104"/>
      <c r="C75" s="104"/>
      <c r="D75" s="104"/>
      <c r="E75" s="105"/>
      <c r="F75" s="19" t="s">
        <v>41</v>
      </c>
      <c r="G75" s="64"/>
      <c r="H75" s="13"/>
      <c r="I75" s="13">
        <v>6.48</v>
      </c>
      <c r="J75" s="49">
        <f>J74</f>
        <v>43</v>
      </c>
      <c r="K75" s="13">
        <f>I75/J75</f>
        <v>0.15069767441860465</v>
      </c>
      <c r="L75" s="16"/>
      <c r="M75" s="17"/>
    </row>
    <row r="76" spans="1:13" s="9" customFormat="1" x14ac:dyDescent="0.25">
      <c r="A76" s="103" t="s">
        <v>89</v>
      </c>
      <c r="B76" s="104"/>
      <c r="C76" s="104"/>
      <c r="D76" s="104"/>
      <c r="E76" s="105"/>
      <c r="F76" s="19" t="s">
        <v>32</v>
      </c>
      <c r="G76" s="64">
        <v>5.9999999999999995E-4</v>
      </c>
      <c r="H76" s="13">
        <f>'Услуга №1 '!H75</f>
        <v>800</v>
      </c>
      <c r="I76" s="13">
        <f>G76*H76*12</f>
        <v>5.76</v>
      </c>
      <c r="J76" s="49">
        <f>J74</f>
        <v>43</v>
      </c>
      <c r="K76" s="13">
        <f>I76/J76</f>
        <v>0.133953488372093</v>
      </c>
      <c r="L76" s="16"/>
      <c r="M76" s="17"/>
    </row>
    <row r="77" spans="1:13" s="9" customFormat="1" x14ac:dyDescent="0.25">
      <c r="A77" s="100" t="s">
        <v>38</v>
      </c>
      <c r="B77" s="101"/>
      <c r="C77" s="101"/>
      <c r="D77" s="101"/>
      <c r="E77" s="101"/>
      <c r="F77" s="101"/>
      <c r="G77" s="101"/>
      <c r="H77" s="102"/>
      <c r="I77" s="48">
        <f>SUM(I74:I76)</f>
        <v>18</v>
      </c>
      <c r="J77" s="47"/>
      <c r="K77" s="47">
        <f>I77/J76</f>
        <v>0.41860465116279072</v>
      </c>
      <c r="L77" s="36"/>
      <c r="M77" s="17"/>
    </row>
    <row r="78" spans="1:13" s="9" customFormat="1" x14ac:dyDescent="0.25">
      <c r="A78" s="34"/>
      <c r="B78" s="34"/>
      <c r="C78" s="34"/>
      <c r="D78" s="34"/>
      <c r="E78" s="34"/>
      <c r="F78" s="34"/>
      <c r="G78" s="34"/>
      <c r="H78" s="34"/>
      <c r="I78" s="53"/>
      <c r="J78" s="54"/>
      <c r="K78" s="54"/>
      <c r="L78" s="36"/>
      <c r="M78" s="17"/>
    </row>
    <row r="79" spans="1:13" s="9" customFormat="1" x14ac:dyDescent="0.25">
      <c r="A79" s="93" t="s">
        <v>58</v>
      </c>
      <c r="B79" s="93"/>
      <c r="C79" s="93"/>
      <c r="D79" s="93"/>
      <c r="E79" s="93"/>
      <c r="F79" s="93"/>
      <c r="G79" s="93"/>
      <c r="H79" s="93"/>
      <c r="I79" s="93"/>
      <c r="J79" s="93"/>
      <c r="K79" s="93"/>
      <c r="L79" s="93"/>
    </row>
    <row r="80" spans="1:13" s="9" customFormat="1" hidden="1" x14ac:dyDescent="0.25"/>
    <row r="81" spans="1:13" s="9" customFormat="1" ht="75" x14ac:dyDescent="0.25">
      <c r="A81" s="92" t="s">
        <v>15</v>
      </c>
      <c r="B81" s="92"/>
      <c r="C81" s="92"/>
      <c r="D81" s="92"/>
      <c r="E81" s="92"/>
      <c r="F81" s="27" t="s">
        <v>16</v>
      </c>
      <c r="G81" s="27" t="s">
        <v>1</v>
      </c>
      <c r="H81" s="27" t="s">
        <v>75</v>
      </c>
      <c r="I81" s="27" t="s">
        <v>76</v>
      </c>
      <c r="J81" s="27" t="s">
        <v>77</v>
      </c>
      <c r="K81" s="69" t="s">
        <v>78</v>
      </c>
      <c r="L81" s="74"/>
    </row>
    <row r="82" spans="1:13" s="9" customFormat="1" x14ac:dyDescent="0.25">
      <c r="A82" s="82" t="s">
        <v>5</v>
      </c>
      <c r="B82" s="83"/>
      <c r="C82" s="83"/>
      <c r="D82" s="83"/>
      <c r="E82" s="84"/>
      <c r="F82" s="14">
        <f>'Услуга №1 '!F81</f>
        <v>21778.37</v>
      </c>
      <c r="G82" s="1">
        <f>L18</f>
        <v>5.9999999999999995E-4</v>
      </c>
      <c r="H82" s="13">
        <f>F82*G82*12</f>
        <v>156.80426399999999</v>
      </c>
      <c r="I82" s="13">
        <f>H82*1.302</f>
        <v>204.15915172799998</v>
      </c>
      <c r="J82" s="23">
        <f>J75</f>
        <v>43</v>
      </c>
      <c r="K82" s="67">
        <f>I82/J82</f>
        <v>4.7478872494883717</v>
      </c>
      <c r="L82" s="72"/>
    </row>
    <row r="83" spans="1:13" s="9" customFormat="1" ht="30.75" customHeight="1" x14ac:dyDescent="0.25">
      <c r="A83" s="88" t="s">
        <v>8</v>
      </c>
      <c r="B83" s="89"/>
      <c r="C83" s="89"/>
      <c r="D83" s="89"/>
      <c r="E83" s="90"/>
      <c r="F83" s="14">
        <f>'Услуга №1 '!F42</f>
        <v>16065.33</v>
      </c>
      <c r="G83" s="1">
        <f t="shared" ref="G83:G84" si="9">L19</f>
        <v>5.9999999999999995E-4</v>
      </c>
      <c r="H83" s="13">
        <f>F83*G83*12</f>
        <v>115.67037599999998</v>
      </c>
      <c r="I83" s="13">
        <f t="shared" ref="I83:I84" si="10">H83*1.302</f>
        <v>150.60282955199997</v>
      </c>
      <c r="J83" s="23">
        <f>J82</f>
        <v>43</v>
      </c>
      <c r="K83" s="67">
        <f t="shared" ref="K83:K84" si="11">I83/J83</f>
        <v>3.5023913849302319</v>
      </c>
      <c r="L83" s="72"/>
    </row>
    <row r="84" spans="1:13" s="9" customFormat="1" x14ac:dyDescent="0.25">
      <c r="A84" s="85" t="s">
        <v>9</v>
      </c>
      <c r="B84" s="85"/>
      <c r="C84" s="85"/>
      <c r="D84" s="85"/>
      <c r="E84" s="85"/>
      <c r="F84" s="14">
        <f>'Услуга №1 '!F40</f>
        <v>13794.88</v>
      </c>
      <c r="G84" s="1">
        <f t="shared" si="9"/>
        <v>2.9999999999999997E-4</v>
      </c>
      <c r="H84" s="13">
        <f>F84*G84*12</f>
        <v>49.661567999999988</v>
      </c>
      <c r="I84" s="13">
        <f t="shared" si="10"/>
        <v>64.659361535999992</v>
      </c>
      <c r="J84" s="23">
        <f>J83</f>
        <v>43</v>
      </c>
      <c r="K84" s="67">
        <f t="shared" si="11"/>
        <v>1.5037060822325579</v>
      </c>
      <c r="L84" s="72"/>
    </row>
    <row r="85" spans="1:13" s="9" customFormat="1" ht="15.75" customHeight="1" x14ac:dyDescent="0.25">
      <c r="A85" s="94" t="s">
        <v>39</v>
      </c>
      <c r="B85" s="95"/>
      <c r="C85" s="95"/>
      <c r="D85" s="95"/>
      <c r="E85" s="96"/>
      <c r="F85" s="22"/>
      <c r="G85" s="21">
        <f>SUM(G82:G84)</f>
        <v>1.4999999999999998E-3</v>
      </c>
      <c r="H85" s="21"/>
      <c r="I85" s="48">
        <f>SUM(I82:I84)</f>
        <v>419.42134281599999</v>
      </c>
      <c r="J85" s="61"/>
      <c r="K85" s="73">
        <f>SUM(K82:K84)</f>
        <v>9.7539847166511606</v>
      </c>
      <c r="L85" s="72"/>
    </row>
    <row r="86" spans="1:13" s="9" customFormat="1" ht="15.75" customHeight="1" x14ac:dyDescent="0.25">
      <c r="A86" s="44"/>
      <c r="B86" s="44"/>
      <c r="C86" s="44"/>
      <c r="D86" s="44"/>
      <c r="E86" s="44"/>
      <c r="F86" s="35"/>
      <c r="G86" s="35"/>
      <c r="H86" s="36"/>
      <c r="I86" s="53"/>
      <c r="J86" s="53"/>
      <c r="K86" s="53"/>
      <c r="L86" s="17"/>
    </row>
    <row r="87" spans="1:13" s="9" customFormat="1" x14ac:dyDescent="0.25">
      <c r="A87" s="93" t="s">
        <v>40</v>
      </c>
      <c r="B87" s="93"/>
      <c r="C87" s="93"/>
      <c r="D87" s="93"/>
      <c r="E87" s="93"/>
      <c r="F87" s="93"/>
      <c r="G87" s="93"/>
      <c r="H87" s="93"/>
      <c r="I87" s="93"/>
      <c r="J87" s="93"/>
      <c r="K87" s="93"/>
      <c r="L87" s="93"/>
    </row>
    <row r="88" spans="1:13" s="9" customFormat="1" ht="60" customHeight="1" x14ac:dyDescent="0.25">
      <c r="A88" s="92" t="s">
        <v>90</v>
      </c>
      <c r="B88" s="92"/>
      <c r="C88" s="92"/>
      <c r="D88" s="92"/>
      <c r="E88" s="92"/>
      <c r="F88" s="31" t="s">
        <v>17</v>
      </c>
      <c r="G88" s="31" t="s">
        <v>70</v>
      </c>
      <c r="H88" s="31" t="s">
        <v>69</v>
      </c>
      <c r="I88" s="31" t="s">
        <v>82</v>
      </c>
      <c r="J88" s="31" t="s">
        <v>77</v>
      </c>
      <c r="K88" s="33" t="s">
        <v>78</v>
      </c>
      <c r="L88" s="45"/>
    </row>
    <row r="89" spans="1:13" s="9" customFormat="1" x14ac:dyDescent="0.25">
      <c r="A89" s="85" t="s">
        <v>102</v>
      </c>
      <c r="B89" s="85"/>
      <c r="C89" s="85"/>
      <c r="D89" s="85"/>
      <c r="E89" s="85"/>
      <c r="F89" s="1" t="s">
        <v>41</v>
      </c>
      <c r="G89" s="13"/>
      <c r="H89" s="13"/>
      <c r="I89" s="13">
        <v>17.309999999999999</v>
      </c>
      <c r="J89" s="23">
        <f>J82</f>
        <v>43</v>
      </c>
      <c r="K89" s="13">
        <f>I89/J89</f>
        <v>0.40255813953488367</v>
      </c>
      <c r="L89" s="17"/>
    </row>
    <row r="90" spans="1:13" s="9" customFormat="1" x14ac:dyDescent="0.25">
      <c r="A90" s="100" t="s">
        <v>42</v>
      </c>
      <c r="B90" s="101"/>
      <c r="C90" s="101"/>
      <c r="D90" s="101"/>
      <c r="E90" s="101"/>
      <c r="F90" s="101"/>
      <c r="G90" s="101"/>
      <c r="H90" s="101"/>
      <c r="I90" s="48">
        <f>I89</f>
        <v>17.309999999999999</v>
      </c>
      <c r="J90" s="48"/>
      <c r="K90" s="48">
        <f>I90/J89</f>
        <v>0.40255813953488367</v>
      </c>
      <c r="L90" s="17"/>
      <c r="M90" s="40"/>
    </row>
    <row r="91" spans="1:13" s="9" customFormat="1" ht="12" customHeight="1" x14ac:dyDescent="0.25"/>
    <row r="92" spans="1:13" s="9" customFormat="1" x14ac:dyDescent="0.25">
      <c r="A92" s="24" t="s">
        <v>43</v>
      </c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</row>
    <row r="93" spans="1:13" s="9" customFormat="1" x14ac:dyDescent="0.25">
      <c r="M93" s="40"/>
    </row>
    <row r="94" spans="1:13" s="9" customFormat="1" x14ac:dyDescent="0.25">
      <c r="A94" s="87" t="s">
        <v>44</v>
      </c>
      <c r="B94" s="87"/>
      <c r="C94" s="87"/>
      <c r="D94" s="28" t="s">
        <v>45</v>
      </c>
      <c r="E94" s="29"/>
      <c r="F94" s="29"/>
      <c r="G94" s="29"/>
      <c r="H94" s="29"/>
      <c r="I94" s="29"/>
      <c r="J94" s="30"/>
      <c r="K94" s="87" t="s">
        <v>56</v>
      </c>
      <c r="L94" s="87"/>
    </row>
    <row r="95" spans="1:13" s="9" customFormat="1" x14ac:dyDescent="0.25">
      <c r="A95" s="1" t="s">
        <v>46</v>
      </c>
      <c r="B95" s="12" t="s">
        <v>47</v>
      </c>
      <c r="C95" s="1" t="s">
        <v>48</v>
      </c>
      <c r="D95" s="1" t="s">
        <v>49</v>
      </c>
      <c r="E95" s="1" t="s">
        <v>50</v>
      </c>
      <c r="F95" s="1" t="s">
        <v>51</v>
      </c>
      <c r="G95" s="1" t="s">
        <v>52</v>
      </c>
      <c r="H95" s="1" t="s">
        <v>53</v>
      </c>
      <c r="I95" s="1" t="s">
        <v>54</v>
      </c>
      <c r="J95" s="1" t="s">
        <v>55</v>
      </c>
      <c r="K95" s="87"/>
      <c r="L95" s="87"/>
    </row>
    <row r="96" spans="1:13" s="9" customFormat="1" x14ac:dyDescent="0.25">
      <c r="A96" s="13">
        <f>K43</f>
        <v>29.840455568260467</v>
      </c>
      <c r="B96" s="23">
        <v>0</v>
      </c>
      <c r="C96" s="1">
        <v>0</v>
      </c>
      <c r="D96" s="13">
        <f>K54</f>
        <v>7.2977365581395341</v>
      </c>
      <c r="E96" s="13">
        <f>K64</f>
        <v>5.4237209302325571</v>
      </c>
      <c r="F96" s="13">
        <f>K70</f>
        <v>0.72795344651162786</v>
      </c>
      <c r="G96" s="13">
        <f>K77</f>
        <v>0.41860465116279072</v>
      </c>
      <c r="H96" s="1">
        <v>0</v>
      </c>
      <c r="I96" s="13">
        <f>K85</f>
        <v>9.7539847166511606</v>
      </c>
      <c r="J96" s="13">
        <f>K90</f>
        <v>0.40255813953488367</v>
      </c>
      <c r="K96" s="98">
        <f>SUM(A96:J96)</f>
        <v>53.865014010493013</v>
      </c>
      <c r="L96" s="111"/>
    </row>
    <row r="97" spans="1:12" s="9" customFormat="1" ht="9" customHeight="1" x14ac:dyDescent="0.25"/>
    <row r="98" spans="1:12" s="9" customFormat="1" x14ac:dyDescent="0.25">
      <c r="A98" s="20" t="s">
        <v>64</v>
      </c>
      <c r="B98" s="20"/>
      <c r="C98" s="20"/>
      <c r="D98" s="20"/>
      <c r="E98" s="20"/>
      <c r="F98" s="20" t="s">
        <v>65</v>
      </c>
      <c r="G98" s="20"/>
    </row>
    <row r="99" spans="1:12" s="9" customFormat="1" x14ac:dyDescent="0.25">
      <c r="A99" s="20"/>
      <c r="B99" s="20"/>
      <c r="C99" s="3"/>
      <c r="D99" s="4"/>
      <c r="E99" s="4"/>
      <c r="F99" s="4"/>
      <c r="G99" s="4"/>
      <c r="I99" s="56">
        <f>I90+I85+I77+I70+I64+I54+I43</f>
        <v>2316.1956024512001</v>
      </c>
      <c r="L99" s="56">
        <f>(K96*43)</f>
        <v>2316.1956024511996</v>
      </c>
    </row>
    <row r="100" spans="1:12" s="9" customFormat="1" ht="4.5" customHeight="1" x14ac:dyDescent="0.25"/>
    <row r="101" spans="1:12" s="9" customFormat="1" x14ac:dyDescent="0.25">
      <c r="A101" s="20" t="s">
        <v>104</v>
      </c>
      <c r="B101" s="7"/>
      <c r="I101" s="40"/>
      <c r="L101" s="40"/>
    </row>
    <row r="102" spans="1:12" s="9" customFormat="1" x14ac:dyDescent="0.25">
      <c r="A102" s="20" t="s">
        <v>66</v>
      </c>
      <c r="B102" s="7"/>
      <c r="I102" s="40"/>
      <c r="L102" s="40"/>
    </row>
    <row r="103" spans="1:12" x14ac:dyDescent="0.25">
      <c r="I103" s="41"/>
      <c r="L103" s="55"/>
    </row>
    <row r="104" spans="1:12" x14ac:dyDescent="0.25">
      <c r="H104" s="52"/>
      <c r="I104" s="41"/>
    </row>
  </sheetData>
  <mergeCells count="84">
    <mergeCell ref="A63:E63"/>
    <mergeCell ref="A58:E58"/>
    <mergeCell ref="A73:E73"/>
    <mergeCell ref="A74:E74"/>
    <mergeCell ref="A61:E61"/>
    <mergeCell ref="A62:E62"/>
    <mergeCell ref="A72:L72"/>
    <mergeCell ref="A67:E67"/>
    <mergeCell ref="A68:E68"/>
    <mergeCell ref="A69:E69"/>
    <mergeCell ref="A70:H70"/>
    <mergeCell ref="A18:E18"/>
    <mergeCell ref="A28:E28"/>
    <mergeCell ref="G28:K28"/>
    <mergeCell ref="A45:L45"/>
    <mergeCell ref="A43:E43"/>
    <mergeCell ref="A39:E39"/>
    <mergeCell ref="A40:E40"/>
    <mergeCell ref="A41:E41"/>
    <mergeCell ref="A42:E42"/>
    <mergeCell ref="A33:E33"/>
    <mergeCell ref="A34:E34"/>
    <mergeCell ref="A35:E35"/>
    <mergeCell ref="A36:E36"/>
    <mergeCell ref="G30:K30"/>
    <mergeCell ref="A27:E27"/>
    <mergeCell ref="A29:E29"/>
    <mergeCell ref="K96:L96"/>
    <mergeCell ref="A94:C94"/>
    <mergeCell ref="K94:L95"/>
    <mergeCell ref="A84:E84"/>
    <mergeCell ref="A89:E89"/>
    <mergeCell ref="A87:L87"/>
    <mergeCell ref="A88:E88"/>
    <mergeCell ref="A90:H90"/>
    <mergeCell ref="A85:E85"/>
    <mergeCell ref="A37:E37"/>
    <mergeCell ref="A38:E38"/>
    <mergeCell ref="A82:E82"/>
    <mergeCell ref="A81:E81"/>
    <mergeCell ref="A49:E49"/>
    <mergeCell ref="A50:E50"/>
    <mergeCell ref="A52:E52"/>
    <mergeCell ref="A53:E53"/>
    <mergeCell ref="A54:H54"/>
    <mergeCell ref="A64:H64"/>
    <mergeCell ref="A59:E59"/>
    <mergeCell ref="A60:E60"/>
    <mergeCell ref="A56:L56"/>
    <mergeCell ref="A66:L66"/>
    <mergeCell ref="A77:H77"/>
    <mergeCell ref="A76:E76"/>
    <mergeCell ref="A83:E83"/>
    <mergeCell ref="A5:F5"/>
    <mergeCell ref="A6:D6"/>
    <mergeCell ref="A8:M8"/>
    <mergeCell ref="A9:M9"/>
    <mergeCell ref="A10:M10"/>
    <mergeCell ref="A19:E19"/>
    <mergeCell ref="G18:K18"/>
    <mergeCell ref="A20:E20"/>
    <mergeCell ref="G19:K19"/>
    <mergeCell ref="A21:E21"/>
    <mergeCell ref="G20:K20"/>
    <mergeCell ref="A22:E22"/>
    <mergeCell ref="G21:K21"/>
    <mergeCell ref="A23:E23"/>
    <mergeCell ref="G22:K22"/>
    <mergeCell ref="A51:E51"/>
    <mergeCell ref="A75:E75"/>
    <mergeCell ref="A17:E17"/>
    <mergeCell ref="G17:K17"/>
    <mergeCell ref="A79:L79"/>
    <mergeCell ref="A24:E24"/>
    <mergeCell ref="G23:K23"/>
    <mergeCell ref="G27:K27"/>
    <mergeCell ref="G29:K29"/>
    <mergeCell ref="A30:E30"/>
    <mergeCell ref="A25:E25"/>
    <mergeCell ref="G24:K24"/>
    <mergeCell ref="A26:E26"/>
    <mergeCell ref="G25:K25"/>
    <mergeCell ref="G26:K26"/>
    <mergeCell ref="A48:E48"/>
  </mergeCells>
  <pageMargins left="0.31496062992125984" right="0.31496062992125984" top="0.55118110236220474" bottom="0.55118110236220474" header="0.31496062992125984" footer="0.31496062992125984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03"/>
  <sheetViews>
    <sheetView view="pageBreakPreview" zoomScale="60" zoomScaleNormal="90" workbookViewId="0">
      <selection activeCell="J73" sqref="J73"/>
    </sheetView>
  </sheetViews>
  <sheetFormatPr defaultRowHeight="15" x14ac:dyDescent="0.25"/>
  <cols>
    <col min="5" max="5" width="13.7109375" customWidth="1"/>
    <col min="6" max="6" width="12" customWidth="1"/>
    <col min="7" max="7" width="11.140625" customWidth="1"/>
    <col min="8" max="8" width="14.140625" customWidth="1"/>
    <col min="9" max="9" width="13.7109375" customWidth="1"/>
    <col min="10" max="10" width="13.5703125" customWidth="1"/>
    <col min="11" max="11" width="14.42578125" customWidth="1"/>
    <col min="12" max="12" width="13.42578125" customWidth="1"/>
    <col min="13" max="13" width="13.85546875" customWidth="1"/>
  </cols>
  <sheetData>
    <row r="2" spans="1:13" ht="15.75" x14ac:dyDescent="0.25">
      <c r="A2" s="2" t="s">
        <v>61</v>
      </c>
      <c r="B2" s="2"/>
      <c r="C2" s="3"/>
      <c r="D2" s="4"/>
    </row>
    <row r="3" spans="1:13" ht="15.75" x14ac:dyDescent="0.25">
      <c r="A3" s="25" t="s">
        <v>62</v>
      </c>
      <c r="B3" s="25"/>
      <c r="C3" s="3"/>
      <c r="D3" s="4"/>
    </row>
    <row r="4" spans="1:13" x14ac:dyDescent="0.25">
      <c r="A4" s="6"/>
      <c r="B4" s="7"/>
      <c r="C4" s="3"/>
      <c r="D4" s="4"/>
    </row>
    <row r="5" spans="1:13" ht="15.75" x14ac:dyDescent="0.25">
      <c r="A5" s="79" t="s">
        <v>63</v>
      </c>
      <c r="B5" s="79"/>
      <c r="C5" s="79"/>
      <c r="D5" s="79"/>
      <c r="E5" s="79"/>
      <c r="F5" s="79"/>
    </row>
    <row r="6" spans="1:13" ht="15.75" x14ac:dyDescent="0.25">
      <c r="A6" s="81" t="s">
        <v>99</v>
      </c>
      <c r="B6" s="81"/>
      <c r="C6" s="81"/>
      <c r="D6" s="81"/>
    </row>
    <row r="7" spans="1:13" ht="15.75" x14ac:dyDescent="0.25">
      <c r="A7" s="26"/>
      <c r="B7" s="26"/>
      <c r="C7" s="26"/>
      <c r="D7" s="2"/>
    </row>
    <row r="9" spans="1:13" ht="15.75" x14ac:dyDescent="0.25">
      <c r="A9" s="86" t="s">
        <v>60</v>
      </c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</row>
    <row r="10" spans="1:13" ht="15.75" x14ac:dyDescent="0.25">
      <c r="A10" s="86" t="s">
        <v>93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</row>
    <row r="11" spans="1:13" ht="15.75" x14ac:dyDescent="0.25">
      <c r="A11" s="86" t="s">
        <v>103</v>
      </c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</row>
    <row r="13" spans="1:13" s="9" customFormat="1" x14ac:dyDescent="0.25">
      <c r="A13" s="10" t="s">
        <v>67</v>
      </c>
    </row>
    <row r="14" spans="1:13" s="9" customFormat="1" x14ac:dyDescent="0.25">
      <c r="A14" s="10" t="s">
        <v>95</v>
      </c>
    </row>
    <row r="15" spans="1:13" s="9" customFormat="1" x14ac:dyDescent="0.25">
      <c r="A15" s="10" t="s">
        <v>106</v>
      </c>
    </row>
    <row r="16" spans="1:13" s="9" customFormat="1" x14ac:dyDescent="0.25">
      <c r="A16" s="10" t="s">
        <v>109</v>
      </c>
    </row>
    <row r="17" spans="1:12" x14ac:dyDescent="0.25">
      <c r="A17" s="10" t="s">
        <v>74</v>
      </c>
      <c r="B17" s="9"/>
      <c r="C17" s="9"/>
      <c r="D17" s="9"/>
      <c r="E17" s="9"/>
    </row>
    <row r="18" spans="1:12" s="9" customFormat="1" ht="30" customHeight="1" x14ac:dyDescent="0.25">
      <c r="A18" s="112" t="s">
        <v>0</v>
      </c>
      <c r="B18" s="113"/>
      <c r="C18" s="113"/>
      <c r="D18" s="113"/>
      <c r="E18" s="114"/>
      <c r="F18" s="38" t="s">
        <v>1</v>
      </c>
      <c r="G18" s="112" t="s">
        <v>2</v>
      </c>
      <c r="H18" s="113"/>
      <c r="I18" s="113"/>
      <c r="J18" s="113"/>
      <c r="K18" s="114"/>
      <c r="L18" s="1" t="s">
        <v>1</v>
      </c>
    </row>
    <row r="19" spans="1:12" s="9" customFormat="1" x14ac:dyDescent="0.25">
      <c r="A19" s="82" t="s">
        <v>6</v>
      </c>
      <c r="B19" s="83"/>
      <c r="C19" s="83"/>
      <c r="D19" s="83"/>
      <c r="E19" s="84"/>
      <c r="F19" s="1">
        <v>0.28999999999999998</v>
      </c>
      <c r="G19" s="82" t="s">
        <v>5</v>
      </c>
      <c r="H19" s="83"/>
      <c r="I19" s="83"/>
      <c r="J19" s="83"/>
      <c r="K19" s="84"/>
      <c r="L19" s="13">
        <v>0.28999999999999998</v>
      </c>
    </row>
    <row r="20" spans="1:12" s="9" customFormat="1" x14ac:dyDescent="0.25">
      <c r="A20" s="82" t="s">
        <v>3</v>
      </c>
      <c r="B20" s="83"/>
      <c r="C20" s="83"/>
      <c r="D20" s="83"/>
      <c r="E20" s="84"/>
      <c r="F20" s="1">
        <v>0.28999999999999998</v>
      </c>
      <c r="G20" s="82" t="s">
        <v>9</v>
      </c>
      <c r="H20" s="83"/>
      <c r="I20" s="83"/>
      <c r="J20" s="83"/>
      <c r="K20" s="84"/>
      <c r="L20" s="77">
        <v>0.14499999999999999</v>
      </c>
    </row>
    <row r="21" spans="1:12" s="9" customFormat="1" x14ac:dyDescent="0.25">
      <c r="A21" s="82" t="s">
        <v>4</v>
      </c>
      <c r="B21" s="83"/>
      <c r="C21" s="83"/>
      <c r="D21" s="83"/>
      <c r="E21" s="84"/>
      <c r="F21" s="1">
        <v>0.28999999999999998</v>
      </c>
      <c r="G21" s="82" t="s">
        <v>8</v>
      </c>
      <c r="H21" s="83"/>
      <c r="I21" s="83"/>
      <c r="J21" s="83"/>
      <c r="K21" s="84"/>
      <c r="L21" s="13">
        <v>0.28999999999999998</v>
      </c>
    </row>
    <row r="22" spans="1:12" s="9" customFormat="1" x14ac:dyDescent="0.25">
      <c r="A22" s="82" t="s">
        <v>11</v>
      </c>
      <c r="B22" s="83"/>
      <c r="C22" s="83"/>
      <c r="D22" s="83"/>
      <c r="E22" s="84"/>
      <c r="F22" s="1">
        <v>0.28999999999999998</v>
      </c>
      <c r="G22" s="82"/>
      <c r="H22" s="83"/>
      <c r="I22" s="83"/>
      <c r="J22" s="83"/>
      <c r="K22" s="84"/>
      <c r="L22" s="1"/>
    </row>
    <row r="23" spans="1:12" s="9" customFormat="1" x14ac:dyDescent="0.25">
      <c r="A23" s="82" t="s">
        <v>7</v>
      </c>
      <c r="B23" s="83"/>
      <c r="C23" s="83"/>
      <c r="D23" s="83"/>
      <c r="E23" s="84"/>
      <c r="F23" s="1">
        <v>0.28999999999999998</v>
      </c>
      <c r="G23" s="82"/>
      <c r="H23" s="83"/>
      <c r="I23" s="83"/>
      <c r="J23" s="83"/>
      <c r="K23" s="84"/>
      <c r="L23" s="1"/>
    </row>
    <row r="24" spans="1:12" s="9" customFormat="1" x14ac:dyDescent="0.25">
      <c r="A24" s="82" t="s">
        <v>10</v>
      </c>
      <c r="B24" s="83"/>
      <c r="C24" s="83"/>
      <c r="D24" s="83"/>
      <c r="E24" s="84"/>
      <c r="F24" s="1">
        <v>0.28999999999999998</v>
      </c>
      <c r="G24" s="82"/>
      <c r="H24" s="83"/>
      <c r="I24" s="83"/>
      <c r="J24" s="83"/>
      <c r="K24" s="84"/>
      <c r="L24" s="1"/>
    </row>
    <row r="25" spans="1:12" s="9" customFormat="1" x14ac:dyDescent="0.25">
      <c r="A25" s="82" t="s">
        <v>12</v>
      </c>
      <c r="B25" s="83"/>
      <c r="C25" s="83"/>
      <c r="D25" s="83"/>
      <c r="E25" s="84"/>
      <c r="F25" s="1">
        <v>0.28999999999999998</v>
      </c>
      <c r="G25" s="82"/>
      <c r="H25" s="83"/>
      <c r="I25" s="83"/>
      <c r="J25" s="83"/>
      <c r="K25" s="84"/>
      <c r="L25" s="1"/>
    </row>
    <row r="26" spans="1:12" s="9" customFormat="1" x14ac:dyDescent="0.25">
      <c r="A26" s="82" t="s">
        <v>13</v>
      </c>
      <c r="B26" s="83"/>
      <c r="C26" s="83"/>
      <c r="D26" s="83"/>
      <c r="E26" s="84"/>
      <c r="F26" s="1">
        <v>0.28999999999999998</v>
      </c>
      <c r="G26" s="82"/>
      <c r="H26" s="83"/>
      <c r="I26" s="83"/>
      <c r="J26" s="83"/>
      <c r="K26" s="84"/>
      <c r="L26" s="1"/>
    </row>
    <row r="27" spans="1:12" s="9" customFormat="1" x14ac:dyDescent="0.25">
      <c r="A27" s="82" t="s">
        <v>57</v>
      </c>
      <c r="B27" s="83"/>
      <c r="C27" s="83"/>
      <c r="D27" s="83"/>
      <c r="E27" s="84"/>
      <c r="F27" s="1">
        <v>0.28999999999999998</v>
      </c>
      <c r="G27" s="82"/>
      <c r="H27" s="83"/>
      <c r="I27" s="83"/>
      <c r="J27" s="83"/>
      <c r="K27" s="84"/>
      <c r="L27" s="1"/>
    </row>
    <row r="28" spans="1:12" s="9" customFormat="1" ht="11.25" customHeight="1" x14ac:dyDescent="0.25">
      <c r="A28" s="103"/>
      <c r="B28" s="104"/>
      <c r="C28" s="104"/>
      <c r="D28" s="104"/>
      <c r="E28" s="105"/>
      <c r="F28" s="1"/>
      <c r="G28" s="88"/>
      <c r="H28" s="89"/>
      <c r="I28" s="89"/>
      <c r="J28" s="89"/>
      <c r="K28" s="90"/>
      <c r="L28" s="11"/>
    </row>
    <row r="29" spans="1:12" s="9" customFormat="1" ht="11.25" customHeight="1" x14ac:dyDescent="0.25">
      <c r="A29" s="103"/>
      <c r="B29" s="104"/>
      <c r="C29" s="104"/>
      <c r="D29" s="104"/>
      <c r="E29" s="105"/>
      <c r="F29" s="1"/>
      <c r="G29" s="88"/>
      <c r="H29" s="89"/>
      <c r="I29" s="89"/>
      <c r="J29" s="89"/>
      <c r="K29" s="90"/>
      <c r="L29" s="11"/>
    </row>
    <row r="30" spans="1:12" s="9" customFormat="1" ht="11.25" customHeight="1" x14ac:dyDescent="0.25">
      <c r="A30" s="103"/>
      <c r="B30" s="104"/>
      <c r="C30" s="104"/>
      <c r="D30" s="104"/>
      <c r="E30" s="105"/>
      <c r="F30" s="1"/>
      <c r="G30" s="88"/>
      <c r="H30" s="89"/>
      <c r="I30" s="89"/>
      <c r="J30" s="89"/>
      <c r="K30" s="90"/>
      <c r="L30" s="11"/>
    </row>
    <row r="31" spans="1:12" s="10" customFormat="1" ht="14.25" x14ac:dyDescent="0.2">
      <c r="A31" s="115" t="s">
        <v>14</v>
      </c>
      <c r="B31" s="116"/>
      <c r="C31" s="116"/>
      <c r="D31" s="116"/>
      <c r="E31" s="117"/>
      <c r="F31" s="62">
        <f>SUM(F19:F30)</f>
        <v>2.61</v>
      </c>
      <c r="G31" s="115" t="s">
        <v>14</v>
      </c>
      <c r="H31" s="116"/>
      <c r="I31" s="116"/>
      <c r="J31" s="116"/>
      <c r="K31" s="117"/>
      <c r="L31" s="57">
        <f>SUM(L19:L30)</f>
        <v>0.72499999999999987</v>
      </c>
    </row>
    <row r="32" spans="1:12" s="9" customFormat="1" x14ac:dyDescent="0.25"/>
    <row r="33" spans="1:12" s="9" customFormat="1" x14ac:dyDescent="0.25">
      <c r="A33" s="10" t="s">
        <v>59</v>
      </c>
      <c r="F33" s="9">
        <v>22000</v>
      </c>
    </row>
    <row r="34" spans="1:12" s="9" customFormat="1" ht="75" x14ac:dyDescent="0.25">
      <c r="A34" s="103" t="s">
        <v>15</v>
      </c>
      <c r="B34" s="104"/>
      <c r="C34" s="104"/>
      <c r="D34" s="104"/>
      <c r="E34" s="105"/>
      <c r="F34" s="31" t="s">
        <v>16</v>
      </c>
      <c r="G34" s="31" t="s">
        <v>1</v>
      </c>
      <c r="H34" s="31" t="s">
        <v>75</v>
      </c>
      <c r="I34" s="31" t="s">
        <v>76</v>
      </c>
      <c r="J34" s="31" t="s">
        <v>77</v>
      </c>
      <c r="K34" s="69" t="s">
        <v>78</v>
      </c>
      <c r="L34" s="71"/>
    </row>
    <row r="35" spans="1:12" s="9" customFormat="1" x14ac:dyDescent="0.25">
      <c r="A35" s="82" t="s">
        <v>6</v>
      </c>
      <c r="B35" s="83"/>
      <c r="C35" s="83"/>
      <c r="D35" s="83"/>
      <c r="E35" s="84"/>
      <c r="F35" s="1">
        <f>'Услуга №1 '!F34</f>
        <v>21778.37</v>
      </c>
      <c r="G35" s="1">
        <f>F19</f>
        <v>0.28999999999999998</v>
      </c>
      <c r="H35" s="1">
        <f t="shared" ref="H35:H43" si="0">F35*G35*12</f>
        <v>75788.727599999998</v>
      </c>
      <c r="I35" s="13">
        <f>H35*1.302</f>
        <v>98676.923335200001</v>
      </c>
      <c r="J35" s="23">
        <f>F33</f>
        <v>22000</v>
      </c>
      <c r="K35" s="67">
        <f>I35/J35</f>
        <v>4.4853146970545454</v>
      </c>
      <c r="L35" s="72"/>
    </row>
    <row r="36" spans="1:12" s="9" customFormat="1" x14ac:dyDescent="0.25">
      <c r="A36" s="82" t="s">
        <v>3</v>
      </c>
      <c r="B36" s="83"/>
      <c r="C36" s="83"/>
      <c r="D36" s="83"/>
      <c r="E36" s="84"/>
      <c r="F36" s="1">
        <f>'Услуга №1 '!F35</f>
        <v>15601.33</v>
      </c>
      <c r="G36" s="1">
        <f t="shared" ref="G36:G43" si="1">F20</f>
        <v>0.28999999999999998</v>
      </c>
      <c r="H36" s="1">
        <f t="shared" si="0"/>
        <v>54292.628400000001</v>
      </c>
      <c r="I36" s="13">
        <f t="shared" ref="I36:I43" si="2">H36*1.302</f>
        <v>70689.002176800001</v>
      </c>
      <c r="J36" s="23">
        <f>J35</f>
        <v>22000</v>
      </c>
      <c r="K36" s="67">
        <f t="shared" ref="K36:K43" si="3">I36/J36</f>
        <v>3.2131364625818182</v>
      </c>
      <c r="L36" s="72"/>
    </row>
    <row r="37" spans="1:12" s="9" customFormat="1" x14ac:dyDescent="0.25">
      <c r="A37" s="82" t="s">
        <v>4</v>
      </c>
      <c r="B37" s="83"/>
      <c r="C37" s="83"/>
      <c r="D37" s="83"/>
      <c r="E37" s="84"/>
      <c r="F37" s="1">
        <f>'Услуга №1 '!F36</f>
        <v>16065.33</v>
      </c>
      <c r="G37" s="1">
        <f t="shared" si="1"/>
        <v>0.28999999999999998</v>
      </c>
      <c r="H37" s="1">
        <f t="shared" si="0"/>
        <v>55907.348399999988</v>
      </c>
      <c r="I37" s="13">
        <f t="shared" si="2"/>
        <v>72791.36761679998</v>
      </c>
      <c r="J37" s="23">
        <f>J36</f>
        <v>22000</v>
      </c>
      <c r="K37" s="67">
        <f t="shared" si="3"/>
        <v>3.3086985280363628</v>
      </c>
      <c r="L37" s="72"/>
    </row>
    <row r="38" spans="1:12" s="9" customFormat="1" x14ac:dyDescent="0.25">
      <c r="A38" s="82" t="s">
        <v>11</v>
      </c>
      <c r="B38" s="83"/>
      <c r="C38" s="83"/>
      <c r="D38" s="83"/>
      <c r="E38" s="84"/>
      <c r="F38" s="1">
        <f>'Услуга №1 '!F37</f>
        <v>14072.442999999999</v>
      </c>
      <c r="G38" s="1">
        <f t="shared" si="1"/>
        <v>0.28999999999999998</v>
      </c>
      <c r="H38" s="1">
        <f t="shared" si="0"/>
        <v>48972.101639999993</v>
      </c>
      <c r="I38" s="13">
        <f t="shared" si="2"/>
        <v>63761.676335279997</v>
      </c>
      <c r="J38" s="23">
        <f>J36</f>
        <v>22000</v>
      </c>
      <c r="K38" s="67">
        <f t="shared" si="3"/>
        <v>2.8982580152399997</v>
      </c>
      <c r="L38" s="72"/>
    </row>
    <row r="39" spans="1:12" s="9" customFormat="1" x14ac:dyDescent="0.25">
      <c r="A39" s="82" t="s">
        <v>7</v>
      </c>
      <c r="B39" s="83"/>
      <c r="C39" s="83"/>
      <c r="D39" s="83"/>
      <c r="E39" s="84"/>
      <c r="F39" s="1">
        <f>'Услуга №1 '!F38</f>
        <v>13589.6</v>
      </c>
      <c r="G39" s="1">
        <f t="shared" si="1"/>
        <v>0.28999999999999998</v>
      </c>
      <c r="H39" s="1">
        <f t="shared" si="0"/>
        <v>47291.807999999997</v>
      </c>
      <c r="I39" s="13">
        <f t="shared" si="2"/>
        <v>61573.934015999999</v>
      </c>
      <c r="J39" s="23">
        <f>J37</f>
        <v>22000</v>
      </c>
      <c r="K39" s="67">
        <f t="shared" si="3"/>
        <v>2.7988151825454546</v>
      </c>
      <c r="L39" s="72"/>
    </row>
    <row r="40" spans="1:12" s="9" customFormat="1" x14ac:dyDescent="0.25">
      <c r="A40" s="82" t="s">
        <v>10</v>
      </c>
      <c r="B40" s="83"/>
      <c r="C40" s="83"/>
      <c r="D40" s="83"/>
      <c r="E40" s="84"/>
      <c r="F40" s="1">
        <f>'Услуга №1 '!F39</f>
        <v>6930.4</v>
      </c>
      <c r="G40" s="1">
        <f t="shared" si="1"/>
        <v>0.28999999999999998</v>
      </c>
      <c r="H40" s="1">
        <f t="shared" si="0"/>
        <v>24117.791999999998</v>
      </c>
      <c r="I40" s="13">
        <f t="shared" si="2"/>
        <v>31401.365183999998</v>
      </c>
      <c r="J40" s="23">
        <f>J38</f>
        <v>22000</v>
      </c>
      <c r="K40" s="67">
        <f t="shared" si="3"/>
        <v>1.4273347810909089</v>
      </c>
      <c r="L40" s="72"/>
    </row>
    <row r="41" spans="1:12" s="9" customFormat="1" ht="15" customHeight="1" x14ac:dyDescent="0.25">
      <c r="A41" s="88" t="s">
        <v>12</v>
      </c>
      <c r="B41" s="89"/>
      <c r="C41" s="89"/>
      <c r="D41" s="89"/>
      <c r="E41" s="90"/>
      <c r="F41" s="14">
        <f>'Услуга №1 '!F41</f>
        <v>13589.6</v>
      </c>
      <c r="G41" s="1">
        <f t="shared" si="1"/>
        <v>0.28999999999999998</v>
      </c>
      <c r="H41" s="1">
        <f t="shared" si="0"/>
        <v>47291.807999999997</v>
      </c>
      <c r="I41" s="13">
        <f t="shared" si="2"/>
        <v>61573.934015999999</v>
      </c>
      <c r="J41" s="23">
        <f>J39</f>
        <v>22000</v>
      </c>
      <c r="K41" s="67">
        <f t="shared" si="3"/>
        <v>2.7988151825454546</v>
      </c>
      <c r="L41" s="72"/>
    </row>
    <row r="42" spans="1:12" s="9" customFormat="1" x14ac:dyDescent="0.25">
      <c r="A42" s="88" t="s">
        <v>13</v>
      </c>
      <c r="B42" s="89"/>
      <c r="C42" s="89"/>
      <c r="D42" s="89"/>
      <c r="E42" s="90"/>
      <c r="F42" s="14">
        <f>'Услуга №1 '!F82</f>
        <v>17731.994999999999</v>
      </c>
      <c r="G42" s="1">
        <f t="shared" si="1"/>
        <v>0.28999999999999998</v>
      </c>
      <c r="H42" s="1">
        <f t="shared" si="0"/>
        <v>61707.342599999989</v>
      </c>
      <c r="I42" s="13">
        <f t="shared" si="2"/>
        <v>80342.960065199994</v>
      </c>
      <c r="J42" s="23">
        <f>J40</f>
        <v>22000</v>
      </c>
      <c r="K42" s="67">
        <f t="shared" si="3"/>
        <v>3.6519527302363635</v>
      </c>
      <c r="L42" s="72"/>
    </row>
    <row r="43" spans="1:12" s="9" customFormat="1" x14ac:dyDescent="0.25">
      <c r="A43" s="82" t="s">
        <v>57</v>
      </c>
      <c r="B43" s="83"/>
      <c r="C43" s="83"/>
      <c r="D43" s="83"/>
      <c r="E43" s="84"/>
      <c r="F43" s="14">
        <f>'Услуга №1 '!F43</f>
        <v>17517.915000000001</v>
      </c>
      <c r="G43" s="1">
        <f t="shared" si="1"/>
        <v>0.28999999999999998</v>
      </c>
      <c r="H43" s="1">
        <f t="shared" si="0"/>
        <v>60962.3442</v>
      </c>
      <c r="I43" s="13">
        <f t="shared" si="2"/>
        <v>79372.972148400004</v>
      </c>
      <c r="J43" s="23">
        <f>J42</f>
        <v>22000</v>
      </c>
      <c r="K43" s="67">
        <f t="shared" si="3"/>
        <v>3.6078623703818185</v>
      </c>
      <c r="L43" s="72"/>
    </row>
    <row r="44" spans="1:12" s="9" customFormat="1" ht="27" customHeight="1" x14ac:dyDescent="0.25">
      <c r="A44" s="94" t="s">
        <v>71</v>
      </c>
      <c r="B44" s="95"/>
      <c r="C44" s="95"/>
      <c r="D44" s="95"/>
      <c r="E44" s="96"/>
      <c r="F44" s="1"/>
      <c r="G44" s="62">
        <f>SUM(G35:G43)</f>
        <v>2.61</v>
      </c>
      <c r="H44" s="1"/>
      <c r="I44" s="51">
        <f>SUM(I35:I43)</f>
        <v>620184.13489367999</v>
      </c>
      <c r="J44" s="68">
        <f>J43</f>
        <v>22000</v>
      </c>
      <c r="K44" s="75">
        <f>SUM(K35:K43)</f>
        <v>28.190187949712723</v>
      </c>
      <c r="L44" s="72"/>
    </row>
    <row r="45" spans="1:12" s="9" customFormat="1" x14ac:dyDescent="0.25">
      <c r="A45" s="15"/>
      <c r="B45" s="15"/>
      <c r="C45" s="15"/>
      <c r="D45" s="15"/>
      <c r="E45" s="15"/>
      <c r="F45" s="16"/>
      <c r="G45" s="16"/>
      <c r="H45" s="16"/>
      <c r="I45" s="16"/>
      <c r="J45" s="17"/>
      <c r="K45" s="16"/>
      <c r="L45" s="17"/>
    </row>
    <row r="46" spans="1:12" s="9" customFormat="1" x14ac:dyDescent="0.25">
      <c r="A46" s="93" t="s">
        <v>18</v>
      </c>
      <c r="B46" s="93"/>
      <c r="C46" s="93"/>
      <c r="D46" s="93"/>
      <c r="E46" s="93"/>
      <c r="F46" s="93"/>
      <c r="G46" s="93"/>
      <c r="H46" s="93"/>
      <c r="I46" s="93"/>
      <c r="J46" s="93"/>
      <c r="K46" s="93"/>
      <c r="L46" s="93"/>
    </row>
    <row r="47" spans="1:12" s="9" customFormat="1" hidden="1" x14ac:dyDescent="0.25"/>
    <row r="48" spans="1:12" s="9" customFormat="1" ht="60" customHeight="1" x14ac:dyDescent="0.25">
      <c r="A48" s="92" t="s">
        <v>19</v>
      </c>
      <c r="B48" s="92"/>
      <c r="C48" s="92"/>
      <c r="D48" s="92"/>
      <c r="E48" s="92"/>
      <c r="F48" s="31" t="s">
        <v>17</v>
      </c>
      <c r="G48" s="31" t="s">
        <v>70</v>
      </c>
      <c r="H48" s="31" t="s">
        <v>69</v>
      </c>
      <c r="I48" s="31" t="s">
        <v>82</v>
      </c>
      <c r="J48" s="31" t="s">
        <v>77</v>
      </c>
      <c r="K48" s="33" t="s">
        <v>78</v>
      </c>
      <c r="L48" s="45"/>
    </row>
    <row r="49" spans="1:14" s="9" customFormat="1" x14ac:dyDescent="0.25">
      <c r="A49" s="85" t="s">
        <v>20</v>
      </c>
      <c r="B49" s="85"/>
      <c r="C49" s="85"/>
      <c r="D49" s="85"/>
      <c r="E49" s="85"/>
      <c r="F49" s="1" t="s">
        <v>24</v>
      </c>
      <c r="G49" s="13">
        <f>I49/H49</f>
        <v>2320</v>
      </c>
      <c r="H49" s="13">
        <f>'Услуга №1 '!H49</f>
        <v>7.45</v>
      </c>
      <c r="I49" s="13">
        <f>59600*29%</f>
        <v>17284</v>
      </c>
      <c r="J49" s="23">
        <f>F33</f>
        <v>22000</v>
      </c>
      <c r="K49" s="13">
        <f>I49/J49</f>
        <v>0.78563636363636369</v>
      </c>
      <c r="L49" s="17"/>
      <c r="N49" s="17"/>
    </row>
    <row r="50" spans="1:14" s="9" customFormat="1" x14ac:dyDescent="0.25">
      <c r="A50" s="85" t="s">
        <v>21</v>
      </c>
      <c r="B50" s="85"/>
      <c r="C50" s="85"/>
      <c r="D50" s="85"/>
      <c r="E50" s="85"/>
      <c r="F50" s="1" t="s">
        <v>25</v>
      </c>
      <c r="G50" s="13">
        <f>I50/H50</f>
        <v>46.4</v>
      </c>
      <c r="H50" s="13">
        <f>'Услуга №1 '!H50</f>
        <v>1875</v>
      </c>
      <c r="I50" s="13">
        <f>300000*29%</f>
        <v>87000</v>
      </c>
      <c r="J50" s="23">
        <f>J49</f>
        <v>22000</v>
      </c>
      <c r="K50" s="13">
        <f t="shared" ref="K50:K53" si="4">I50/J50</f>
        <v>3.9545454545454546</v>
      </c>
      <c r="L50" s="17"/>
      <c r="N50" s="17"/>
    </row>
    <row r="51" spans="1:14" s="9" customFormat="1" x14ac:dyDescent="0.25">
      <c r="A51" s="85" t="s">
        <v>100</v>
      </c>
      <c r="B51" s="85"/>
      <c r="C51" s="85"/>
      <c r="D51" s="85"/>
      <c r="E51" s="85"/>
      <c r="F51" s="1" t="s">
        <v>25</v>
      </c>
      <c r="G51" s="13">
        <f>I51/H51</f>
        <v>27.114944400825312</v>
      </c>
      <c r="H51" s="13">
        <f>'Услуга №1 '!H51</f>
        <v>1643.01</v>
      </c>
      <c r="I51" s="13">
        <f>153621.12*29%</f>
        <v>44550.124799999998</v>
      </c>
      <c r="J51" s="23">
        <f>J50</f>
        <v>22000</v>
      </c>
      <c r="K51" s="13">
        <f t="shared" ref="K51" si="5">I51/J51</f>
        <v>2.0250056727272727</v>
      </c>
      <c r="L51" s="17"/>
      <c r="N51" s="17"/>
    </row>
    <row r="52" spans="1:14" s="9" customFormat="1" x14ac:dyDescent="0.25">
      <c r="A52" s="85" t="s">
        <v>22</v>
      </c>
      <c r="B52" s="85"/>
      <c r="C52" s="85"/>
      <c r="D52" s="85"/>
      <c r="E52" s="85"/>
      <c r="F52" s="1" t="s">
        <v>26</v>
      </c>
      <c r="G52" s="13">
        <f>I52/H52</f>
        <v>29.153723920426977</v>
      </c>
      <c r="H52" s="13">
        <f>'Услуга №1 '!H52</f>
        <v>41.22</v>
      </c>
      <c r="I52" s="13">
        <f>4143.85*29%</f>
        <v>1201.7165</v>
      </c>
      <c r="J52" s="23">
        <f>J51</f>
        <v>22000</v>
      </c>
      <c r="K52" s="13">
        <f t="shared" si="4"/>
        <v>5.4623477272727275E-2</v>
      </c>
      <c r="L52" s="17"/>
      <c r="M52" s="18"/>
      <c r="N52" s="17"/>
    </row>
    <row r="53" spans="1:14" s="9" customFormat="1" x14ac:dyDescent="0.25">
      <c r="A53" s="85" t="s">
        <v>23</v>
      </c>
      <c r="B53" s="85"/>
      <c r="C53" s="85"/>
      <c r="D53" s="85"/>
      <c r="E53" s="85"/>
      <c r="F53" s="1" t="s">
        <v>26</v>
      </c>
      <c r="G53" s="13">
        <f>I53/H53</f>
        <v>29.160576374018554</v>
      </c>
      <c r="H53" s="13">
        <f>'Услуга №1 '!H53</f>
        <v>56.04</v>
      </c>
      <c r="I53" s="13">
        <f>5635.03*29%</f>
        <v>1634.1586999999997</v>
      </c>
      <c r="J53" s="23">
        <f>J52</f>
        <v>22000</v>
      </c>
      <c r="K53" s="13">
        <f t="shared" si="4"/>
        <v>7.4279940909090902E-2</v>
      </c>
      <c r="L53" s="17"/>
      <c r="N53" s="17"/>
    </row>
    <row r="54" spans="1:14" s="9" customFormat="1" x14ac:dyDescent="0.25">
      <c r="A54" s="100" t="s">
        <v>72</v>
      </c>
      <c r="B54" s="101"/>
      <c r="C54" s="101"/>
      <c r="D54" s="101"/>
      <c r="E54" s="101"/>
      <c r="F54" s="101"/>
      <c r="G54" s="101"/>
      <c r="H54" s="101"/>
      <c r="I54" s="48">
        <f>SUM(I49:I53)</f>
        <v>151670</v>
      </c>
      <c r="J54" s="47"/>
      <c r="K54" s="47">
        <f>I54/J53</f>
        <v>6.8940909090909095</v>
      </c>
      <c r="L54" s="17"/>
    </row>
    <row r="55" spans="1:14" s="9" customFormat="1" x14ac:dyDescent="0.25"/>
    <row r="56" spans="1:14" s="9" customFormat="1" x14ac:dyDescent="0.25">
      <c r="A56" s="93" t="s">
        <v>27</v>
      </c>
      <c r="B56" s="93"/>
      <c r="C56" s="93"/>
      <c r="D56" s="93"/>
      <c r="E56" s="93"/>
      <c r="F56" s="93"/>
      <c r="G56" s="93"/>
      <c r="H56" s="93"/>
      <c r="I56" s="93"/>
      <c r="J56" s="93"/>
      <c r="K56" s="93"/>
      <c r="L56" s="93"/>
    </row>
    <row r="57" spans="1:14" s="9" customFormat="1" ht="15" hidden="1" customHeight="1" x14ac:dyDescent="0.25"/>
    <row r="58" spans="1:14" s="9" customFormat="1" ht="60" customHeight="1" x14ac:dyDescent="0.25">
      <c r="A58" s="92" t="s">
        <v>34</v>
      </c>
      <c r="B58" s="92"/>
      <c r="C58" s="92"/>
      <c r="D58" s="92"/>
      <c r="E58" s="92"/>
      <c r="F58" s="31" t="s">
        <v>17</v>
      </c>
      <c r="G58" s="31" t="s">
        <v>70</v>
      </c>
      <c r="H58" s="31" t="s">
        <v>69</v>
      </c>
      <c r="I58" s="31" t="s">
        <v>82</v>
      </c>
      <c r="J58" s="31" t="s">
        <v>77</v>
      </c>
      <c r="K58" s="33" t="s">
        <v>78</v>
      </c>
      <c r="L58" s="45"/>
    </row>
    <row r="59" spans="1:14" s="9" customFormat="1" x14ac:dyDescent="0.25">
      <c r="A59" s="85" t="s">
        <v>28</v>
      </c>
      <c r="B59" s="85"/>
      <c r="C59" s="85"/>
      <c r="D59" s="85"/>
      <c r="E59" s="85"/>
      <c r="F59" s="1" t="s">
        <v>32</v>
      </c>
      <c r="G59" s="23">
        <v>3.48</v>
      </c>
      <c r="H59" s="13">
        <f>'Услуга №1 '!H58</f>
        <v>412.8</v>
      </c>
      <c r="I59" s="13">
        <f>(G59*H59)</f>
        <v>1436.5440000000001</v>
      </c>
      <c r="J59" s="23">
        <f>J53</f>
        <v>22000</v>
      </c>
      <c r="K59" s="13">
        <f>I59/J59</f>
        <v>6.5297454545454547E-2</v>
      </c>
      <c r="L59" s="17"/>
    </row>
    <row r="60" spans="1:14" s="9" customFormat="1" x14ac:dyDescent="0.25">
      <c r="A60" s="85" t="s">
        <v>29</v>
      </c>
      <c r="B60" s="85"/>
      <c r="C60" s="85"/>
      <c r="D60" s="85"/>
      <c r="E60" s="85"/>
      <c r="F60" s="1" t="s">
        <v>32</v>
      </c>
      <c r="G60" s="23">
        <v>3.48</v>
      </c>
      <c r="H60" s="13">
        <f>'Услуга №1 '!H59</f>
        <v>724.31</v>
      </c>
      <c r="I60" s="13">
        <f t="shared" ref="I60:I62" si="6">(G60*H60)</f>
        <v>2520.5987999999998</v>
      </c>
      <c r="J60" s="23">
        <f>J59</f>
        <v>22000</v>
      </c>
      <c r="K60" s="13">
        <f t="shared" ref="K60:K63" si="7">I60/J60</f>
        <v>0.11457267272727271</v>
      </c>
      <c r="L60" s="17"/>
    </row>
    <row r="61" spans="1:14" s="9" customFormat="1" x14ac:dyDescent="0.25">
      <c r="A61" s="85" t="s">
        <v>30</v>
      </c>
      <c r="B61" s="85"/>
      <c r="C61" s="85"/>
      <c r="D61" s="85"/>
      <c r="E61" s="85"/>
      <c r="F61" s="1" t="s">
        <v>32</v>
      </c>
      <c r="G61" s="46">
        <v>0.28999999999999998</v>
      </c>
      <c r="H61" s="13">
        <f>'Услуга №1 '!H60</f>
        <v>6350</v>
      </c>
      <c r="I61" s="13">
        <f t="shared" si="6"/>
        <v>1841.4999999999998</v>
      </c>
      <c r="J61" s="23">
        <f>J60</f>
        <v>22000</v>
      </c>
      <c r="K61" s="13">
        <f t="shared" si="7"/>
        <v>8.3704545454545448E-2</v>
      </c>
      <c r="L61" s="17"/>
    </row>
    <row r="62" spans="1:14" s="9" customFormat="1" x14ac:dyDescent="0.25">
      <c r="A62" s="85" t="s">
        <v>31</v>
      </c>
      <c r="B62" s="85"/>
      <c r="C62" s="85"/>
      <c r="D62" s="85"/>
      <c r="E62" s="85"/>
      <c r="F62" s="1" t="s">
        <v>32</v>
      </c>
      <c r="G62" s="23">
        <v>3.48</v>
      </c>
      <c r="H62" s="13">
        <f>'Услуга №1 '!H61</f>
        <v>2400</v>
      </c>
      <c r="I62" s="13">
        <f t="shared" si="6"/>
        <v>8352</v>
      </c>
      <c r="J62" s="23">
        <f>J61</f>
        <v>22000</v>
      </c>
      <c r="K62" s="13">
        <f t="shared" si="7"/>
        <v>0.37963636363636366</v>
      </c>
      <c r="L62" s="17"/>
    </row>
    <row r="63" spans="1:14" s="9" customFormat="1" ht="28.5" customHeight="1" x14ac:dyDescent="0.25">
      <c r="A63" s="88" t="s">
        <v>83</v>
      </c>
      <c r="B63" s="89"/>
      <c r="C63" s="89"/>
      <c r="D63" s="89"/>
      <c r="E63" s="90"/>
      <c r="F63" s="1" t="s">
        <v>32</v>
      </c>
      <c r="G63" s="23">
        <v>3.48</v>
      </c>
      <c r="H63" s="13">
        <f>'Услуга №1 '!H62</f>
        <v>28325.39</v>
      </c>
      <c r="I63" s="13">
        <f>(G63*H63)</f>
        <v>98572.357199999999</v>
      </c>
      <c r="J63" s="23">
        <f>J62</f>
        <v>22000</v>
      </c>
      <c r="K63" s="13">
        <f t="shared" si="7"/>
        <v>4.4805616909090906</v>
      </c>
      <c r="L63" s="17"/>
    </row>
    <row r="64" spans="1:14" s="9" customFormat="1" x14ac:dyDescent="0.25">
      <c r="A64" s="100" t="s">
        <v>33</v>
      </c>
      <c r="B64" s="101"/>
      <c r="C64" s="101"/>
      <c r="D64" s="101"/>
      <c r="E64" s="101"/>
      <c r="F64" s="101"/>
      <c r="G64" s="101"/>
      <c r="H64" s="101"/>
      <c r="I64" s="48">
        <f>SUM(I59:I63)</f>
        <v>112723</v>
      </c>
      <c r="J64" s="48"/>
      <c r="K64" s="48">
        <f>I64/J63</f>
        <v>5.1237727272727271</v>
      </c>
      <c r="L64" s="17"/>
    </row>
    <row r="65" spans="1:13" s="9" customFormat="1" x14ac:dyDescent="0.25"/>
    <row r="66" spans="1:13" s="9" customFormat="1" x14ac:dyDescent="0.25">
      <c r="A66" s="93" t="s">
        <v>84</v>
      </c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</row>
    <row r="67" spans="1:13" s="9" customFormat="1" ht="60" customHeight="1" x14ac:dyDescent="0.25">
      <c r="A67" s="92" t="s">
        <v>34</v>
      </c>
      <c r="B67" s="92"/>
      <c r="C67" s="92"/>
      <c r="D67" s="92"/>
      <c r="E67" s="92"/>
      <c r="F67" s="31" t="s">
        <v>17</v>
      </c>
      <c r="G67" s="31" t="s">
        <v>70</v>
      </c>
      <c r="H67" s="31" t="s">
        <v>69</v>
      </c>
      <c r="I67" s="31" t="s">
        <v>82</v>
      </c>
      <c r="J67" s="31" t="s">
        <v>77</v>
      </c>
      <c r="K67" s="33" t="s">
        <v>78</v>
      </c>
      <c r="L67" s="45"/>
    </row>
    <row r="68" spans="1:13" s="9" customFormat="1" ht="30.75" customHeight="1" x14ac:dyDescent="0.25">
      <c r="A68" s="88" t="s">
        <v>85</v>
      </c>
      <c r="B68" s="89"/>
      <c r="C68" s="89"/>
      <c r="D68" s="89"/>
      <c r="E68" s="90"/>
      <c r="F68" s="1" t="s">
        <v>32</v>
      </c>
      <c r="G68" s="23">
        <v>3.19</v>
      </c>
      <c r="H68" s="13">
        <f>'Услуга №1 '!H67</f>
        <v>4742.7269999999999</v>
      </c>
      <c r="I68" s="13">
        <f>(G68*H68)</f>
        <v>15129.299129999999</v>
      </c>
      <c r="J68" s="23">
        <f>J63</f>
        <v>22000</v>
      </c>
      <c r="K68" s="13">
        <f>I68/J68</f>
        <v>0.68769541499999998</v>
      </c>
      <c r="L68" s="17"/>
    </row>
    <row r="69" spans="1:13" s="9" customFormat="1" hidden="1" x14ac:dyDescent="0.25">
      <c r="A69" s="85" t="s">
        <v>86</v>
      </c>
      <c r="B69" s="85"/>
      <c r="C69" s="85"/>
      <c r="D69" s="85"/>
      <c r="E69" s="85"/>
      <c r="F69" s="1" t="s">
        <v>32</v>
      </c>
      <c r="G69" s="46">
        <v>0.2</v>
      </c>
      <c r="H69" s="13"/>
      <c r="I69" s="13"/>
      <c r="J69" s="23">
        <f>J68</f>
        <v>22000</v>
      </c>
      <c r="K69" s="13">
        <f t="shared" ref="K69" si="8">I69/J69</f>
        <v>0</v>
      </c>
      <c r="L69" s="17"/>
    </row>
    <row r="70" spans="1:13" s="9" customFormat="1" x14ac:dyDescent="0.25">
      <c r="A70" s="100" t="s">
        <v>87</v>
      </c>
      <c r="B70" s="101"/>
      <c r="C70" s="101"/>
      <c r="D70" s="101"/>
      <c r="E70" s="101"/>
      <c r="F70" s="101"/>
      <c r="G70" s="101"/>
      <c r="H70" s="101"/>
      <c r="I70" s="48">
        <f>SUM(I68:I69)</f>
        <v>15129.299129999999</v>
      </c>
      <c r="J70" s="47"/>
      <c r="K70" s="47">
        <f>I70/J68</f>
        <v>0.68769541499999998</v>
      </c>
      <c r="L70" s="17"/>
    </row>
    <row r="71" spans="1:13" s="9" customFormat="1" x14ac:dyDescent="0.25">
      <c r="A71" s="34"/>
      <c r="B71" s="34"/>
      <c r="C71" s="34"/>
      <c r="D71" s="34"/>
      <c r="E71" s="34"/>
      <c r="F71" s="34"/>
      <c r="G71" s="34"/>
      <c r="H71" s="34"/>
      <c r="I71" s="53"/>
      <c r="J71" s="54"/>
      <c r="K71" s="54"/>
      <c r="L71" s="17"/>
    </row>
    <row r="72" spans="1:13" s="9" customFormat="1" x14ac:dyDescent="0.25">
      <c r="A72" s="93" t="s">
        <v>88</v>
      </c>
      <c r="B72" s="93"/>
      <c r="C72" s="93"/>
      <c r="D72" s="93"/>
      <c r="E72" s="93"/>
      <c r="F72" s="93"/>
      <c r="G72" s="93"/>
      <c r="H72" s="93"/>
      <c r="I72" s="93"/>
      <c r="J72" s="93"/>
      <c r="K72" s="93"/>
      <c r="L72" s="93"/>
    </row>
    <row r="73" spans="1:13" s="9" customFormat="1" ht="45" customHeight="1" x14ac:dyDescent="0.25">
      <c r="A73" s="103" t="s">
        <v>35</v>
      </c>
      <c r="B73" s="104"/>
      <c r="C73" s="104"/>
      <c r="D73" s="104"/>
      <c r="E73" s="105"/>
      <c r="F73" s="31" t="s">
        <v>17</v>
      </c>
      <c r="G73" s="31" t="s">
        <v>70</v>
      </c>
      <c r="H73" s="31" t="s">
        <v>69</v>
      </c>
      <c r="I73" s="31" t="s">
        <v>82</v>
      </c>
      <c r="J73" s="32" t="s">
        <v>77</v>
      </c>
      <c r="K73" s="33" t="s">
        <v>78</v>
      </c>
      <c r="L73" s="45"/>
      <c r="M73" s="45"/>
    </row>
    <row r="74" spans="1:13" s="9" customFormat="1" ht="30.75" customHeight="1" x14ac:dyDescent="0.25">
      <c r="A74" s="103" t="s">
        <v>36</v>
      </c>
      <c r="B74" s="104"/>
      <c r="C74" s="104"/>
      <c r="D74" s="104"/>
      <c r="E74" s="105"/>
      <c r="F74" s="19" t="s">
        <v>37</v>
      </c>
      <c r="G74" s="13">
        <v>0.57999999999999996</v>
      </c>
      <c r="H74" s="13">
        <f>'Услуга №1 '!H73</f>
        <v>400</v>
      </c>
      <c r="I74" s="13">
        <f>G74*H74*12</f>
        <v>2783.9999999999995</v>
      </c>
      <c r="J74" s="49">
        <f>J69</f>
        <v>22000</v>
      </c>
      <c r="K74" s="13">
        <f>I74/J74</f>
        <v>0.12654545454545452</v>
      </c>
      <c r="L74" s="16"/>
      <c r="M74" s="17"/>
    </row>
    <row r="75" spans="1:13" s="9" customFormat="1" ht="30.75" customHeight="1" x14ac:dyDescent="0.25">
      <c r="A75" s="103" t="s">
        <v>101</v>
      </c>
      <c r="B75" s="104"/>
      <c r="C75" s="104"/>
      <c r="D75" s="104"/>
      <c r="E75" s="105"/>
      <c r="F75" s="19" t="s">
        <v>41</v>
      </c>
      <c r="G75" s="23"/>
      <c r="H75" s="13"/>
      <c r="I75" s="13">
        <v>3132</v>
      </c>
      <c r="J75" s="49">
        <v>21500</v>
      </c>
      <c r="K75" s="13">
        <f>I75/J75</f>
        <v>0.14567441860465116</v>
      </c>
      <c r="L75" s="16"/>
      <c r="M75" s="17"/>
    </row>
    <row r="76" spans="1:13" s="9" customFormat="1" x14ac:dyDescent="0.25">
      <c r="A76" s="103" t="s">
        <v>89</v>
      </c>
      <c r="B76" s="104"/>
      <c r="C76" s="104"/>
      <c r="D76" s="104"/>
      <c r="E76" s="105"/>
      <c r="F76" s="19" t="s">
        <v>32</v>
      </c>
      <c r="G76" s="13">
        <v>0.28999999999999998</v>
      </c>
      <c r="H76" s="13">
        <f>'Услуга №1 '!H75</f>
        <v>800</v>
      </c>
      <c r="I76" s="13">
        <f>G76*H76*12</f>
        <v>2783.9999999999995</v>
      </c>
      <c r="J76" s="49">
        <f>J74</f>
        <v>22000</v>
      </c>
      <c r="K76" s="13">
        <f>I76/J76</f>
        <v>0.12654545454545452</v>
      </c>
      <c r="L76" s="16"/>
      <c r="M76" s="17"/>
    </row>
    <row r="77" spans="1:13" s="9" customFormat="1" x14ac:dyDescent="0.25">
      <c r="A77" s="100" t="s">
        <v>38</v>
      </c>
      <c r="B77" s="101"/>
      <c r="C77" s="101"/>
      <c r="D77" s="101"/>
      <c r="E77" s="101"/>
      <c r="F77" s="101"/>
      <c r="G77" s="101"/>
      <c r="H77" s="102"/>
      <c r="I77" s="48">
        <f>SUM(I74:I76)</f>
        <v>8700</v>
      </c>
      <c r="J77" s="47"/>
      <c r="K77" s="47">
        <f>I77/J76</f>
        <v>0.39545454545454545</v>
      </c>
      <c r="L77" s="36"/>
      <c r="M77" s="17"/>
    </row>
    <row r="78" spans="1:13" s="9" customFormat="1" x14ac:dyDescent="0.25">
      <c r="A78" s="34"/>
      <c r="B78" s="34"/>
      <c r="C78" s="34"/>
      <c r="D78" s="34"/>
      <c r="E78" s="34"/>
      <c r="F78" s="34"/>
      <c r="G78" s="34"/>
      <c r="H78" s="34"/>
      <c r="I78" s="53"/>
      <c r="J78" s="54"/>
      <c r="K78" s="54"/>
      <c r="L78" s="36"/>
      <c r="M78" s="17"/>
    </row>
    <row r="79" spans="1:13" s="9" customFormat="1" x14ac:dyDescent="0.25">
      <c r="A79" s="93" t="s">
        <v>58</v>
      </c>
      <c r="B79" s="93"/>
      <c r="C79" s="93"/>
      <c r="D79" s="93"/>
      <c r="E79" s="93"/>
      <c r="F79" s="93"/>
      <c r="G79" s="93"/>
      <c r="H79" s="93"/>
      <c r="I79" s="93"/>
      <c r="J79" s="93"/>
      <c r="K79" s="93"/>
      <c r="L79" s="93"/>
    </row>
    <row r="80" spans="1:13" s="9" customFormat="1" hidden="1" x14ac:dyDescent="0.25"/>
    <row r="81" spans="1:12" s="9" customFormat="1" ht="75" x14ac:dyDescent="0.25">
      <c r="A81" s="92" t="s">
        <v>15</v>
      </c>
      <c r="B81" s="92"/>
      <c r="C81" s="92"/>
      <c r="D81" s="92"/>
      <c r="E81" s="92"/>
      <c r="F81" s="12" t="s">
        <v>16</v>
      </c>
      <c r="G81" s="27" t="s">
        <v>1</v>
      </c>
      <c r="H81" s="12" t="s">
        <v>75</v>
      </c>
      <c r="I81" s="12" t="s">
        <v>76</v>
      </c>
      <c r="J81" s="27" t="s">
        <v>77</v>
      </c>
      <c r="K81" s="76" t="s">
        <v>78</v>
      </c>
      <c r="L81" s="71"/>
    </row>
    <row r="82" spans="1:12" s="9" customFormat="1" x14ac:dyDescent="0.25">
      <c r="A82" s="85" t="s">
        <v>5</v>
      </c>
      <c r="B82" s="85"/>
      <c r="C82" s="85"/>
      <c r="D82" s="85"/>
      <c r="E82" s="85"/>
      <c r="F82" s="63">
        <f>'Услуга №1 '!F81</f>
        <v>21778.37</v>
      </c>
      <c r="G82" s="13">
        <f>L19</f>
        <v>0.28999999999999998</v>
      </c>
      <c r="H82" s="13">
        <f>F82*G82*12</f>
        <v>75788.727599999998</v>
      </c>
      <c r="I82" s="13">
        <f>H82*1.302</f>
        <v>98676.923335200001</v>
      </c>
      <c r="J82" s="23">
        <f>F33</f>
        <v>22000</v>
      </c>
      <c r="K82" s="67">
        <f>I82/J82</f>
        <v>4.4853146970545454</v>
      </c>
      <c r="L82" s="72"/>
    </row>
    <row r="83" spans="1:12" s="9" customFormat="1" x14ac:dyDescent="0.25">
      <c r="A83" s="82" t="s">
        <v>9</v>
      </c>
      <c r="B83" s="83"/>
      <c r="C83" s="83"/>
      <c r="D83" s="83"/>
      <c r="E83" s="84"/>
      <c r="F83" s="63">
        <f>'Услуга №1 '!F40</f>
        <v>13794.88</v>
      </c>
      <c r="G83" s="13">
        <f t="shared" ref="G83:G84" si="9">L20</f>
        <v>0.14499999999999999</v>
      </c>
      <c r="H83" s="13">
        <f>F83*G83*12</f>
        <v>24003.091199999995</v>
      </c>
      <c r="I83" s="13">
        <f>H83*1.302</f>
        <v>31252.024742399994</v>
      </c>
      <c r="J83" s="23">
        <f>J82</f>
        <v>22000</v>
      </c>
      <c r="K83" s="67">
        <f>I83/J83</f>
        <v>1.4205465791999996</v>
      </c>
      <c r="L83" s="72"/>
    </row>
    <row r="84" spans="1:12" s="9" customFormat="1" ht="29.25" customHeight="1" x14ac:dyDescent="0.25">
      <c r="A84" s="88" t="s">
        <v>8</v>
      </c>
      <c r="B84" s="89"/>
      <c r="C84" s="89"/>
      <c r="D84" s="89"/>
      <c r="E84" s="90"/>
      <c r="F84" s="63">
        <f>'Услуга №1 '!F42</f>
        <v>16065.33</v>
      </c>
      <c r="G84" s="13">
        <f t="shared" si="9"/>
        <v>0.28999999999999998</v>
      </c>
      <c r="H84" s="13">
        <f>F84*G84*12</f>
        <v>55907.348399999988</v>
      </c>
      <c r="I84" s="13">
        <f>H84*1.302</f>
        <v>72791.36761679998</v>
      </c>
      <c r="J84" s="23">
        <f>J83</f>
        <v>22000</v>
      </c>
      <c r="K84" s="67">
        <f>I84/J84</f>
        <v>3.3086985280363628</v>
      </c>
      <c r="L84" s="72"/>
    </row>
    <row r="85" spans="1:12" s="9" customFormat="1" x14ac:dyDescent="0.25">
      <c r="A85" s="100" t="s">
        <v>39</v>
      </c>
      <c r="B85" s="101"/>
      <c r="C85" s="101"/>
      <c r="D85" s="101"/>
      <c r="E85" s="102"/>
      <c r="F85" s="22"/>
      <c r="G85" s="47">
        <f>SUM(G82:G84)</f>
        <v>0.72499999999999987</v>
      </c>
      <c r="H85" s="21"/>
      <c r="I85" s="48">
        <f>SUM(I82:I84)</f>
        <v>202720.31569439999</v>
      </c>
      <c r="J85" s="48"/>
      <c r="K85" s="73">
        <f>SUM(K82:K84)</f>
        <v>9.2145598042909072</v>
      </c>
      <c r="L85" s="72"/>
    </row>
    <row r="86" spans="1:12" s="9" customFormat="1" x14ac:dyDescent="0.25">
      <c r="A86" s="34"/>
      <c r="B86" s="34"/>
      <c r="C86" s="34"/>
      <c r="D86" s="34"/>
      <c r="E86" s="34"/>
      <c r="F86" s="35"/>
      <c r="G86" s="35"/>
      <c r="H86" s="36"/>
      <c r="I86" s="53"/>
      <c r="J86" s="53"/>
      <c r="K86" s="53"/>
      <c r="L86" s="17"/>
    </row>
    <row r="87" spans="1:12" s="9" customFormat="1" x14ac:dyDescent="0.25">
      <c r="A87" s="93" t="s">
        <v>40</v>
      </c>
      <c r="B87" s="93"/>
      <c r="C87" s="93"/>
      <c r="D87" s="93"/>
      <c r="E87" s="93"/>
      <c r="F87" s="93"/>
      <c r="G87" s="93"/>
      <c r="H87" s="93"/>
      <c r="I87" s="93"/>
      <c r="J87" s="93"/>
      <c r="K87" s="93"/>
      <c r="L87" s="93"/>
    </row>
    <row r="88" spans="1:12" s="9" customFormat="1" ht="60" customHeight="1" x14ac:dyDescent="0.25">
      <c r="A88" s="92" t="s">
        <v>90</v>
      </c>
      <c r="B88" s="92"/>
      <c r="C88" s="92"/>
      <c r="D88" s="92"/>
      <c r="E88" s="92"/>
      <c r="F88" s="31" t="s">
        <v>17</v>
      </c>
      <c r="G88" s="31" t="s">
        <v>70</v>
      </c>
      <c r="H88" s="31" t="s">
        <v>69</v>
      </c>
      <c r="I88" s="31" t="s">
        <v>82</v>
      </c>
      <c r="J88" s="31" t="s">
        <v>77</v>
      </c>
      <c r="K88" s="33" t="s">
        <v>78</v>
      </c>
      <c r="L88" s="45"/>
    </row>
    <row r="89" spans="1:12" s="9" customFormat="1" x14ac:dyDescent="0.25">
      <c r="A89" s="85" t="s">
        <v>102</v>
      </c>
      <c r="B89" s="85"/>
      <c r="C89" s="85"/>
      <c r="D89" s="85"/>
      <c r="E89" s="85"/>
      <c r="F89" s="1" t="s">
        <v>41</v>
      </c>
      <c r="G89" s="13"/>
      <c r="H89" s="13"/>
      <c r="I89" s="13">
        <v>8366.5</v>
      </c>
      <c r="J89" s="23">
        <f>J82</f>
        <v>22000</v>
      </c>
      <c r="K89" s="13">
        <f>I89/J89</f>
        <v>0.38029545454545455</v>
      </c>
      <c r="L89" s="17"/>
    </row>
    <row r="90" spans="1:12" s="9" customFormat="1" x14ac:dyDescent="0.25">
      <c r="A90" s="100" t="s">
        <v>42</v>
      </c>
      <c r="B90" s="101"/>
      <c r="C90" s="101"/>
      <c r="D90" s="101"/>
      <c r="E90" s="101"/>
      <c r="F90" s="101"/>
      <c r="G90" s="101"/>
      <c r="H90" s="101"/>
      <c r="I90" s="48">
        <f>I89</f>
        <v>8366.5</v>
      </c>
      <c r="J90" s="48"/>
      <c r="K90" s="48">
        <f>I90/J89</f>
        <v>0.38029545454545455</v>
      </c>
      <c r="L90" s="17"/>
    </row>
    <row r="91" spans="1:12" s="9" customFormat="1" x14ac:dyDescent="0.25"/>
    <row r="92" spans="1:12" s="9" customFormat="1" x14ac:dyDescent="0.25">
      <c r="A92" s="93" t="s">
        <v>43</v>
      </c>
      <c r="B92" s="93"/>
      <c r="C92" s="93"/>
      <c r="D92" s="93"/>
      <c r="E92" s="93"/>
      <c r="F92" s="93"/>
      <c r="G92" s="93"/>
      <c r="H92" s="93"/>
      <c r="I92" s="93"/>
      <c r="J92" s="93"/>
      <c r="K92" s="93"/>
      <c r="L92" s="93"/>
    </row>
    <row r="93" spans="1:12" s="9" customFormat="1" hidden="1" x14ac:dyDescent="0.25"/>
    <row r="94" spans="1:12" s="9" customFormat="1" ht="15" customHeight="1" x14ac:dyDescent="0.25">
      <c r="A94" s="112" t="s">
        <v>44</v>
      </c>
      <c r="B94" s="113"/>
      <c r="C94" s="114"/>
      <c r="D94" s="103" t="s">
        <v>45</v>
      </c>
      <c r="E94" s="104"/>
      <c r="F94" s="104"/>
      <c r="G94" s="104"/>
      <c r="H94" s="104"/>
      <c r="I94" s="104"/>
      <c r="J94" s="105"/>
      <c r="K94" s="106" t="s">
        <v>56</v>
      </c>
      <c r="L94" s="107"/>
    </row>
    <row r="95" spans="1:12" s="9" customFormat="1" ht="30" x14ac:dyDescent="0.25">
      <c r="A95" s="1" t="s">
        <v>46</v>
      </c>
      <c r="B95" s="12" t="s">
        <v>47</v>
      </c>
      <c r="C95" s="1" t="s">
        <v>48</v>
      </c>
      <c r="D95" s="1" t="s">
        <v>49</v>
      </c>
      <c r="E95" s="1" t="s">
        <v>50</v>
      </c>
      <c r="F95" s="1" t="s">
        <v>51</v>
      </c>
      <c r="G95" s="1" t="s">
        <v>52</v>
      </c>
      <c r="H95" s="1" t="s">
        <v>53</v>
      </c>
      <c r="I95" s="1" t="s">
        <v>54</v>
      </c>
      <c r="J95" s="1" t="s">
        <v>55</v>
      </c>
      <c r="K95" s="108"/>
      <c r="L95" s="109"/>
    </row>
    <row r="96" spans="1:12" s="9" customFormat="1" x14ac:dyDescent="0.25">
      <c r="A96" s="13">
        <f>K44</f>
        <v>28.190187949712723</v>
      </c>
      <c r="B96" s="13"/>
      <c r="C96" s="1"/>
      <c r="D96" s="13">
        <f>K54</f>
        <v>6.8940909090909095</v>
      </c>
      <c r="E96" s="13">
        <f>K64</f>
        <v>5.1237727272727271</v>
      </c>
      <c r="F96" s="1"/>
      <c r="G96" s="13">
        <f>K77</f>
        <v>0.39545454545454545</v>
      </c>
      <c r="H96" s="1"/>
      <c r="I96" s="13">
        <f>K85</f>
        <v>9.2145598042909072</v>
      </c>
      <c r="J96" s="13">
        <f>K70+K90</f>
        <v>1.0679908695454545</v>
      </c>
      <c r="K96" s="98">
        <f>SUM(A96:J96)</f>
        <v>50.886056805367268</v>
      </c>
      <c r="L96" s="99"/>
    </row>
    <row r="97" spans="1:12" s="9" customFormat="1" x14ac:dyDescent="0.25"/>
    <row r="98" spans="1:12" s="9" customFormat="1" x14ac:dyDescent="0.25">
      <c r="A98" s="20" t="s">
        <v>64</v>
      </c>
      <c r="B98" s="20"/>
      <c r="C98" s="20"/>
      <c r="D98" s="20"/>
      <c r="E98" s="20"/>
      <c r="F98" s="20" t="s">
        <v>65</v>
      </c>
      <c r="G98" s="20"/>
      <c r="I98" s="56">
        <f>I90+I85+I77+I70+I64+I54+I44</f>
        <v>1119493.24971808</v>
      </c>
      <c r="L98" s="56">
        <f>K96*J89</f>
        <v>1119493.2497180798</v>
      </c>
    </row>
    <row r="99" spans="1:12" s="9" customFormat="1" x14ac:dyDescent="0.25">
      <c r="A99" s="20"/>
      <c r="B99" s="20"/>
      <c r="C99" s="3"/>
      <c r="D99" s="4"/>
      <c r="E99" s="4"/>
      <c r="F99" s="4"/>
      <c r="G99" s="4"/>
    </row>
    <row r="100" spans="1:12" s="9" customFormat="1" x14ac:dyDescent="0.25">
      <c r="I100" s="40"/>
      <c r="L100" s="40"/>
    </row>
    <row r="101" spans="1:12" s="9" customFormat="1" x14ac:dyDescent="0.25">
      <c r="A101" s="20" t="str">
        <f>'Работа №1'!A101:C101</f>
        <v>Курлович Анастасия Вячеславовна</v>
      </c>
      <c r="B101" s="7"/>
      <c r="I101" s="40"/>
      <c r="L101" s="40"/>
    </row>
    <row r="102" spans="1:12" x14ac:dyDescent="0.25">
      <c r="A102" s="20" t="s">
        <v>66</v>
      </c>
      <c r="B102" s="7"/>
      <c r="C102" s="9"/>
      <c r="D102" s="9"/>
      <c r="E102" s="9"/>
      <c r="F102" s="9"/>
      <c r="G102" s="9"/>
      <c r="I102" s="40"/>
      <c r="J102" s="9"/>
      <c r="K102" s="9"/>
      <c r="L102" s="39"/>
    </row>
    <row r="103" spans="1:12" x14ac:dyDescent="0.25">
      <c r="H103" s="52"/>
      <c r="I103" s="41"/>
    </row>
  </sheetData>
  <mergeCells count="86">
    <mergeCell ref="A88:E88"/>
    <mergeCell ref="A90:H90"/>
    <mergeCell ref="K96:L96"/>
    <mergeCell ref="A19:E19"/>
    <mergeCell ref="G19:K19"/>
    <mergeCell ref="A46:L46"/>
    <mergeCell ref="A92:L92"/>
    <mergeCell ref="A94:C94"/>
    <mergeCell ref="D94:J94"/>
    <mergeCell ref="K94:L95"/>
    <mergeCell ref="A87:L87"/>
    <mergeCell ref="A89:E89"/>
    <mergeCell ref="A82:E82"/>
    <mergeCell ref="A85:E85"/>
    <mergeCell ref="A54:H54"/>
    <mergeCell ref="A64:H64"/>
    <mergeCell ref="A84:E84"/>
    <mergeCell ref="A43:E43"/>
    <mergeCell ref="A62:E62"/>
    <mergeCell ref="A48:E48"/>
    <mergeCell ref="A49:E49"/>
    <mergeCell ref="A50:E50"/>
    <mergeCell ref="A52:E52"/>
    <mergeCell ref="A53:E53"/>
    <mergeCell ref="A56:L56"/>
    <mergeCell ref="A58:E58"/>
    <mergeCell ref="A59:E59"/>
    <mergeCell ref="A60:E60"/>
    <mergeCell ref="A61:E61"/>
    <mergeCell ref="A63:E63"/>
    <mergeCell ref="A72:L72"/>
    <mergeCell ref="A74:E74"/>
    <mergeCell ref="A83:E83"/>
    <mergeCell ref="A41:E41"/>
    <mergeCell ref="A42:E42"/>
    <mergeCell ref="A76:E76"/>
    <mergeCell ref="A69:E69"/>
    <mergeCell ref="A70:H70"/>
    <mergeCell ref="A73:E73"/>
    <mergeCell ref="A66:L66"/>
    <mergeCell ref="A67:E67"/>
    <mergeCell ref="A68:E68"/>
    <mergeCell ref="A79:L79"/>
    <mergeCell ref="A81:E81"/>
    <mergeCell ref="A77:H77"/>
    <mergeCell ref="A51:E51"/>
    <mergeCell ref="A75:E75"/>
    <mergeCell ref="A36:E36"/>
    <mergeCell ref="A37:E37"/>
    <mergeCell ref="A38:E38"/>
    <mergeCell ref="A39:E39"/>
    <mergeCell ref="A44:E44"/>
    <mergeCell ref="A40:E40"/>
    <mergeCell ref="A30:E30"/>
    <mergeCell ref="G30:K30"/>
    <mergeCell ref="A31:E31"/>
    <mergeCell ref="G31:K31"/>
    <mergeCell ref="A35:E35"/>
    <mergeCell ref="A34:E34"/>
    <mergeCell ref="G20:K20"/>
    <mergeCell ref="A21:E21"/>
    <mergeCell ref="G21:K21"/>
    <mergeCell ref="A22:E22"/>
    <mergeCell ref="G22:K22"/>
    <mergeCell ref="A25:E25"/>
    <mergeCell ref="G25:K25"/>
    <mergeCell ref="A26:E26"/>
    <mergeCell ref="G26:K26"/>
    <mergeCell ref="A5:F5"/>
    <mergeCell ref="A6:D6"/>
    <mergeCell ref="A9:M9"/>
    <mergeCell ref="A10:M10"/>
    <mergeCell ref="A11:M11"/>
    <mergeCell ref="A18:E18"/>
    <mergeCell ref="G18:K18"/>
    <mergeCell ref="A23:E23"/>
    <mergeCell ref="G23:K23"/>
    <mergeCell ref="A24:E24"/>
    <mergeCell ref="G24:K24"/>
    <mergeCell ref="A20:E20"/>
    <mergeCell ref="A28:E28"/>
    <mergeCell ref="G28:K28"/>
    <mergeCell ref="A29:E29"/>
    <mergeCell ref="G29:K29"/>
    <mergeCell ref="A27:E27"/>
    <mergeCell ref="G27:K27"/>
  </mergeCells>
  <printOptions horizontalCentered="1"/>
  <pageMargins left="0" right="0" top="0" bottom="0" header="0.31496062992125984" footer="0.31496062992125984"/>
  <pageSetup paperSize="9" scale="75" orientation="landscape" r:id="rId1"/>
  <rowBreaks count="1" manualBreakCount="1">
    <brk id="45" max="12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tabSelected="1" view="pageBreakPreview" topLeftCell="A9" zoomScale="60" zoomScaleNormal="90" workbookViewId="0">
      <selection activeCell="A87" sqref="A87:L87"/>
    </sheetView>
  </sheetViews>
  <sheetFormatPr defaultRowHeight="15" x14ac:dyDescent="0.25"/>
  <cols>
    <col min="5" max="5" width="13.42578125" customWidth="1"/>
    <col min="6" max="6" width="11.42578125" customWidth="1"/>
    <col min="7" max="7" width="9" customWidth="1"/>
    <col min="8" max="8" width="12.7109375" customWidth="1"/>
    <col min="9" max="9" width="13.7109375" customWidth="1"/>
    <col min="10" max="10" width="13.28515625" customWidth="1"/>
    <col min="11" max="11" width="13.7109375" customWidth="1"/>
    <col min="12" max="12" width="14.7109375" customWidth="1"/>
    <col min="13" max="13" width="13.85546875" customWidth="1"/>
  </cols>
  <sheetData>
    <row r="1" spans="1:13" ht="15.75" x14ac:dyDescent="0.25">
      <c r="A1" s="2" t="s">
        <v>61</v>
      </c>
      <c r="B1" s="2"/>
      <c r="C1" s="3"/>
      <c r="D1" s="4"/>
    </row>
    <row r="2" spans="1:13" ht="15.75" x14ac:dyDescent="0.25">
      <c r="A2" s="25" t="s">
        <v>62</v>
      </c>
      <c r="B2" s="25"/>
      <c r="C2" s="3"/>
      <c r="D2" s="4"/>
    </row>
    <row r="3" spans="1:13" x14ac:dyDescent="0.25">
      <c r="A3" s="6"/>
      <c r="B3" s="7"/>
      <c r="C3" s="3"/>
      <c r="D3" s="4"/>
    </row>
    <row r="4" spans="1:13" ht="15.75" x14ac:dyDescent="0.25">
      <c r="A4" s="79" t="s">
        <v>63</v>
      </c>
      <c r="B4" s="79"/>
      <c r="C4" s="79"/>
      <c r="D4" s="79"/>
      <c r="E4" s="79"/>
      <c r="F4" s="79"/>
    </row>
    <row r="5" spans="1:13" ht="15.75" x14ac:dyDescent="0.25">
      <c r="A5" s="81" t="s">
        <v>99</v>
      </c>
      <c r="B5" s="81"/>
      <c r="C5" s="81"/>
      <c r="D5" s="81"/>
    </row>
    <row r="6" spans="1:13" ht="15.75" x14ac:dyDescent="0.25">
      <c r="A6" s="26"/>
      <c r="B6" s="26"/>
      <c r="C6" s="26"/>
      <c r="D6" s="2"/>
    </row>
    <row r="8" spans="1:13" ht="15.75" x14ac:dyDescent="0.25">
      <c r="A8" s="86" t="s">
        <v>60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</row>
    <row r="9" spans="1:13" ht="15.75" x14ac:dyDescent="0.25">
      <c r="A9" s="86" t="s">
        <v>93</v>
      </c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</row>
    <row r="10" spans="1:13" ht="15.75" x14ac:dyDescent="0.25">
      <c r="A10" s="86" t="s">
        <v>103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</row>
    <row r="12" spans="1:13" s="9" customFormat="1" x14ac:dyDescent="0.25">
      <c r="A12" s="10" t="s">
        <v>67</v>
      </c>
    </row>
    <row r="13" spans="1:13" s="9" customFormat="1" x14ac:dyDescent="0.25">
      <c r="A13" s="10" t="s">
        <v>94</v>
      </c>
    </row>
    <row r="14" spans="1:13" s="9" customFormat="1" x14ac:dyDescent="0.25">
      <c r="A14" s="10" t="s">
        <v>98</v>
      </c>
    </row>
    <row r="15" spans="1:13" s="9" customFormat="1" x14ac:dyDescent="0.25">
      <c r="A15" s="10" t="s">
        <v>107</v>
      </c>
    </row>
    <row r="16" spans="1:13" x14ac:dyDescent="0.25">
      <c r="A16" s="10" t="s">
        <v>74</v>
      </c>
      <c r="B16" s="9"/>
      <c r="C16" s="9"/>
      <c r="D16" s="9"/>
      <c r="E16" s="9"/>
    </row>
    <row r="17" spans="1:12" s="9" customFormat="1" ht="31.5" customHeight="1" x14ac:dyDescent="0.25">
      <c r="A17" s="112" t="s">
        <v>0</v>
      </c>
      <c r="B17" s="113"/>
      <c r="C17" s="113"/>
      <c r="D17" s="113"/>
      <c r="E17" s="114"/>
      <c r="F17" s="12" t="s">
        <v>1</v>
      </c>
      <c r="G17" s="112" t="s">
        <v>2</v>
      </c>
      <c r="H17" s="113"/>
      <c r="I17" s="113"/>
      <c r="J17" s="113"/>
      <c r="K17" s="114"/>
      <c r="L17" s="1" t="s">
        <v>1</v>
      </c>
    </row>
    <row r="18" spans="1:12" s="9" customFormat="1" x14ac:dyDescent="0.25">
      <c r="A18" s="82" t="s">
        <v>6</v>
      </c>
      <c r="B18" s="83"/>
      <c r="C18" s="83"/>
      <c r="D18" s="83"/>
      <c r="E18" s="84"/>
      <c r="F18" s="1">
        <v>0.18190000000000001</v>
      </c>
      <c r="G18" s="82" t="s">
        <v>5</v>
      </c>
      <c r="H18" s="83"/>
      <c r="I18" s="83"/>
      <c r="J18" s="83"/>
      <c r="K18" s="84"/>
      <c r="L18" s="1">
        <v>0.18190000000000001</v>
      </c>
    </row>
    <row r="19" spans="1:12" s="9" customFormat="1" x14ac:dyDescent="0.25">
      <c r="A19" s="82" t="s">
        <v>3</v>
      </c>
      <c r="B19" s="83"/>
      <c r="C19" s="83"/>
      <c r="D19" s="83"/>
      <c r="E19" s="84"/>
      <c r="F19" s="1">
        <v>0.18190000000000001</v>
      </c>
      <c r="G19" s="82" t="s">
        <v>4</v>
      </c>
      <c r="H19" s="83"/>
      <c r="I19" s="83"/>
      <c r="J19" s="83"/>
      <c r="K19" s="84"/>
      <c r="L19" s="1">
        <v>0.18190000000000001</v>
      </c>
    </row>
    <row r="20" spans="1:12" s="9" customFormat="1" ht="15.75" customHeight="1" x14ac:dyDescent="0.25">
      <c r="A20" s="88" t="s">
        <v>12</v>
      </c>
      <c r="B20" s="89"/>
      <c r="C20" s="89"/>
      <c r="D20" s="89"/>
      <c r="E20" s="90"/>
      <c r="F20" s="1">
        <v>0.18190000000000001</v>
      </c>
      <c r="G20" s="88" t="s">
        <v>7</v>
      </c>
      <c r="H20" s="89"/>
      <c r="I20" s="89"/>
      <c r="J20" s="89"/>
      <c r="K20" s="90"/>
      <c r="L20" s="1">
        <v>0.18190000000000001</v>
      </c>
    </row>
    <row r="21" spans="1:12" s="9" customFormat="1" ht="30" customHeight="1" x14ac:dyDescent="0.25">
      <c r="A21" s="88" t="s">
        <v>8</v>
      </c>
      <c r="B21" s="89"/>
      <c r="C21" s="89"/>
      <c r="D21" s="89"/>
      <c r="E21" s="90"/>
      <c r="F21" s="1">
        <v>0.18190000000000001</v>
      </c>
      <c r="G21" s="88" t="s">
        <v>9</v>
      </c>
      <c r="H21" s="89"/>
      <c r="I21" s="89"/>
      <c r="J21" s="89"/>
      <c r="K21" s="90"/>
      <c r="L21" s="1">
        <v>9.0899999999999995E-2</v>
      </c>
    </row>
    <row r="22" spans="1:12" s="9" customFormat="1" ht="15.75" customHeight="1" x14ac:dyDescent="0.25">
      <c r="A22" s="88"/>
      <c r="B22" s="89"/>
      <c r="C22" s="89"/>
      <c r="D22" s="89"/>
      <c r="E22" s="90"/>
      <c r="F22" s="1"/>
      <c r="G22" s="88" t="s">
        <v>10</v>
      </c>
      <c r="H22" s="89"/>
      <c r="I22" s="89"/>
      <c r="J22" s="89"/>
      <c r="K22" s="90"/>
      <c r="L22" s="1">
        <v>0.18190000000000001</v>
      </c>
    </row>
    <row r="23" spans="1:12" s="9" customFormat="1" ht="15.75" customHeight="1" x14ac:dyDescent="0.25">
      <c r="A23" s="88"/>
      <c r="B23" s="89"/>
      <c r="C23" s="89"/>
      <c r="D23" s="89"/>
      <c r="E23" s="90"/>
      <c r="F23" s="1"/>
      <c r="G23" s="88" t="s">
        <v>11</v>
      </c>
      <c r="H23" s="89"/>
      <c r="I23" s="89"/>
      <c r="J23" s="89"/>
      <c r="K23" s="90"/>
      <c r="L23" s="1">
        <v>0.18190000000000001</v>
      </c>
    </row>
    <row r="24" spans="1:12" s="9" customFormat="1" ht="15.75" customHeight="1" x14ac:dyDescent="0.25">
      <c r="A24" s="88"/>
      <c r="B24" s="89"/>
      <c r="C24" s="89"/>
      <c r="D24" s="89"/>
      <c r="E24" s="90"/>
      <c r="F24" s="1"/>
      <c r="G24" s="88" t="s">
        <v>79</v>
      </c>
      <c r="H24" s="89"/>
      <c r="I24" s="89"/>
      <c r="J24" s="89"/>
      <c r="K24" s="90"/>
      <c r="L24" s="1">
        <v>0.18190000000000001</v>
      </c>
    </row>
    <row r="25" spans="1:12" s="9" customFormat="1" ht="15.75" customHeight="1" x14ac:dyDescent="0.25">
      <c r="A25" s="88"/>
      <c r="B25" s="89"/>
      <c r="C25" s="89"/>
      <c r="D25" s="89"/>
      <c r="E25" s="90"/>
      <c r="F25" s="1"/>
      <c r="G25" s="82" t="s">
        <v>13</v>
      </c>
      <c r="H25" s="83"/>
      <c r="I25" s="83"/>
      <c r="J25" s="83"/>
      <c r="K25" s="84"/>
      <c r="L25" s="1">
        <v>0.18190000000000001</v>
      </c>
    </row>
    <row r="26" spans="1:12" s="10" customFormat="1" ht="14.25" x14ac:dyDescent="0.2">
      <c r="A26" s="115" t="s">
        <v>14</v>
      </c>
      <c r="B26" s="116"/>
      <c r="C26" s="116"/>
      <c r="D26" s="116"/>
      <c r="E26" s="117"/>
      <c r="F26" s="62">
        <f>SUM(F18:F24)</f>
        <v>0.72760000000000002</v>
      </c>
      <c r="G26" s="115" t="s">
        <v>14</v>
      </c>
      <c r="H26" s="116"/>
      <c r="I26" s="116"/>
      <c r="J26" s="116"/>
      <c r="K26" s="117"/>
      <c r="L26" s="62">
        <f>SUM(L18:L25)</f>
        <v>1.3641999999999999</v>
      </c>
    </row>
    <row r="27" spans="1:12" s="9" customFormat="1" x14ac:dyDescent="0.25"/>
    <row r="28" spans="1:12" s="9" customFormat="1" x14ac:dyDescent="0.25">
      <c r="A28" s="10" t="s">
        <v>92</v>
      </c>
      <c r="F28" s="9">
        <v>13800</v>
      </c>
    </row>
    <row r="29" spans="1:12" s="9" customFormat="1" ht="75" x14ac:dyDescent="0.25">
      <c r="A29" s="103" t="s">
        <v>15</v>
      </c>
      <c r="B29" s="104"/>
      <c r="C29" s="104"/>
      <c r="D29" s="104"/>
      <c r="E29" s="105"/>
      <c r="F29" s="31" t="s">
        <v>16</v>
      </c>
      <c r="G29" s="31" t="s">
        <v>1</v>
      </c>
      <c r="H29" s="31" t="s">
        <v>75</v>
      </c>
      <c r="I29" s="31" t="s">
        <v>76</v>
      </c>
      <c r="J29" s="31" t="s">
        <v>77</v>
      </c>
      <c r="K29" s="33" t="s">
        <v>78</v>
      </c>
      <c r="L29" s="12"/>
    </row>
    <row r="30" spans="1:12" s="9" customFormat="1" x14ac:dyDescent="0.25">
      <c r="A30" s="82" t="s">
        <v>6</v>
      </c>
      <c r="B30" s="83"/>
      <c r="C30" s="83"/>
      <c r="D30" s="83"/>
      <c r="E30" s="84"/>
      <c r="F30" s="1">
        <f>'Услуга №1 '!F34</f>
        <v>21778.37</v>
      </c>
      <c r="G30" s="1">
        <f>F18</f>
        <v>0.18190000000000001</v>
      </c>
      <c r="H30" s="13">
        <f>F30*G30*12</f>
        <v>47537.826035999999</v>
      </c>
      <c r="I30" s="13">
        <f>H30*1.302</f>
        <v>61894.249498871999</v>
      </c>
      <c r="J30" s="23">
        <f>F28</f>
        <v>13800</v>
      </c>
      <c r="K30" s="13">
        <f>I30/J30</f>
        <v>4.485090543396522</v>
      </c>
      <c r="L30" s="13"/>
    </row>
    <row r="31" spans="1:12" s="9" customFormat="1" x14ac:dyDescent="0.25">
      <c r="A31" s="82" t="s">
        <v>3</v>
      </c>
      <c r="B31" s="83"/>
      <c r="C31" s="83"/>
      <c r="D31" s="83"/>
      <c r="E31" s="84"/>
      <c r="F31" s="1">
        <f>'Услуга №1 '!F35</f>
        <v>15601.33</v>
      </c>
      <c r="G31" s="1">
        <f t="shared" ref="G31:G33" si="0">F19</f>
        <v>0.18190000000000001</v>
      </c>
      <c r="H31" s="13">
        <f t="shared" ref="H31:H33" si="1">F31*G31*12</f>
        <v>34054.583123999997</v>
      </c>
      <c r="I31" s="13">
        <f t="shared" ref="I31:I33" si="2">H31*1.302</f>
        <v>44339.067227447995</v>
      </c>
      <c r="J31" s="23">
        <f>F28</f>
        <v>13800</v>
      </c>
      <c r="K31" s="13">
        <f t="shared" ref="K31:K33" si="3">I31/J31</f>
        <v>3.2129758860469559</v>
      </c>
      <c r="L31" s="13"/>
    </row>
    <row r="32" spans="1:12" s="9" customFormat="1" ht="15" customHeight="1" x14ac:dyDescent="0.25">
      <c r="A32" s="88" t="s">
        <v>12</v>
      </c>
      <c r="B32" s="89"/>
      <c r="C32" s="89"/>
      <c r="D32" s="89"/>
      <c r="E32" s="90"/>
      <c r="F32" s="14">
        <f>'Услуга №1 '!F41</f>
        <v>13589.6</v>
      </c>
      <c r="G32" s="1">
        <f t="shared" si="0"/>
        <v>0.18190000000000001</v>
      </c>
      <c r="H32" s="13">
        <f t="shared" si="1"/>
        <v>29663.378880000004</v>
      </c>
      <c r="I32" s="13">
        <f t="shared" si="2"/>
        <v>38621.719301760008</v>
      </c>
      <c r="J32" s="23">
        <f>F28</f>
        <v>13800</v>
      </c>
      <c r="K32" s="13">
        <f t="shared" si="3"/>
        <v>2.7986753117217398</v>
      </c>
      <c r="L32" s="13"/>
    </row>
    <row r="33" spans="1:14" s="9" customFormat="1" ht="28.5" customHeight="1" x14ac:dyDescent="0.25">
      <c r="A33" s="88" t="s">
        <v>8</v>
      </c>
      <c r="B33" s="89"/>
      <c r="C33" s="89"/>
      <c r="D33" s="89"/>
      <c r="E33" s="90"/>
      <c r="F33" s="14">
        <f>'Услуга №1 '!F42</f>
        <v>16065.33</v>
      </c>
      <c r="G33" s="1">
        <f t="shared" si="0"/>
        <v>0.18190000000000001</v>
      </c>
      <c r="H33" s="13">
        <f t="shared" si="1"/>
        <v>35067.402324000002</v>
      </c>
      <c r="I33" s="13">
        <f t="shared" si="2"/>
        <v>45657.757825848006</v>
      </c>
      <c r="J33" s="23">
        <f>F28</f>
        <v>13800</v>
      </c>
      <c r="K33" s="13">
        <f t="shared" si="3"/>
        <v>3.3085331757860872</v>
      </c>
      <c r="L33" s="13"/>
    </row>
    <row r="34" spans="1:14" s="9" customFormat="1" ht="30.75" customHeight="1" x14ac:dyDescent="0.25">
      <c r="A34" s="94" t="s">
        <v>71</v>
      </c>
      <c r="B34" s="95"/>
      <c r="C34" s="95"/>
      <c r="D34" s="95"/>
      <c r="E34" s="96"/>
      <c r="F34" s="1"/>
      <c r="G34" s="62">
        <f>SUM(G30:G33)</f>
        <v>0.72760000000000002</v>
      </c>
      <c r="H34" s="1"/>
      <c r="I34" s="51">
        <f>SUM(I30:I33)</f>
        <v>190512.79385392799</v>
      </c>
      <c r="J34" s="68">
        <f>F28</f>
        <v>13800</v>
      </c>
      <c r="K34" s="51">
        <f>SUM(K30:K33)</f>
        <v>13.805274916951305</v>
      </c>
      <c r="L34" s="13"/>
    </row>
    <row r="35" spans="1:14" s="9" customFormat="1" x14ac:dyDescent="0.25">
      <c r="A35" s="15"/>
      <c r="B35" s="15"/>
      <c r="C35" s="15"/>
      <c r="D35" s="15"/>
      <c r="E35" s="15"/>
      <c r="F35" s="16"/>
      <c r="G35" s="16"/>
      <c r="H35" s="16"/>
      <c r="I35" s="16"/>
      <c r="J35" s="17"/>
      <c r="K35" s="16"/>
      <c r="L35" s="17"/>
    </row>
    <row r="36" spans="1:14" s="9" customFormat="1" ht="15" customHeight="1" x14ac:dyDescent="0.25">
      <c r="A36" s="93" t="s">
        <v>18</v>
      </c>
      <c r="B36" s="93"/>
      <c r="C36" s="93"/>
      <c r="D36" s="93"/>
      <c r="E36" s="93"/>
      <c r="F36" s="93"/>
      <c r="G36" s="93"/>
      <c r="H36" s="93"/>
      <c r="I36" s="93"/>
      <c r="J36" s="93"/>
      <c r="K36" s="93"/>
      <c r="L36" s="93"/>
    </row>
    <row r="37" spans="1:14" s="9" customFormat="1" ht="13.5" hidden="1" customHeight="1" x14ac:dyDescent="0.25"/>
    <row r="38" spans="1:14" s="9" customFormat="1" ht="60" customHeight="1" x14ac:dyDescent="0.25">
      <c r="A38" s="92" t="s">
        <v>19</v>
      </c>
      <c r="B38" s="92"/>
      <c r="C38" s="92"/>
      <c r="D38" s="92"/>
      <c r="E38" s="92"/>
      <c r="F38" s="31" t="s">
        <v>17</v>
      </c>
      <c r="G38" s="31" t="s">
        <v>70</v>
      </c>
      <c r="H38" s="31" t="s">
        <v>69</v>
      </c>
      <c r="I38" s="31" t="s">
        <v>82</v>
      </c>
      <c r="J38" s="31" t="s">
        <v>77</v>
      </c>
      <c r="K38" s="33" t="s">
        <v>78</v>
      </c>
      <c r="L38" s="45"/>
    </row>
    <row r="39" spans="1:14" s="9" customFormat="1" x14ac:dyDescent="0.25">
      <c r="A39" s="85" t="s">
        <v>20</v>
      </c>
      <c r="B39" s="85"/>
      <c r="C39" s="85"/>
      <c r="D39" s="85"/>
      <c r="E39" s="85"/>
      <c r="F39" s="1" t="s">
        <v>24</v>
      </c>
      <c r="G39" s="13">
        <f>I39/H39</f>
        <v>1455.2</v>
      </c>
      <c r="H39" s="13">
        <f>'Услуга №1 '!H49</f>
        <v>7.45</v>
      </c>
      <c r="I39" s="13">
        <f>59600*18.19%</f>
        <v>10841.24</v>
      </c>
      <c r="J39" s="23">
        <f>F28</f>
        <v>13800</v>
      </c>
      <c r="K39" s="13">
        <f>I39/J39</f>
        <v>0.7855971014492753</v>
      </c>
      <c r="L39" s="17"/>
      <c r="N39" s="17"/>
    </row>
    <row r="40" spans="1:14" s="9" customFormat="1" x14ac:dyDescent="0.25">
      <c r="A40" s="85" t="s">
        <v>21</v>
      </c>
      <c r="B40" s="85"/>
      <c r="C40" s="85"/>
      <c r="D40" s="85"/>
      <c r="E40" s="85"/>
      <c r="F40" s="1" t="s">
        <v>25</v>
      </c>
      <c r="G40" s="13">
        <f>I40/H40</f>
        <v>29.103999999999999</v>
      </c>
      <c r="H40" s="13">
        <f>'Услуга №1 '!H50</f>
        <v>1875</v>
      </c>
      <c r="I40" s="13">
        <f>300000*18.19%</f>
        <v>54570</v>
      </c>
      <c r="J40" s="23">
        <f>J39</f>
        <v>13800</v>
      </c>
      <c r="K40" s="13">
        <f t="shared" ref="K40:K43" si="4">I40/J40</f>
        <v>3.9543478260869565</v>
      </c>
      <c r="L40" s="17"/>
      <c r="N40" s="17"/>
    </row>
    <row r="41" spans="1:14" s="9" customFormat="1" x14ac:dyDescent="0.25">
      <c r="A41" s="85" t="s">
        <v>100</v>
      </c>
      <c r="B41" s="85"/>
      <c r="C41" s="85"/>
      <c r="D41" s="85"/>
      <c r="E41" s="85"/>
      <c r="F41" s="1" t="s">
        <v>25</v>
      </c>
      <c r="G41" s="13">
        <f>I41/H41</f>
        <v>17.007615125896983</v>
      </c>
      <c r="H41" s="13">
        <f>'Услуга №1 '!H51</f>
        <v>1643.01</v>
      </c>
      <c r="I41" s="13">
        <f>153621.12*18.19%</f>
        <v>27943.681728</v>
      </c>
      <c r="J41" s="23">
        <f>J40</f>
        <v>13800</v>
      </c>
      <c r="K41" s="13">
        <f t="shared" ref="K41" si="5">I41/J41</f>
        <v>2.0249044730434784</v>
      </c>
      <c r="L41" s="17"/>
      <c r="N41" s="17"/>
    </row>
    <row r="42" spans="1:14" s="9" customFormat="1" x14ac:dyDescent="0.25">
      <c r="A42" s="85" t="s">
        <v>22</v>
      </c>
      <c r="B42" s="85"/>
      <c r="C42" s="85"/>
      <c r="D42" s="85"/>
      <c r="E42" s="85"/>
      <c r="F42" s="1" t="s">
        <v>26</v>
      </c>
      <c r="G42" s="13">
        <f>I42/H42</f>
        <v>18.286422003881615</v>
      </c>
      <c r="H42" s="13">
        <f>'Услуга №1 '!H52</f>
        <v>41.22</v>
      </c>
      <c r="I42" s="13">
        <f>4143.85*18.19%</f>
        <v>753.76631500000008</v>
      </c>
      <c r="J42" s="23">
        <f>J41</f>
        <v>13800</v>
      </c>
      <c r="K42" s="13">
        <f t="shared" si="4"/>
        <v>5.4620747463768118E-2</v>
      </c>
      <c r="L42" s="17"/>
      <c r="M42" s="18"/>
      <c r="N42" s="17"/>
    </row>
    <row r="43" spans="1:14" s="9" customFormat="1" x14ac:dyDescent="0.25">
      <c r="A43" s="85" t="s">
        <v>23</v>
      </c>
      <c r="B43" s="85"/>
      <c r="C43" s="85"/>
      <c r="D43" s="85"/>
      <c r="E43" s="85"/>
      <c r="F43" s="1" t="s">
        <v>26</v>
      </c>
      <c r="G43" s="13">
        <f>I43/H43</f>
        <v>18.290720146324052</v>
      </c>
      <c r="H43" s="13">
        <f>'Услуга №1 '!H53</f>
        <v>56.04</v>
      </c>
      <c r="I43" s="13">
        <f>5635.03*18.19%</f>
        <v>1025.0119569999999</v>
      </c>
      <c r="J43" s="23">
        <f>J42</f>
        <v>13800</v>
      </c>
      <c r="K43" s="13">
        <f t="shared" si="4"/>
        <v>7.4276228768115932E-2</v>
      </c>
      <c r="L43" s="17"/>
      <c r="N43" s="17"/>
    </row>
    <row r="44" spans="1:14" s="9" customFormat="1" x14ac:dyDescent="0.25">
      <c r="A44" s="100" t="s">
        <v>72</v>
      </c>
      <c r="B44" s="101"/>
      <c r="C44" s="101"/>
      <c r="D44" s="101"/>
      <c r="E44" s="101"/>
      <c r="F44" s="101"/>
      <c r="G44" s="101"/>
      <c r="H44" s="101"/>
      <c r="I44" s="51">
        <f>SUM(I39:I43)</f>
        <v>95133.7</v>
      </c>
      <c r="J44" s="47"/>
      <c r="K44" s="47">
        <f>I44/J43</f>
        <v>6.8937463768115936</v>
      </c>
      <c r="L44" s="17"/>
    </row>
    <row r="45" spans="1:14" s="9" customFormat="1" x14ac:dyDescent="0.25"/>
    <row r="46" spans="1:14" s="9" customFormat="1" x14ac:dyDescent="0.25">
      <c r="A46" s="93" t="s">
        <v>27</v>
      </c>
      <c r="B46" s="93"/>
      <c r="C46" s="93"/>
      <c r="D46" s="93"/>
      <c r="E46" s="93"/>
      <c r="F46" s="93"/>
      <c r="G46" s="93"/>
      <c r="H46" s="93"/>
      <c r="I46" s="93"/>
      <c r="J46" s="93"/>
      <c r="K46" s="93"/>
      <c r="L46" s="93"/>
    </row>
    <row r="47" spans="1:14" s="9" customFormat="1" hidden="1" x14ac:dyDescent="0.25"/>
    <row r="48" spans="1:14" s="9" customFormat="1" ht="47.25" customHeight="1" x14ac:dyDescent="0.25">
      <c r="A48" s="92" t="s">
        <v>19</v>
      </c>
      <c r="B48" s="92"/>
      <c r="C48" s="92"/>
      <c r="D48" s="92"/>
      <c r="E48" s="92"/>
      <c r="F48" s="31" t="s">
        <v>17</v>
      </c>
      <c r="G48" s="31" t="s">
        <v>70</v>
      </c>
      <c r="H48" s="31" t="s">
        <v>69</v>
      </c>
      <c r="I48" s="31" t="s">
        <v>82</v>
      </c>
      <c r="J48" s="31" t="s">
        <v>77</v>
      </c>
      <c r="K48" s="33" t="s">
        <v>78</v>
      </c>
      <c r="L48" s="45"/>
    </row>
    <row r="49" spans="1:13" s="9" customFormat="1" x14ac:dyDescent="0.25">
      <c r="A49" s="85" t="s">
        <v>28</v>
      </c>
      <c r="B49" s="85"/>
      <c r="C49" s="85"/>
      <c r="D49" s="85"/>
      <c r="E49" s="85"/>
      <c r="F49" s="1" t="s">
        <v>32</v>
      </c>
      <c r="G49" s="23">
        <v>2.1827999999999999</v>
      </c>
      <c r="H49" s="13">
        <f>'Услуга №1 '!H58</f>
        <v>412.8</v>
      </c>
      <c r="I49" s="13">
        <f>(G49*H49)</f>
        <v>901.05984000000001</v>
      </c>
      <c r="J49" s="23">
        <f>J43</f>
        <v>13800</v>
      </c>
      <c r="K49" s="13">
        <f>I49/J49</f>
        <v>6.5294191304347826E-2</v>
      </c>
      <c r="L49" s="17"/>
    </row>
    <row r="50" spans="1:13" s="9" customFormat="1" x14ac:dyDescent="0.25">
      <c r="A50" s="85" t="s">
        <v>29</v>
      </c>
      <c r="B50" s="85"/>
      <c r="C50" s="85"/>
      <c r="D50" s="85"/>
      <c r="E50" s="85"/>
      <c r="F50" s="1" t="s">
        <v>32</v>
      </c>
      <c r="G50" s="23">
        <v>2.1827999999999999</v>
      </c>
      <c r="H50" s="13">
        <f>'Услуга №1 '!H59</f>
        <v>724.31</v>
      </c>
      <c r="I50" s="13">
        <f t="shared" ref="I50:I53" si="6">(G50*H50)</f>
        <v>1581.0238679999998</v>
      </c>
      <c r="J50" s="23">
        <f>J49</f>
        <v>13800</v>
      </c>
      <c r="K50" s="13">
        <f t="shared" ref="K50:K53" si="7">I50/J50</f>
        <v>0.11456694695652173</v>
      </c>
      <c r="L50" s="17"/>
    </row>
    <row r="51" spans="1:13" s="9" customFormat="1" x14ac:dyDescent="0.25">
      <c r="A51" s="85" t="s">
        <v>30</v>
      </c>
      <c r="B51" s="85"/>
      <c r="C51" s="85"/>
      <c r="D51" s="85"/>
      <c r="E51" s="85"/>
      <c r="F51" s="1" t="s">
        <v>32</v>
      </c>
      <c r="G51" s="46">
        <v>0.18190000000000001</v>
      </c>
      <c r="H51" s="13">
        <f>'Услуга №1 '!H60</f>
        <v>6350</v>
      </c>
      <c r="I51" s="13">
        <f t="shared" si="6"/>
        <v>1155.0650000000001</v>
      </c>
      <c r="J51" s="23">
        <f>J50</f>
        <v>13800</v>
      </c>
      <c r="K51" s="13">
        <f t="shared" si="7"/>
        <v>8.3700362318840579E-2</v>
      </c>
      <c r="L51" s="17"/>
    </row>
    <row r="52" spans="1:13" s="9" customFormat="1" x14ac:dyDescent="0.25">
      <c r="A52" s="85" t="s">
        <v>31</v>
      </c>
      <c r="B52" s="85"/>
      <c r="C52" s="85"/>
      <c r="D52" s="85"/>
      <c r="E52" s="85"/>
      <c r="F52" s="1" t="s">
        <v>32</v>
      </c>
      <c r="G52" s="23">
        <v>2.1827999999999999</v>
      </c>
      <c r="H52" s="13">
        <f>'Услуга №1 '!H61</f>
        <v>2400</v>
      </c>
      <c r="I52" s="13">
        <f t="shared" si="6"/>
        <v>5238.7199999999993</v>
      </c>
      <c r="J52" s="23">
        <f>J51</f>
        <v>13800</v>
      </c>
      <c r="K52" s="13">
        <f t="shared" si="7"/>
        <v>0.3796173913043478</v>
      </c>
      <c r="L52" s="17"/>
    </row>
    <row r="53" spans="1:13" s="9" customFormat="1" ht="28.5" customHeight="1" x14ac:dyDescent="0.25">
      <c r="A53" s="88" t="s">
        <v>83</v>
      </c>
      <c r="B53" s="89"/>
      <c r="C53" s="89"/>
      <c r="D53" s="89"/>
      <c r="E53" s="90"/>
      <c r="F53" s="1" t="s">
        <v>32</v>
      </c>
      <c r="G53" s="23">
        <v>2.1827999999999999</v>
      </c>
      <c r="H53" s="13">
        <f>'Услуга №1 '!H62</f>
        <v>28325.39</v>
      </c>
      <c r="I53" s="13">
        <f t="shared" si="6"/>
        <v>61828.661291999997</v>
      </c>
      <c r="J53" s="23">
        <f>J52</f>
        <v>13800</v>
      </c>
      <c r="K53" s="13">
        <f t="shared" si="7"/>
        <v>4.4803377747826083</v>
      </c>
      <c r="L53" s="17"/>
    </row>
    <row r="54" spans="1:13" s="9" customFormat="1" x14ac:dyDescent="0.25">
      <c r="A54" s="100" t="s">
        <v>33</v>
      </c>
      <c r="B54" s="101"/>
      <c r="C54" s="101"/>
      <c r="D54" s="101"/>
      <c r="E54" s="101"/>
      <c r="F54" s="101"/>
      <c r="G54" s="101"/>
      <c r="H54" s="101"/>
      <c r="I54" s="48">
        <f>SUM(I49:I53)</f>
        <v>70704.53</v>
      </c>
      <c r="J54" s="48"/>
      <c r="K54" s="48">
        <f>I54/J53</f>
        <v>5.1235166666666663</v>
      </c>
      <c r="L54" s="17"/>
    </row>
    <row r="55" spans="1:13" s="9" customFormat="1" x14ac:dyDescent="0.25"/>
    <row r="56" spans="1:13" s="9" customFormat="1" x14ac:dyDescent="0.25">
      <c r="A56" s="93" t="s">
        <v>84</v>
      </c>
      <c r="B56" s="93"/>
      <c r="C56" s="93"/>
      <c r="D56" s="93"/>
      <c r="E56" s="93"/>
      <c r="F56" s="93"/>
      <c r="G56" s="93"/>
      <c r="H56" s="93"/>
      <c r="I56" s="93"/>
      <c r="J56" s="93"/>
      <c r="K56" s="93"/>
      <c r="L56" s="93"/>
    </row>
    <row r="57" spans="1:13" s="9" customFormat="1" ht="51.75" customHeight="1" x14ac:dyDescent="0.25">
      <c r="A57" s="92" t="s">
        <v>19</v>
      </c>
      <c r="B57" s="92"/>
      <c r="C57" s="92"/>
      <c r="D57" s="92"/>
      <c r="E57" s="92"/>
      <c r="F57" s="31" t="s">
        <v>17</v>
      </c>
      <c r="G57" s="31" t="s">
        <v>70</v>
      </c>
      <c r="H57" s="31" t="s">
        <v>69</v>
      </c>
      <c r="I57" s="31" t="s">
        <v>82</v>
      </c>
      <c r="J57" s="31" t="s">
        <v>77</v>
      </c>
      <c r="K57" s="33" t="s">
        <v>78</v>
      </c>
      <c r="L57" s="45"/>
    </row>
    <row r="58" spans="1:13" s="9" customFormat="1" ht="30.75" customHeight="1" x14ac:dyDescent="0.25">
      <c r="A58" s="88" t="s">
        <v>85</v>
      </c>
      <c r="B58" s="89"/>
      <c r="C58" s="89"/>
      <c r="D58" s="89"/>
      <c r="E58" s="90"/>
      <c r="F58" s="1" t="s">
        <v>32</v>
      </c>
      <c r="G58" s="23">
        <v>2.0009000000000001</v>
      </c>
      <c r="H58" s="13">
        <f>'Услуга №1 '!H67</f>
        <v>4742.7269999999999</v>
      </c>
      <c r="I58" s="13">
        <f>(G58*H58)</f>
        <v>9489.7224543000011</v>
      </c>
      <c r="J58" s="23">
        <f>J53</f>
        <v>13800</v>
      </c>
      <c r="K58" s="13">
        <f>I58/J58</f>
        <v>0.68766104741304357</v>
      </c>
      <c r="L58" s="17"/>
    </row>
    <row r="59" spans="1:13" s="9" customFormat="1" hidden="1" x14ac:dyDescent="0.25">
      <c r="A59" s="85" t="s">
        <v>86</v>
      </c>
      <c r="B59" s="85"/>
      <c r="C59" s="85"/>
      <c r="D59" s="85"/>
      <c r="E59" s="85"/>
      <c r="F59" s="1" t="s">
        <v>32</v>
      </c>
      <c r="G59" s="13">
        <v>0.36</v>
      </c>
      <c r="H59" s="13">
        <f>'Услуга №1 '!H68</f>
        <v>0</v>
      </c>
      <c r="I59" s="13"/>
      <c r="J59" s="23">
        <f>J58</f>
        <v>13800</v>
      </c>
      <c r="K59" s="13">
        <f t="shared" ref="K59" si="8">I59/J59</f>
        <v>0</v>
      </c>
      <c r="L59" s="17"/>
    </row>
    <row r="60" spans="1:13" s="9" customFormat="1" x14ac:dyDescent="0.25">
      <c r="A60" s="100" t="s">
        <v>87</v>
      </c>
      <c r="B60" s="101"/>
      <c r="C60" s="101"/>
      <c r="D60" s="101"/>
      <c r="E60" s="101"/>
      <c r="F60" s="101"/>
      <c r="G60" s="101"/>
      <c r="H60" s="101"/>
      <c r="I60" s="48">
        <f>SUM(I58:I59)</f>
        <v>9489.7224543000011</v>
      </c>
      <c r="J60" s="47"/>
      <c r="K60" s="47">
        <f>I60/J58</f>
        <v>0.68766104741304357</v>
      </c>
      <c r="L60" s="17"/>
    </row>
    <row r="61" spans="1:13" s="9" customFormat="1" x14ac:dyDescent="0.25">
      <c r="A61" s="34"/>
      <c r="B61" s="34"/>
      <c r="C61" s="34"/>
      <c r="D61" s="34"/>
      <c r="E61" s="34"/>
      <c r="F61" s="34"/>
      <c r="G61" s="34"/>
      <c r="H61" s="34"/>
      <c r="I61" s="53"/>
      <c r="J61" s="54"/>
      <c r="K61" s="54"/>
      <c r="L61" s="17"/>
    </row>
    <row r="62" spans="1:13" s="9" customFormat="1" x14ac:dyDescent="0.25">
      <c r="A62" s="93" t="s">
        <v>88</v>
      </c>
      <c r="B62" s="93"/>
      <c r="C62" s="93"/>
      <c r="D62" s="93"/>
      <c r="E62" s="93"/>
      <c r="F62" s="93"/>
      <c r="G62" s="93"/>
      <c r="H62" s="93"/>
      <c r="I62" s="93"/>
      <c r="J62" s="93"/>
      <c r="K62" s="93"/>
      <c r="L62" s="93"/>
    </row>
    <row r="63" spans="1:13" s="9" customFormat="1" ht="46.5" customHeight="1" x14ac:dyDescent="0.25">
      <c r="A63" s="103" t="s">
        <v>19</v>
      </c>
      <c r="B63" s="104"/>
      <c r="C63" s="104"/>
      <c r="D63" s="104"/>
      <c r="E63" s="105"/>
      <c r="F63" s="31" t="s">
        <v>17</v>
      </c>
      <c r="G63" s="31" t="s">
        <v>70</v>
      </c>
      <c r="H63" s="31" t="s">
        <v>69</v>
      </c>
      <c r="I63" s="31" t="s">
        <v>82</v>
      </c>
      <c r="J63" s="32" t="s">
        <v>77</v>
      </c>
      <c r="K63" s="33" t="s">
        <v>78</v>
      </c>
      <c r="L63" s="45"/>
      <c r="M63" s="45"/>
    </row>
    <row r="64" spans="1:13" s="9" customFormat="1" ht="45" x14ac:dyDescent="0.25">
      <c r="A64" s="103" t="s">
        <v>36</v>
      </c>
      <c r="B64" s="104"/>
      <c r="C64" s="104"/>
      <c r="D64" s="104"/>
      <c r="E64" s="105"/>
      <c r="F64" s="19" t="s">
        <v>37</v>
      </c>
      <c r="G64" s="46">
        <v>0.36380000000000001</v>
      </c>
      <c r="H64" s="13">
        <f>'Услуга №1 '!H73</f>
        <v>400</v>
      </c>
      <c r="I64" s="13">
        <f>G64*H64*12</f>
        <v>1746.2400000000002</v>
      </c>
      <c r="J64" s="49">
        <f>J59</f>
        <v>13800</v>
      </c>
      <c r="K64" s="13">
        <f>I64/J64</f>
        <v>0.12653913043478263</v>
      </c>
      <c r="L64" s="16"/>
      <c r="M64" s="17"/>
    </row>
    <row r="65" spans="1:13" s="9" customFormat="1" ht="45" x14ac:dyDescent="0.25">
      <c r="A65" s="103" t="s">
        <v>101</v>
      </c>
      <c r="B65" s="104"/>
      <c r="C65" s="104"/>
      <c r="D65" s="104"/>
      <c r="E65" s="105"/>
      <c r="F65" s="19" t="s">
        <v>37</v>
      </c>
      <c r="G65" s="23"/>
      <c r="H65" s="13"/>
      <c r="I65" s="13">
        <v>1964.52</v>
      </c>
      <c r="J65" s="49">
        <v>13800</v>
      </c>
      <c r="K65" s="13">
        <f>I65/J65</f>
        <v>0.14235652173913044</v>
      </c>
      <c r="L65" s="16"/>
      <c r="M65" s="17"/>
    </row>
    <row r="66" spans="1:13" s="9" customFormat="1" x14ac:dyDescent="0.25">
      <c r="A66" s="103" t="s">
        <v>89</v>
      </c>
      <c r="B66" s="104"/>
      <c r="C66" s="104"/>
      <c r="D66" s="104"/>
      <c r="E66" s="105"/>
      <c r="F66" s="19" t="s">
        <v>32</v>
      </c>
      <c r="G66" s="46">
        <v>0.18190000000000001</v>
      </c>
      <c r="H66" s="13">
        <f>'Услуга №1 '!H75</f>
        <v>800</v>
      </c>
      <c r="I66" s="13">
        <f>G66*H66*12</f>
        <v>1746.2400000000002</v>
      </c>
      <c r="J66" s="49">
        <f>J64</f>
        <v>13800</v>
      </c>
      <c r="K66" s="13">
        <f>I66/J66</f>
        <v>0.12653913043478263</v>
      </c>
      <c r="L66" s="16"/>
      <c r="M66" s="17"/>
    </row>
    <row r="67" spans="1:13" s="9" customFormat="1" x14ac:dyDescent="0.25">
      <c r="A67" s="100" t="s">
        <v>38</v>
      </c>
      <c r="B67" s="101"/>
      <c r="C67" s="101"/>
      <c r="D67" s="101"/>
      <c r="E67" s="101"/>
      <c r="F67" s="101"/>
      <c r="G67" s="101"/>
      <c r="H67" s="102"/>
      <c r="I67" s="48">
        <f>SUM(I64:I66)</f>
        <v>5457</v>
      </c>
      <c r="J67" s="47"/>
      <c r="K67" s="47">
        <f>I67/J66</f>
        <v>0.39543478260869563</v>
      </c>
      <c r="L67" s="36"/>
      <c r="M67" s="17"/>
    </row>
    <row r="68" spans="1:13" s="9" customFormat="1" x14ac:dyDescent="0.25"/>
    <row r="69" spans="1:13" s="9" customFormat="1" x14ac:dyDescent="0.25">
      <c r="A69" s="93" t="s">
        <v>58</v>
      </c>
      <c r="B69" s="93"/>
      <c r="C69" s="93"/>
      <c r="D69" s="93"/>
      <c r="E69" s="93"/>
      <c r="F69" s="93"/>
      <c r="G69" s="93"/>
      <c r="H69" s="93"/>
      <c r="I69" s="93"/>
      <c r="J69" s="93"/>
      <c r="K69" s="93"/>
      <c r="L69" s="93"/>
    </row>
    <row r="70" spans="1:13" s="9" customFormat="1" hidden="1" x14ac:dyDescent="0.25"/>
    <row r="71" spans="1:13" s="9" customFormat="1" ht="75" x14ac:dyDescent="0.25">
      <c r="A71" s="92" t="s">
        <v>15</v>
      </c>
      <c r="B71" s="92"/>
      <c r="C71" s="92"/>
      <c r="D71" s="92"/>
      <c r="E71" s="92"/>
      <c r="F71" s="31" t="s">
        <v>16</v>
      </c>
      <c r="G71" s="31" t="s">
        <v>1</v>
      </c>
      <c r="H71" s="31" t="s">
        <v>75</v>
      </c>
      <c r="I71" s="31" t="s">
        <v>76</v>
      </c>
      <c r="J71" s="31" t="s">
        <v>77</v>
      </c>
      <c r="K71" s="33" t="s">
        <v>78</v>
      </c>
      <c r="L71" s="45"/>
    </row>
    <row r="72" spans="1:13" s="9" customFormat="1" x14ac:dyDescent="0.25">
      <c r="A72" s="85" t="s">
        <v>5</v>
      </c>
      <c r="B72" s="85"/>
      <c r="C72" s="85"/>
      <c r="D72" s="85"/>
      <c r="E72" s="85"/>
      <c r="F72" s="63">
        <f>'Услуга №1 '!F81</f>
        <v>21778.37</v>
      </c>
      <c r="G72" s="1">
        <f>L18</f>
        <v>0.18190000000000001</v>
      </c>
      <c r="H72" s="13">
        <f>G72*F72*12</f>
        <v>47537.826035999999</v>
      </c>
      <c r="I72" s="13">
        <f>H72*1.302</f>
        <v>61894.249498871999</v>
      </c>
      <c r="J72" s="23">
        <v>13800</v>
      </c>
      <c r="K72" s="13">
        <f>I72/J72</f>
        <v>4.485090543396522</v>
      </c>
      <c r="L72" s="17"/>
    </row>
    <row r="73" spans="1:13" s="9" customFormat="1" x14ac:dyDescent="0.25">
      <c r="A73" s="85" t="s">
        <v>4</v>
      </c>
      <c r="B73" s="85"/>
      <c r="C73" s="85"/>
      <c r="D73" s="85"/>
      <c r="E73" s="85"/>
      <c r="F73" s="1">
        <f>'Услуга №1 '!F36</f>
        <v>16065.33</v>
      </c>
      <c r="G73" s="1">
        <f t="shared" ref="G73:G79" si="9">L19</f>
        <v>0.18190000000000001</v>
      </c>
      <c r="H73" s="13">
        <f t="shared" ref="H73:H79" si="10">G73*F73*12</f>
        <v>35067.402324000002</v>
      </c>
      <c r="I73" s="13">
        <f t="shared" ref="I73:I79" si="11">H73*1.302</f>
        <v>45657.757825848006</v>
      </c>
      <c r="J73" s="23">
        <f t="shared" ref="J73:J79" si="12">J72</f>
        <v>13800</v>
      </c>
      <c r="K73" s="13">
        <f t="shared" ref="K73:K79" si="13">I73/J73</f>
        <v>3.3085331757860872</v>
      </c>
      <c r="L73" s="17"/>
    </row>
    <row r="74" spans="1:13" s="9" customFormat="1" x14ac:dyDescent="0.25">
      <c r="A74" s="85" t="s">
        <v>7</v>
      </c>
      <c r="B74" s="85"/>
      <c r="C74" s="85"/>
      <c r="D74" s="85"/>
      <c r="E74" s="85"/>
      <c r="F74" s="13">
        <f>'Услуга №1 '!F38</f>
        <v>13589.6</v>
      </c>
      <c r="G74" s="1">
        <f t="shared" si="9"/>
        <v>0.18190000000000001</v>
      </c>
      <c r="H74" s="13">
        <f t="shared" si="10"/>
        <v>29663.378880000004</v>
      </c>
      <c r="I74" s="13">
        <f t="shared" si="11"/>
        <v>38621.719301760008</v>
      </c>
      <c r="J74" s="23">
        <f t="shared" si="12"/>
        <v>13800</v>
      </c>
      <c r="K74" s="13">
        <f t="shared" si="13"/>
        <v>2.7986753117217398</v>
      </c>
      <c r="L74" s="17"/>
    </row>
    <row r="75" spans="1:13" s="9" customFormat="1" x14ac:dyDescent="0.25">
      <c r="A75" s="85" t="s">
        <v>9</v>
      </c>
      <c r="B75" s="85"/>
      <c r="C75" s="85"/>
      <c r="D75" s="85"/>
      <c r="E75" s="85"/>
      <c r="F75" s="63">
        <f>'Услуга №1 '!F40</f>
        <v>13794.88</v>
      </c>
      <c r="G75" s="1">
        <f t="shared" si="9"/>
        <v>9.0899999999999995E-2</v>
      </c>
      <c r="H75" s="13">
        <f t="shared" si="10"/>
        <v>15047.455103999997</v>
      </c>
      <c r="I75" s="13">
        <f t="shared" si="11"/>
        <v>19591.786545407998</v>
      </c>
      <c r="J75" s="23">
        <f t="shared" si="12"/>
        <v>13800</v>
      </c>
      <c r="K75" s="13">
        <f t="shared" si="13"/>
        <v>1.4196946772034782</v>
      </c>
      <c r="L75" s="17"/>
    </row>
    <row r="76" spans="1:13" s="9" customFormat="1" x14ac:dyDescent="0.25">
      <c r="A76" s="85" t="s">
        <v>10</v>
      </c>
      <c r="B76" s="85"/>
      <c r="C76" s="85"/>
      <c r="D76" s="85"/>
      <c r="E76" s="85"/>
      <c r="F76" s="1">
        <f>'Услуга №1 '!F39</f>
        <v>6930.4</v>
      </c>
      <c r="G76" s="1">
        <f t="shared" si="9"/>
        <v>0.18190000000000001</v>
      </c>
      <c r="H76" s="13">
        <f t="shared" si="10"/>
        <v>15127.67712</v>
      </c>
      <c r="I76" s="13">
        <f t="shared" si="11"/>
        <v>19696.235610240001</v>
      </c>
      <c r="J76" s="23">
        <f t="shared" si="12"/>
        <v>13800</v>
      </c>
      <c r="K76" s="13">
        <f t="shared" si="13"/>
        <v>1.4272634500173913</v>
      </c>
      <c r="L76" s="17"/>
    </row>
    <row r="77" spans="1:13" s="9" customFormat="1" x14ac:dyDescent="0.25">
      <c r="A77" s="85" t="s">
        <v>11</v>
      </c>
      <c r="B77" s="85"/>
      <c r="C77" s="85"/>
      <c r="D77" s="85"/>
      <c r="E77" s="85"/>
      <c r="F77" s="1">
        <f>'Услуга №1 '!F37</f>
        <v>14072.442999999999</v>
      </c>
      <c r="G77" s="1">
        <f t="shared" si="9"/>
        <v>0.18190000000000001</v>
      </c>
      <c r="H77" s="13">
        <f t="shared" si="10"/>
        <v>30717.328580399997</v>
      </c>
      <c r="I77" s="13">
        <f t="shared" si="11"/>
        <v>39993.961811680798</v>
      </c>
      <c r="J77" s="23">
        <f t="shared" si="12"/>
        <v>13800</v>
      </c>
      <c r="K77" s="13">
        <f t="shared" si="13"/>
        <v>2.8981131747594779</v>
      </c>
      <c r="L77" s="17"/>
    </row>
    <row r="78" spans="1:13" s="9" customFormat="1" x14ac:dyDescent="0.25">
      <c r="A78" s="85" t="s">
        <v>79</v>
      </c>
      <c r="B78" s="85"/>
      <c r="C78" s="85"/>
      <c r="D78" s="85"/>
      <c r="E78" s="85"/>
      <c r="F78" s="63">
        <f>'Услуга №1 '!F43</f>
        <v>17517.915000000001</v>
      </c>
      <c r="G78" s="1">
        <f t="shared" si="9"/>
        <v>0.18190000000000001</v>
      </c>
      <c r="H78" s="13">
        <f t="shared" si="10"/>
        <v>38238.104862</v>
      </c>
      <c r="I78" s="13">
        <f t="shared" si="11"/>
        <v>49786.012530323998</v>
      </c>
      <c r="J78" s="23">
        <f t="shared" si="12"/>
        <v>13800</v>
      </c>
      <c r="K78" s="13">
        <f t="shared" si="13"/>
        <v>3.6076820674147827</v>
      </c>
      <c r="L78" s="17"/>
    </row>
    <row r="79" spans="1:13" s="9" customFormat="1" x14ac:dyDescent="0.25">
      <c r="A79" s="85" t="s">
        <v>13</v>
      </c>
      <c r="B79" s="85"/>
      <c r="C79" s="85"/>
      <c r="D79" s="85"/>
      <c r="E79" s="85"/>
      <c r="F79" s="63">
        <f>'Услуга №1 '!F82</f>
        <v>17731.994999999999</v>
      </c>
      <c r="G79" s="1">
        <f t="shared" si="9"/>
        <v>0.18190000000000001</v>
      </c>
      <c r="H79" s="13">
        <f t="shared" si="10"/>
        <v>38705.398686</v>
      </c>
      <c r="I79" s="13">
        <f t="shared" si="11"/>
        <v>50394.429089172001</v>
      </c>
      <c r="J79" s="23">
        <f t="shared" si="12"/>
        <v>13800</v>
      </c>
      <c r="K79" s="13">
        <f t="shared" si="13"/>
        <v>3.6517702238530436</v>
      </c>
      <c r="L79" s="17"/>
    </row>
    <row r="80" spans="1:13" s="9" customFormat="1" x14ac:dyDescent="0.25">
      <c r="A80" s="100" t="s">
        <v>39</v>
      </c>
      <c r="B80" s="101"/>
      <c r="C80" s="101"/>
      <c r="D80" s="101"/>
      <c r="E80" s="102"/>
      <c r="F80" s="22"/>
      <c r="G80" s="21">
        <f>SUM(G72:G79)</f>
        <v>1.3641999999999999</v>
      </c>
      <c r="H80" s="21"/>
      <c r="I80" s="48">
        <f>SUM(I72:I79)</f>
        <v>325636.15221330477</v>
      </c>
      <c r="J80" s="48"/>
      <c r="K80" s="48">
        <f>SUM(K72:K79)</f>
        <v>23.596822624152523</v>
      </c>
      <c r="L80" s="17"/>
    </row>
    <row r="81" spans="1:12" s="9" customFormat="1" x14ac:dyDescent="0.25">
      <c r="A81" s="34"/>
      <c r="B81" s="34"/>
      <c r="C81" s="34"/>
      <c r="D81" s="34"/>
      <c r="E81" s="34"/>
      <c r="F81" s="35"/>
      <c r="G81" s="35"/>
      <c r="H81" s="36"/>
      <c r="I81" s="36"/>
      <c r="J81" s="36"/>
      <c r="K81" s="37"/>
      <c r="L81" s="17"/>
    </row>
    <row r="82" spans="1:12" s="9" customFormat="1" x14ac:dyDescent="0.25">
      <c r="A82" s="93" t="s">
        <v>40</v>
      </c>
      <c r="B82" s="93"/>
      <c r="C82" s="93"/>
      <c r="D82" s="93"/>
      <c r="E82" s="93"/>
      <c r="F82" s="93"/>
      <c r="G82" s="93"/>
      <c r="H82" s="93"/>
      <c r="I82" s="93"/>
      <c r="J82" s="93"/>
      <c r="K82" s="93"/>
      <c r="L82" s="93"/>
    </row>
    <row r="83" spans="1:12" s="9" customFormat="1" ht="45.75" customHeight="1" x14ac:dyDescent="0.25">
      <c r="A83" s="92" t="s">
        <v>90</v>
      </c>
      <c r="B83" s="92"/>
      <c r="C83" s="92"/>
      <c r="D83" s="92"/>
      <c r="E83" s="92"/>
      <c r="F83" s="31" t="s">
        <v>17</v>
      </c>
      <c r="G83" s="31" t="s">
        <v>70</v>
      </c>
      <c r="H83" s="31" t="s">
        <v>69</v>
      </c>
      <c r="I83" s="31" t="s">
        <v>82</v>
      </c>
      <c r="J83" s="31" t="s">
        <v>77</v>
      </c>
      <c r="K83" s="33" t="s">
        <v>78</v>
      </c>
      <c r="L83" s="45"/>
    </row>
    <row r="84" spans="1:12" s="9" customFormat="1" x14ac:dyDescent="0.25">
      <c r="A84" s="85" t="s">
        <v>102</v>
      </c>
      <c r="B84" s="85"/>
      <c r="C84" s="85"/>
      <c r="D84" s="85"/>
      <c r="E84" s="85"/>
      <c r="F84" s="1" t="s">
        <v>41</v>
      </c>
      <c r="G84" s="13"/>
      <c r="H84" s="13"/>
      <c r="I84" s="13">
        <v>5247.81</v>
      </c>
      <c r="J84" s="23">
        <v>13800</v>
      </c>
      <c r="K84" s="13">
        <f>I84/J84</f>
        <v>0.38027608695652176</v>
      </c>
      <c r="L84" s="17"/>
    </row>
    <row r="85" spans="1:12" s="9" customFormat="1" x14ac:dyDescent="0.25">
      <c r="A85" s="100" t="s">
        <v>42</v>
      </c>
      <c r="B85" s="101"/>
      <c r="C85" s="101"/>
      <c r="D85" s="101"/>
      <c r="E85" s="101"/>
      <c r="F85" s="101"/>
      <c r="G85" s="101"/>
      <c r="H85" s="101"/>
      <c r="I85" s="48">
        <f>I84</f>
        <v>5247.81</v>
      </c>
      <c r="J85" s="48"/>
      <c r="K85" s="48">
        <f>I85/J84</f>
        <v>0.38027608695652176</v>
      </c>
      <c r="L85" s="17"/>
    </row>
    <row r="86" spans="1:12" s="9" customFormat="1" x14ac:dyDescent="0.25"/>
    <row r="87" spans="1:12" s="9" customFormat="1" x14ac:dyDescent="0.25">
      <c r="A87" s="93" t="s">
        <v>43</v>
      </c>
      <c r="B87" s="93"/>
      <c r="C87" s="93"/>
      <c r="D87" s="93"/>
      <c r="E87" s="93"/>
      <c r="F87" s="93"/>
      <c r="G87" s="93"/>
      <c r="H87" s="93"/>
      <c r="I87" s="93"/>
      <c r="J87" s="93"/>
      <c r="K87" s="93"/>
      <c r="L87" s="93"/>
    </row>
    <row r="88" spans="1:12" s="9" customFormat="1" hidden="1" x14ac:dyDescent="0.25"/>
    <row r="89" spans="1:12" s="9" customFormat="1" ht="15" customHeight="1" x14ac:dyDescent="0.25">
      <c r="A89" s="112" t="s">
        <v>44</v>
      </c>
      <c r="B89" s="113"/>
      <c r="C89" s="114"/>
      <c r="D89" s="103" t="s">
        <v>45</v>
      </c>
      <c r="E89" s="104"/>
      <c r="F89" s="104"/>
      <c r="G89" s="104"/>
      <c r="H89" s="104"/>
      <c r="I89" s="104"/>
      <c r="J89" s="105"/>
      <c r="K89" s="106" t="s">
        <v>56</v>
      </c>
      <c r="L89" s="107"/>
    </row>
    <row r="90" spans="1:12" s="9" customFormat="1" ht="30" x14ac:dyDescent="0.25">
      <c r="A90" s="1" t="s">
        <v>46</v>
      </c>
      <c r="B90" s="12" t="s">
        <v>47</v>
      </c>
      <c r="C90" s="1" t="s">
        <v>48</v>
      </c>
      <c r="D90" s="1" t="s">
        <v>49</v>
      </c>
      <c r="E90" s="1" t="s">
        <v>50</v>
      </c>
      <c r="F90" s="1" t="s">
        <v>51</v>
      </c>
      <c r="G90" s="1" t="s">
        <v>52</v>
      </c>
      <c r="H90" s="1" t="s">
        <v>53</v>
      </c>
      <c r="I90" s="1" t="s">
        <v>54</v>
      </c>
      <c r="J90" s="1" t="s">
        <v>55</v>
      </c>
      <c r="K90" s="108"/>
      <c r="L90" s="109"/>
    </row>
    <row r="91" spans="1:12" s="9" customFormat="1" x14ac:dyDescent="0.25">
      <c r="A91" s="13">
        <f>K34</f>
        <v>13.805274916951305</v>
      </c>
      <c r="B91" s="13"/>
      <c r="C91" s="1"/>
      <c r="D91" s="13">
        <f>K44</f>
        <v>6.8937463768115936</v>
      </c>
      <c r="E91" s="13">
        <f>K54</f>
        <v>5.1235166666666663</v>
      </c>
      <c r="F91" s="1">
        <f>L67</f>
        <v>0</v>
      </c>
      <c r="G91" s="13">
        <f>K67</f>
        <v>0.39543478260869563</v>
      </c>
      <c r="H91" s="1"/>
      <c r="I91" s="13">
        <f>K80</f>
        <v>23.596822624152523</v>
      </c>
      <c r="J91" s="13">
        <f>K60+K85</f>
        <v>1.0679371343695654</v>
      </c>
      <c r="K91" s="98">
        <f>SUM(A91:J91)</f>
        <v>50.882732501560348</v>
      </c>
      <c r="L91" s="99"/>
    </row>
    <row r="92" spans="1:12" s="9" customFormat="1" x14ac:dyDescent="0.25"/>
    <row r="93" spans="1:12" s="9" customFormat="1" x14ac:dyDescent="0.25">
      <c r="A93" s="20" t="s">
        <v>64</v>
      </c>
      <c r="B93" s="20"/>
      <c r="C93" s="20"/>
      <c r="D93" s="20"/>
      <c r="E93" s="20"/>
      <c r="F93" s="20" t="s">
        <v>65</v>
      </c>
      <c r="G93" s="20"/>
      <c r="I93" s="56">
        <f>I85+I80+I67+I60+I54+I44+I34</f>
        <v>702181.70852153283</v>
      </c>
      <c r="L93" s="56">
        <f>K91*J84</f>
        <v>702181.70852153283</v>
      </c>
    </row>
    <row r="94" spans="1:12" s="9" customFormat="1" x14ac:dyDescent="0.25">
      <c r="A94" s="20"/>
      <c r="B94" s="20"/>
      <c r="C94" s="3"/>
      <c r="D94" s="4"/>
      <c r="E94" s="4"/>
      <c r="F94" s="4"/>
      <c r="G94" s="4"/>
    </row>
    <row r="95" spans="1:12" s="9" customFormat="1" x14ac:dyDescent="0.25">
      <c r="A95" s="20" t="str">
        <f>'Работа №2'!A101:D101</f>
        <v>Курлович Анастасия Вячеславовна</v>
      </c>
      <c r="B95" s="7"/>
      <c r="I95" s="40"/>
      <c r="L95" s="40"/>
    </row>
    <row r="96" spans="1:12" x14ac:dyDescent="0.25">
      <c r="A96" s="20" t="s">
        <v>66</v>
      </c>
      <c r="B96" s="7"/>
      <c r="C96" s="9"/>
      <c r="D96" s="9"/>
      <c r="E96" s="9"/>
      <c r="F96" s="9"/>
      <c r="G96" s="9"/>
      <c r="I96" s="40"/>
      <c r="J96" s="9"/>
      <c r="K96" s="9"/>
      <c r="L96" s="39"/>
    </row>
    <row r="97" spans="8:9" x14ac:dyDescent="0.25">
      <c r="H97" s="52"/>
      <c r="I97" s="41"/>
    </row>
    <row r="105" spans="8:9" x14ac:dyDescent="0.25">
      <c r="I105" s="41"/>
    </row>
  </sheetData>
  <mergeCells count="78">
    <mergeCell ref="A83:E83"/>
    <mergeCell ref="A85:H85"/>
    <mergeCell ref="A58:E58"/>
    <mergeCell ref="A59:E59"/>
    <mergeCell ref="A60:H60"/>
    <mergeCell ref="A63:E63"/>
    <mergeCell ref="A67:H67"/>
    <mergeCell ref="A79:E79"/>
    <mergeCell ref="A80:E80"/>
    <mergeCell ref="A66:E66"/>
    <mergeCell ref="A69:L69"/>
    <mergeCell ref="A76:E76"/>
    <mergeCell ref="A73:E73"/>
    <mergeCell ref="A74:E74"/>
    <mergeCell ref="A75:E75"/>
    <mergeCell ref="A65:E65"/>
    <mergeCell ref="K91:L91"/>
    <mergeCell ref="A18:E18"/>
    <mergeCell ref="G18:K18"/>
    <mergeCell ref="A87:L87"/>
    <mergeCell ref="A89:C89"/>
    <mergeCell ref="D89:J89"/>
    <mergeCell ref="K89:L90"/>
    <mergeCell ref="A78:E78"/>
    <mergeCell ref="A72:E72"/>
    <mergeCell ref="A82:L82"/>
    <mergeCell ref="A84:E84"/>
    <mergeCell ref="A77:E77"/>
    <mergeCell ref="A71:E71"/>
    <mergeCell ref="A53:E53"/>
    <mergeCell ref="A62:L62"/>
    <mergeCell ref="A64:E64"/>
    <mergeCell ref="A54:H54"/>
    <mergeCell ref="A56:L56"/>
    <mergeCell ref="A57:E57"/>
    <mergeCell ref="A52:E52"/>
    <mergeCell ref="A38:E38"/>
    <mergeCell ref="A39:E39"/>
    <mergeCell ref="A40:E40"/>
    <mergeCell ref="A42:E42"/>
    <mergeCell ref="A43:E43"/>
    <mergeCell ref="A46:L46"/>
    <mergeCell ref="A48:E48"/>
    <mergeCell ref="A49:E49"/>
    <mergeCell ref="A50:E50"/>
    <mergeCell ref="A51:E51"/>
    <mergeCell ref="A44:H44"/>
    <mergeCell ref="A41:E41"/>
    <mergeCell ref="A36:L36"/>
    <mergeCell ref="G23:K23"/>
    <mergeCell ref="A24:E24"/>
    <mergeCell ref="G24:K24"/>
    <mergeCell ref="A26:E26"/>
    <mergeCell ref="G26:K26"/>
    <mergeCell ref="A25:E25"/>
    <mergeCell ref="G25:K25"/>
    <mergeCell ref="A23:E23"/>
    <mergeCell ref="A32:E32"/>
    <mergeCell ref="A33:E33"/>
    <mergeCell ref="A29:E29"/>
    <mergeCell ref="A30:E30"/>
    <mergeCell ref="A31:E31"/>
    <mergeCell ref="A34:E34"/>
    <mergeCell ref="G21:K21"/>
    <mergeCell ref="A22:E22"/>
    <mergeCell ref="G22:K22"/>
    <mergeCell ref="A20:E20"/>
    <mergeCell ref="G20:K20"/>
    <mergeCell ref="A21:E21"/>
    <mergeCell ref="G19:K19"/>
    <mergeCell ref="A4:F4"/>
    <mergeCell ref="A5:D5"/>
    <mergeCell ref="A8:M8"/>
    <mergeCell ref="A9:M9"/>
    <mergeCell ref="A10:M10"/>
    <mergeCell ref="A17:E17"/>
    <mergeCell ref="G17:K17"/>
    <mergeCell ref="A19:E19"/>
  </mergeCells>
  <pageMargins left="0.31496062992125984" right="0.31496062992125984" top="0.55118110236220474" bottom="0.55118110236220474" header="0.31496062992125984" footer="0.31496062992125984"/>
  <pageSetup paperSize="9" scale="84" orientation="landscape" r:id="rId1"/>
  <rowBreaks count="1" manualBreakCount="1">
    <brk id="63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СВОД</vt:lpstr>
      <vt:lpstr>Услуга №1 </vt:lpstr>
      <vt:lpstr>Работа №1</vt:lpstr>
      <vt:lpstr>Работа №2</vt:lpstr>
      <vt:lpstr>Работа №3</vt:lpstr>
      <vt:lpstr>'Работа №1'!Область_печати</vt:lpstr>
      <vt:lpstr>'Услуга №1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2018-12-20T05:03:11Z</dcterms:modified>
</cp:coreProperties>
</file>