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 firstSheet="1" activeTab="5"/>
  </bookViews>
  <sheets>
    <sheet name="Услуга №1" sheetId="13" r:id="rId1"/>
    <sheet name="Услуга №2" sheetId="14" r:id="rId2"/>
    <sheet name="Работа №1" sheetId="19" r:id="rId3"/>
    <sheet name="Работа №2" sheetId="20" r:id="rId4"/>
    <sheet name="Работа №3" sheetId="21" r:id="rId5"/>
    <sheet name="Работа №4" sheetId="22" r:id="rId6"/>
    <sheet name="ВСЕГО" sheetId="25" r:id="rId7"/>
    <sheet name="Лист1" sheetId="26" r:id="rId8"/>
  </sheets>
  <calcPr calcId="162913"/>
</workbook>
</file>

<file path=xl/calcChain.xml><?xml version="1.0" encoding="utf-8"?>
<calcChain xmlns="http://schemas.openxmlformats.org/spreadsheetml/2006/main">
  <c r="M40" i="22" l="1"/>
  <c r="M39" i="22"/>
  <c r="M38" i="22"/>
  <c r="M37" i="22"/>
  <c r="M36" i="22"/>
  <c r="M35" i="22"/>
  <c r="M34" i="22"/>
  <c r="M33" i="22"/>
  <c r="M32" i="22"/>
  <c r="M31" i="22"/>
  <c r="M30" i="22"/>
  <c r="M29" i="22"/>
  <c r="M28" i="22"/>
  <c r="M27" i="22"/>
  <c r="M26" i="22"/>
  <c r="M25" i="22"/>
  <c r="M24" i="22"/>
  <c r="M23" i="22"/>
  <c r="M22" i="22"/>
  <c r="M21" i="22"/>
  <c r="M20" i="22"/>
  <c r="M19" i="22"/>
  <c r="M18" i="22"/>
  <c r="M17" i="22"/>
  <c r="F17" i="22"/>
  <c r="L40" i="22"/>
  <c r="F18" i="22"/>
  <c r="F156" i="22"/>
  <c r="F125" i="22"/>
  <c r="G125" i="22"/>
  <c r="M40" i="21"/>
  <c r="M39" i="21"/>
  <c r="M38" i="21"/>
  <c r="M37" i="21"/>
  <c r="M36" i="21"/>
  <c r="M35" i="21"/>
  <c r="M34" i="21"/>
  <c r="M33" i="21"/>
  <c r="M32" i="21"/>
  <c r="M31" i="21"/>
  <c r="M30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F17" i="21"/>
  <c r="L40" i="21"/>
  <c r="F18" i="21"/>
  <c r="F156" i="21"/>
  <c r="G156" i="21"/>
  <c r="F125" i="21"/>
  <c r="G125" i="21"/>
  <c r="M40" i="20"/>
  <c r="M39" i="20"/>
  <c r="M38" i="20"/>
  <c r="M37" i="20"/>
  <c r="M36" i="20"/>
  <c r="M35" i="20"/>
  <c r="M34" i="20"/>
  <c r="M33" i="20"/>
  <c r="M32" i="20"/>
  <c r="M31" i="20"/>
  <c r="M30" i="20"/>
  <c r="M29" i="20"/>
  <c r="M28" i="20"/>
  <c r="M27" i="20"/>
  <c r="M26" i="20"/>
  <c r="M25" i="20"/>
  <c r="M24" i="20"/>
  <c r="M23" i="20"/>
  <c r="M22" i="20"/>
  <c r="M21" i="20"/>
  <c r="M20" i="20"/>
  <c r="M19" i="20"/>
  <c r="M18" i="20"/>
  <c r="M17" i="20"/>
  <c r="F17" i="20"/>
  <c r="L40" i="20"/>
  <c r="F18" i="20"/>
  <c r="F158" i="20"/>
  <c r="F126" i="20"/>
  <c r="G126" i="20"/>
  <c r="M39" i="19"/>
  <c r="M38" i="19"/>
  <c r="M37" i="19"/>
  <c r="M36" i="19"/>
  <c r="M35" i="19"/>
  <c r="M34" i="19"/>
  <c r="M33" i="19"/>
  <c r="M32" i="19"/>
  <c r="M31" i="19"/>
  <c r="M30" i="19"/>
  <c r="M29" i="19"/>
  <c r="M28" i="19"/>
  <c r="M27" i="19"/>
  <c r="M26" i="19"/>
  <c r="M25" i="19"/>
  <c r="M24" i="19"/>
  <c r="M23" i="19"/>
  <c r="M22" i="19"/>
  <c r="M21" i="19"/>
  <c r="M20" i="19"/>
  <c r="M19" i="19"/>
  <c r="M18" i="19"/>
  <c r="M17" i="19"/>
  <c r="F17" i="19"/>
  <c r="L40" i="19"/>
  <c r="M40" i="19" s="1"/>
  <c r="F18" i="19"/>
  <c r="F156" i="19"/>
  <c r="F125" i="19"/>
  <c r="G125" i="19"/>
  <c r="M40" i="14"/>
  <c r="M39" i="14"/>
  <c r="M38" i="14"/>
  <c r="M37" i="14"/>
  <c r="M36" i="14"/>
  <c r="M35" i="14"/>
  <c r="M34" i="14"/>
  <c r="M33" i="14"/>
  <c r="M32" i="14"/>
  <c r="M31" i="14"/>
  <c r="M30" i="14"/>
  <c r="M29" i="14"/>
  <c r="M28" i="14"/>
  <c r="M27" i="14"/>
  <c r="M26" i="14"/>
  <c r="M25" i="14"/>
  <c r="M24" i="14"/>
  <c r="M23" i="14"/>
  <c r="M22" i="14"/>
  <c r="M21" i="14"/>
  <c r="M20" i="14"/>
  <c r="M19" i="14"/>
  <c r="M18" i="14"/>
  <c r="M17" i="14"/>
  <c r="F17" i="14"/>
  <c r="L40" i="14"/>
  <c r="F18" i="14"/>
  <c r="F156" i="14"/>
  <c r="F125" i="14"/>
  <c r="G125" i="14"/>
  <c r="M39" i="13"/>
  <c r="M38" i="13"/>
  <c r="M37" i="13"/>
  <c r="M36" i="13"/>
  <c r="M35" i="13"/>
  <c r="M34" i="13"/>
  <c r="M33" i="13"/>
  <c r="M32" i="13"/>
  <c r="M31" i="13"/>
  <c r="M30" i="13"/>
  <c r="M29" i="13"/>
  <c r="M28" i="13"/>
  <c r="M27" i="13"/>
  <c r="M26" i="13"/>
  <c r="M25" i="13"/>
  <c r="M24" i="13"/>
  <c r="M23" i="13"/>
  <c r="M22" i="13"/>
  <c r="M21" i="13"/>
  <c r="M20" i="13"/>
  <c r="M19" i="13"/>
  <c r="M18" i="13"/>
  <c r="M17" i="13"/>
  <c r="F17" i="13"/>
  <c r="L40" i="13"/>
  <c r="F18" i="13"/>
  <c r="F156" i="13"/>
  <c r="F125" i="13"/>
  <c r="G125" i="13"/>
  <c r="K200" i="22" l="1"/>
  <c r="K201" i="21"/>
  <c r="K202" i="20"/>
  <c r="K200" i="13"/>
  <c r="K201" i="14"/>
  <c r="H193" i="22" l="1"/>
  <c r="J193" i="22" s="1"/>
  <c r="H192" i="22"/>
  <c r="J192" i="22" s="1"/>
  <c r="H191" i="22"/>
  <c r="J191" i="22" s="1"/>
  <c r="H187" i="22"/>
  <c r="J187" i="22" s="1"/>
  <c r="H186" i="22"/>
  <c r="J186" i="22" s="1"/>
  <c r="J181" i="22"/>
  <c r="M181" i="22" s="1"/>
  <c r="M180" i="22"/>
  <c r="M179" i="22"/>
  <c r="J178" i="22"/>
  <c r="H178" i="22"/>
  <c r="I178" i="22" s="1"/>
  <c r="J177" i="22"/>
  <c r="H177" i="22"/>
  <c r="I177" i="22" s="1"/>
  <c r="J176" i="22"/>
  <c r="H176" i="22"/>
  <c r="I176" i="22" s="1"/>
  <c r="J175" i="22"/>
  <c r="H175" i="22"/>
  <c r="I175" i="22" s="1"/>
  <c r="J174" i="22"/>
  <c r="H174" i="22"/>
  <c r="I174" i="22" s="1"/>
  <c r="J173" i="22"/>
  <c r="H173" i="22"/>
  <c r="I173" i="22" s="1"/>
  <c r="J172" i="22"/>
  <c r="H172" i="22"/>
  <c r="I172" i="22" s="1"/>
  <c r="J171" i="22"/>
  <c r="H171" i="22"/>
  <c r="I171" i="22" s="1"/>
  <c r="J170" i="22"/>
  <c r="H170" i="22"/>
  <c r="I170" i="22" s="1"/>
  <c r="J169" i="22"/>
  <c r="H169" i="22"/>
  <c r="I169" i="22" s="1"/>
  <c r="J168" i="22"/>
  <c r="H168" i="22"/>
  <c r="I168" i="22" s="1"/>
  <c r="J167" i="22"/>
  <c r="H167" i="22"/>
  <c r="I167" i="22" s="1"/>
  <c r="J166" i="22"/>
  <c r="H166" i="22"/>
  <c r="I166" i="22" s="1"/>
  <c r="J165" i="22"/>
  <c r="H165" i="22"/>
  <c r="I165" i="22" s="1"/>
  <c r="J164" i="22"/>
  <c r="H164" i="22"/>
  <c r="I164" i="22" s="1"/>
  <c r="J163" i="22"/>
  <c r="H163" i="22"/>
  <c r="I163" i="22" s="1"/>
  <c r="J162" i="22"/>
  <c r="H162" i="22"/>
  <c r="I162" i="22" s="1"/>
  <c r="J161" i="22"/>
  <c r="H161" i="22"/>
  <c r="I161" i="22" s="1"/>
  <c r="J160" i="22"/>
  <c r="H160" i="22"/>
  <c r="I160" i="22" s="1"/>
  <c r="J159" i="22"/>
  <c r="H159" i="22"/>
  <c r="I159" i="22" s="1"/>
  <c r="J158" i="22"/>
  <c r="H158" i="22"/>
  <c r="I158" i="22" s="1"/>
  <c r="J157" i="22"/>
  <c r="H157" i="22"/>
  <c r="I157" i="22" s="1"/>
  <c r="G156" i="22"/>
  <c r="H156" i="22" s="1"/>
  <c r="E156" i="22"/>
  <c r="J150" i="22"/>
  <c r="M150" i="22" s="1"/>
  <c r="M149" i="22"/>
  <c r="M148" i="22"/>
  <c r="J147" i="22"/>
  <c r="H147" i="22"/>
  <c r="I147" i="22" s="1"/>
  <c r="J146" i="22"/>
  <c r="H146" i="22"/>
  <c r="I146" i="22" s="1"/>
  <c r="J145" i="22"/>
  <c r="H145" i="22"/>
  <c r="I145" i="22" s="1"/>
  <c r="J144" i="22"/>
  <c r="H144" i="22"/>
  <c r="I144" i="22" s="1"/>
  <c r="J143" i="22"/>
  <c r="H143" i="22"/>
  <c r="I143" i="22" s="1"/>
  <c r="J142" i="22"/>
  <c r="H142" i="22"/>
  <c r="I142" i="22" s="1"/>
  <c r="J141" i="22"/>
  <c r="H141" i="22"/>
  <c r="I141" i="22" s="1"/>
  <c r="J140" i="22"/>
  <c r="H140" i="22"/>
  <c r="I140" i="22" s="1"/>
  <c r="J139" i="22"/>
  <c r="H139" i="22"/>
  <c r="I139" i="22" s="1"/>
  <c r="J138" i="22"/>
  <c r="H138" i="22"/>
  <c r="I138" i="22" s="1"/>
  <c r="J137" i="22"/>
  <c r="H137" i="22"/>
  <c r="I137" i="22" s="1"/>
  <c r="J136" i="22"/>
  <c r="H136" i="22"/>
  <c r="I136" i="22" s="1"/>
  <c r="J135" i="22"/>
  <c r="H135" i="22"/>
  <c r="I135" i="22" s="1"/>
  <c r="J134" i="22"/>
  <c r="H134" i="22"/>
  <c r="I134" i="22" s="1"/>
  <c r="J133" i="22"/>
  <c r="H133" i="22"/>
  <c r="I133" i="22" s="1"/>
  <c r="J132" i="22"/>
  <c r="H132" i="22"/>
  <c r="I132" i="22" s="1"/>
  <c r="J131" i="22"/>
  <c r="H131" i="22"/>
  <c r="I131" i="22" s="1"/>
  <c r="J130" i="22"/>
  <c r="H130" i="22"/>
  <c r="I130" i="22" s="1"/>
  <c r="J129" i="22"/>
  <c r="H129" i="22"/>
  <c r="I129" i="22" s="1"/>
  <c r="J128" i="22"/>
  <c r="H128" i="22"/>
  <c r="I128" i="22" s="1"/>
  <c r="J127" i="22"/>
  <c r="H127" i="22"/>
  <c r="I127" i="22" s="1"/>
  <c r="J126" i="22"/>
  <c r="H126" i="22"/>
  <c r="I126" i="22" s="1"/>
  <c r="H125" i="22"/>
  <c r="E125" i="22"/>
  <c r="H119" i="22"/>
  <c r="H118" i="22"/>
  <c r="F115" i="22"/>
  <c r="F120" i="22" s="1"/>
  <c r="I110" i="22"/>
  <c r="I109" i="22"/>
  <c r="G106" i="22"/>
  <c r="I106" i="22" s="1"/>
  <c r="G105" i="22"/>
  <c r="I105" i="22" s="1"/>
  <c r="G104" i="22"/>
  <c r="I104" i="22" s="1"/>
  <c r="G103" i="22"/>
  <c r="I103" i="22" s="1"/>
  <c r="G102" i="22"/>
  <c r="I102" i="22" s="1"/>
  <c r="G101" i="22"/>
  <c r="I101" i="22" s="1"/>
  <c r="G100" i="22"/>
  <c r="I100" i="22" s="1"/>
  <c r="G95" i="22"/>
  <c r="I95" i="22" s="1"/>
  <c r="G94" i="22"/>
  <c r="I94" i="22" s="1"/>
  <c r="G93" i="22"/>
  <c r="I93" i="22" s="1"/>
  <c r="G92" i="22"/>
  <c r="I92" i="22" s="1"/>
  <c r="G91" i="22"/>
  <c r="I91" i="22" s="1"/>
  <c r="G90" i="22"/>
  <c r="I90" i="22" s="1"/>
  <c r="G89" i="22"/>
  <c r="I89" i="22" s="1"/>
  <c r="G88" i="22"/>
  <c r="I88" i="22" s="1"/>
  <c r="G87" i="22"/>
  <c r="I87" i="22" s="1"/>
  <c r="G86" i="22"/>
  <c r="I86" i="22" s="1"/>
  <c r="G85" i="22"/>
  <c r="I85" i="22" s="1"/>
  <c r="H80" i="22"/>
  <c r="J80" i="22" s="1"/>
  <c r="H79" i="22"/>
  <c r="J79" i="22" s="1"/>
  <c r="H78" i="22"/>
  <c r="J78" i="22" s="1"/>
  <c r="H77" i="22"/>
  <c r="J77" i="22" s="1"/>
  <c r="H71" i="22"/>
  <c r="J71" i="22" s="1"/>
  <c r="H70" i="22"/>
  <c r="J70" i="22" s="1"/>
  <c r="H193" i="21"/>
  <c r="J193" i="21" s="1"/>
  <c r="H192" i="21"/>
  <c r="J192" i="21" s="1"/>
  <c r="H191" i="21"/>
  <c r="H187" i="21"/>
  <c r="H186" i="21"/>
  <c r="H156" i="21"/>
  <c r="K156" i="21" s="1"/>
  <c r="H125" i="21"/>
  <c r="K125" i="21" s="1"/>
  <c r="F115" i="21"/>
  <c r="F120" i="21" s="1"/>
  <c r="G106" i="21"/>
  <c r="G105" i="21"/>
  <c r="I105" i="21" s="1"/>
  <c r="G104" i="21"/>
  <c r="I104" i="21" s="1"/>
  <c r="G103" i="21"/>
  <c r="I103" i="21" s="1"/>
  <c r="G102" i="21"/>
  <c r="G101" i="21"/>
  <c r="I101" i="21" s="1"/>
  <c r="G100" i="21"/>
  <c r="I100" i="21" s="1"/>
  <c r="G95" i="21"/>
  <c r="I95" i="21" s="1"/>
  <c r="G94" i="21"/>
  <c r="I94" i="21" s="1"/>
  <c r="G93" i="21"/>
  <c r="I93" i="21" s="1"/>
  <c r="G92" i="21"/>
  <c r="I92" i="21" s="1"/>
  <c r="G91" i="21"/>
  <c r="I91" i="21" s="1"/>
  <c r="G90" i="21"/>
  <c r="I90" i="21" s="1"/>
  <c r="G89" i="21"/>
  <c r="I89" i="21" s="1"/>
  <c r="G88" i="21"/>
  <c r="I88" i="21" s="1"/>
  <c r="G87" i="21"/>
  <c r="I87" i="21" s="1"/>
  <c r="G86" i="21"/>
  <c r="G85" i="21"/>
  <c r="I85" i="21" s="1"/>
  <c r="H80" i="21"/>
  <c r="J80" i="21" s="1"/>
  <c r="H79" i="21"/>
  <c r="J79" i="21" s="1"/>
  <c r="H78" i="21"/>
  <c r="J78" i="21" s="1"/>
  <c r="H77" i="21"/>
  <c r="H71" i="21"/>
  <c r="J71" i="21" s="1"/>
  <c r="H70" i="21"/>
  <c r="H195" i="20"/>
  <c r="J195" i="20" s="1"/>
  <c r="H194" i="20"/>
  <c r="H193" i="20"/>
  <c r="J193" i="20" s="1"/>
  <c r="H189" i="20"/>
  <c r="J189" i="20" s="1"/>
  <c r="H188" i="20"/>
  <c r="J188" i="20" s="1"/>
  <c r="G158" i="20"/>
  <c r="H158" i="20" s="1"/>
  <c r="H126" i="20"/>
  <c r="F116" i="20"/>
  <c r="H116" i="20" s="1"/>
  <c r="H121" i="20" s="1"/>
  <c r="H202" i="20" s="1"/>
  <c r="G106" i="20"/>
  <c r="I106" i="20" s="1"/>
  <c r="G105" i="20"/>
  <c r="I105" i="20" s="1"/>
  <c r="G104" i="20"/>
  <c r="I104" i="20" s="1"/>
  <c r="G103" i="20"/>
  <c r="I103" i="20" s="1"/>
  <c r="G102" i="20"/>
  <c r="I102" i="20" s="1"/>
  <c r="G101" i="20"/>
  <c r="I101" i="20" s="1"/>
  <c r="G100" i="20"/>
  <c r="G95" i="20"/>
  <c r="I95" i="20" s="1"/>
  <c r="G94" i="20"/>
  <c r="I94" i="20" s="1"/>
  <c r="G93" i="20"/>
  <c r="I93" i="20" s="1"/>
  <c r="G92" i="20"/>
  <c r="I92" i="20" s="1"/>
  <c r="G91" i="20"/>
  <c r="I91" i="20" s="1"/>
  <c r="G90" i="20"/>
  <c r="I90" i="20" s="1"/>
  <c r="G89" i="20"/>
  <c r="I89" i="20" s="1"/>
  <c r="G88" i="20"/>
  <c r="I88" i="20" s="1"/>
  <c r="G87" i="20"/>
  <c r="I87" i="20" s="1"/>
  <c r="G86" i="20"/>
  <c r="I86" i="20" s="1"/>
  <c r="G85" i="20"/>
  <c r="I85" i="20" s="1"/>
  <c r="H80" i="20"/>
  <c r="J80" i="20" s="1"/>
  <c r="H79" i="20"/>
  <c r="J79" i="20" s="1"/>
  <c r="H78" i="20"/>
  <c r="J78" i="20" s="1"/>
  <c r="H77" i="20"/>
  <c r="J77" i="20" s="1"/>
  <c r="H71" i="20"/>
  <c r="H70" i="20"/>
  <c r="J70" i="20" s="1"/>
  <c r="H193" i="19"/>
  <c r="J193" i="19" s="1"/>
  <c r="H192" i="19"/>
  <c r="J192" i="19" s="1"/>
  <c r="H191" i="19"/>
  <c r="J191" i="19" s="1"/>
  <c r="H187" i="19"/>
  <c r="J187" i="19" s="1"/>
  <c r="H186" i="19"/>
  <c r="J186" i="19" s="1"/>
  <c r="G156" i="19"/>
  <c r="H156" i="19" s="1"/>
  <c r="H125" i="19"/>
  <c r="F115" i="19"/>
  <c r="H115" i="19" s="1"/>
  <c r="H120" i="19" s="1"/>
  <c r="H200" i="19" s="1"/>
  <c r="G106" i="19"/>
  <c r="I106" i="19" s="1"/>
  <c r="G105" i="19"/>
  <c r="G104" i="19"/>
  <c r="I104" i="19" s="1"/>
  <c r="G103" i="19"/>
  <c r="I103" i="19" s="1"/>
  <c r="G102" i="19"/>
  <c r="I102" i="19" s="1"/>
  <c r="G101" i="19"/>
  <c r="I101" i="19" s="1"/>
  <c r="G100" i="19"/>
  <c r="G89" i="19"/>
  <c r="I89" i="19" s="1"/>
  <c r="G89" i="14"/>
  <c r="I89" i="14" s="1"/>
  <c r="G89" i="13"/>
  <c r="I89" i="13" s="1"/>
  <c r="G95" i="19"/>
  <c r="I95" i="19" s="1"/>
  <c r="G94" i="19"/>
  <c r="I94" i="19" s="1"/>
  <c r="G93" i="19"/>
  <c r="I93" i="19" s="1"/>
  <c r="G92" i="19"/>
  <c r="I92" i="19" s="1"/>
  <c r="G91" i="19"/>
  <c r="I91" i="19" s="1"/>
  <c r="G90" i="19"/>
  <c r="I90" i="19" s="1"/>
  <c r="G88" i="19"/>
  <c r="I88" i="19" s="1"/>
  <c r="G87" i="19"/>
  <c r="G86" i="19"/>
  <c r="I86" i="19" s="1"/>
  <c r="G85" i="19"/>
  <c r="I85" i="19" s="1"/>
  <c r="H80" i="19"/>
  <c r="J80" i="19" s="1"/>
  <c r="H79" i="19"/>
  <c r="H78" i="19"/>
  <c r="J78" i="19" s="1"/>
  <c r="H77" i="19"/>
  <c r="J77" i="19" s="1"/>
  <c r="H71" i="19"/>
  <c r="H72" i="19" s="1"/>
  <c r="H70" i="19"/>
  <c r="H193" i="14"/>
  <c r="J193" i="14" s="1"/>
  <c r="H192" i="14"/>
  <c r="J192" i="14" s="1"/>
  <c r="H191" i="14"/>
  <c r="J191" i="14" s="1"/>
  <c r="H187" i="14"/>
  <c r="J187" i="14" s="1"/>
  <c r="H186" i="14"/>
  <c r="G156" i="14"/>
  <c r="H156" i="14" s="1"/>
  <c r="H125" i="14"/>
  <c r="F115" i="14"/>
  <c r="H115" i="14" s="1"/>
  <c r="H120" i="14" s="1"/>
  <c r="H201" i="14" s="1"/>
  <c r="G106" i="14"/>
  <c r="I106" i="14" s="1"/>
  <c r="G105" i="14"/>
  <c r="I105" i="14" s="1"/>
  <c r="G104" i="14"/>
  <c r="I104" i="14" s="1"/>
  <c r="G103" i="14"/>
  <c r="I103" i="14" s="1"/>
  <c r="G102" i="14"/>
  <c r="G101" i="14"/>
  <c r="I101" i="14" s="1"/>
  <c r="G100" i="14"/>
  <c r="I100" i="14" s="1"/>
  <c r="G95" i="14"/>
  <c r="I95" i="14" s="1"/>
  <c r="G94" i="14"/>
  <c r="I94" i="14" s="1"/>
  <c r="G93" i="14"/>
  <c r="I93" i="14" s="1"/>
  <c r="G92" i="14"/>
  <c r="I92" i="14" s="1"/>
  <c r="G91" i="14"/>
  <c r="I91" i="14" s="1"/>
  <c r="G90" i="14"/>
  <c r="I90" i="14" s="1"/>
  <c r="G88" i="14"/>
  <c r="I88" i="14" s="1"/>
  <c r="G87" i="14"/>
  <c r="I87" i="14" s="1"/>
  <c r="G86" i="14"/>
  <c r="I86" i="14" s="1"/>
  <c r="G85" i="14"/>
  <c r="I85" i="14" s="1"/>
  <c r="H80" i="14"/>
  <c r="J80" i="14" s="1"/>
  <c r="H79" i="14"/>
  <c r="J79" i="14" s="1"/>
  <c r="H78" i="14"/>
  <c r="J78" i="14" s="1"/>
  <c r="H77" i="14"/>
  <c r="J77" i="14" s="1"/>
  <c r="H71" i="14"/>
  <c r="H70" i="14"/>
  <c r="J70" i="14" s="1"/>
  <c r="J186" i="21"/>
  <c r="J181" i="21"/>
  <c r="M181" i="21" s="1"/>
  <c r="M180" i="21"/>
  <c r="M179" i="21"/>
  <c r="J178" i="21"/>
  <c r="H178" i="21"/>
  <c r="I178" i="21" s="1"/>
  <c r="J177" i="21"/>
  <c r="H177" i="21"/>
  <c r="I177" i="21" s="1"/>
  <c r="J176" i="21"/>
  <c r="H176" i="21"/>
  <c r="I176" i="21" s="1"/>
  <c r="J175" i="21"/>
  <c r="H175" i="21"/>
  <c r="I175" i="21" s="1"/>
  <c r="J174" i="21"/>
  <c r="H174" i="21"/>
  <c r="I174" i="21" s="1"/>
  <c r="J173" i="21"/>
  <c r="H173" i="21"/>
  <c r="I173" i="21" s="1"/>
  <c r="J172" i="21"/>
  <c r="H172" i="21"/>
  <c r="I172" i="21" s="1"/>
  <c r="J171" i="21"/>
  <c r="H171" i="21"/>
  <c r="I171" i="21" s="1"/>
  <c r="J170" i="21"/>
  <c r="H170" i="21"/>
  <c r="I170" i="21" s="1"/>
  <c r="J169" i="21"/>
  <c r="H169" i="21"/>
  <c r="I169" i="21" s="1"/>
  <c r="J168" i="21"/>
  <c r="H168" i="21"/>
  <c r="I168" i="21" s="1"/>
  <c r="J167" i="21"/>
  <c r="H167" i="21"/>
  <c r="I167" i="21" s="1"/>
  <c r="J166" i="21"/>
  <c r="H166" i="21"/>
  <c r="I166" i="21" s="1"/>
  <c r="J165" i="21"/>
  <c r="H165" i="21"/>
  <c r="I165" i="21" s="1"/>
  <c r="J164" i="21"/>
  <c r="H164" i="21"/>
  <c r="I164" i="21" s="1"/>
  <c r="J163" i="21"/>
  <c r="H163" i="21"/>
  <c r="I163" i="21" s="1"/>
  <c r="J162" i="21"/>
  <c r="H162" i="21"/>
  <c r="I162" i="21" s="1"/>
  <c r="J161" i="21"/>
  <c r="H161" i="21"/>
  <c r="I161" i="21" s="1"/>
  <c r="J160" i="21"/>
  <c r="H160" i="21"/>
  <c r="I160" i="21" s="1"/>
  <c r="J159" i="21"/>
  <c r="H159" i="21"/>
  <c r="I159" i="21" s="1"/>
  <c r="J158" i="21"/>
  <c r="H158" i="21"/>
  <c r="K158" i="21" s="1"/>
  <c r="J157" i="21"/>
  <c r="H157" i="21"/>
  <c r="I157" i="21" s="1"/>
  <c r="E156" i="21"/>
  <c r="J150" i="21"/>
  <c r="M150" i="21" s="1"/>
  <c r="M149" i="21"/>
  <c r="M148" i="21"/>
  <c r="J147" i="21"/>
  <c r="H147" i="21"/>
  <c r="I147" i="21" s="1"/>
  <c r="J146" i="21"/>
  <c r="H146" i="21"/>
  <c r="I146" i="21" s="1"/>
  <c r="J145" i="21"/>
  <c r="H145" i="21"/>
  <c r="I145" i="21" s="1"/>
  <c r="J144" i="21"/>
  <c r="H144" i="21"/>
  <c r="I144" i="21" s="1"/>
  <c r="J143" i="21"/>
  <c r="H143" i="21"/>
  <c r="I143" i="21" s="1"/>
  <c r="J142" i="21"/>
  <c r="H142" i="21"/>
  <c r="I142" i="21" s="1"/>
  <c r="J141" i="21"/>
  <c r="H141" i="21"/>
  <c r="I141" i="21" s="1"/>
  <c r="J140" i="21"/>
  <c r="H140" i="21"/>
  <c r="I140" i="21" s="1"/>
  <c r="J139" i="21"/>
  <c r="H139" i="21"/>
  <c r="I139" i="21" s="1"/>
  <c r="J138" i="21"/>
  <c r="H138" i="21"/>
  <c r="I138" i="21" s="1"/>
  <c r="J137" i="21"/>
  <c r="H137" i="21"/>
  <c r="I137" i="21" s="1"/>
  <c r="J136" i="21"/>
  <c r="H136" i="21"/>
  <c r="I136" i="21" s="1"/>
  <c r="J135" i="21"/>
  <c r="H135" i="21"/>
  <c r="I135" i="21" s="1"/>
  <c r="J134" i="21"/>
  <c r="H134" i="21"/>
  <c r="I134" i="21" s="1"/>
  <c r="J133" i="21"/>
  <c r="H133" i="21"/>
  <c r="I133" i="21" s="1"/>
  <c r="J132" i="21"/>
  <c r="H132" i="21"/>
  <c r="I132" i="21" s="1"/>
  <c r="J131" i="21"/>
  <c r="H131" i="21"/>
  <c r="I131" i="21" s="1"/>
  <c r="J130" i="21"/>
  <c r="H130" i="21"/>
  <c r="I130" i="21" s="1"/>
  <c r="J129" i="21"/>
  <c r="H129" i="21"/>
  <c r="I129" i="21" s="1"/>
  <c r="J128" i="21"/>
  <c r="H128" i="21"/>
  <c r="I128" i="21" s="1"/>
  <c r="J127" i="21"/>
  <c r="H127" i="21"/>
  <c r="K127" i="21" s="1"/>
  <c r="J126" i="21"/>
  <c r="H126" i="21"/>
  <c r="I126" i="21" s="1"/>
  <c r="E125" i="21"/>
  <c r="H119" i="21"/>
  <c r="H118" i="21"/>
  <c r="I110" i="21"/>
  <c r="I109" i="21"/>
  <c r="I106" i="21"/>
  <c r="I102" i="21"/>
  <c r="J194" i="20"/>
  <c r="J183" i="20"/>
  <c r="M183" i="20" s="1"/>
  <c r="M182" i="20"/>
  <c r="M181" i="20"/>
  <c r="J180" i="20"/>
  <c r="H180" i="20"/>
  <c r="I180" i="20" s="1"/>
  <c r="J179" i="20"/>
  <c r="H179" i="20"/>
  <c r="I179" i="20" s="1"/>
  <c r="J178" i="20"/>
  <c r="H178" i="20"/>
  <c r="I178" i="20" s="1"/>
  <c r="J177" i="20"/>
  <c r="H177" i="20"/>
  <c r="I177" i="20" s="1"/>
  <c r="J176" i="20"/>
  <c r="H176" i="20"/>
  <c r="I176" i="20" s="1"/>
  <c r="J175" i="20"/>
  <c r="H175" i="20"/>
  <c r="I175" i="20" s="1"/>
  <c r="J174" i="20"/>
  <c r="H174" i="20"/>
  <c r="I174" i="20" s="1"/>
  <c r="J173" i="20"/>
  <c r="H173" i="20"/>
  <c r="I173" i="20" s="1"/>
  <c r="J172" i="20"/>
  <c r="H172" i="20"/>
  <c r="I172" i="20" s="1"/>
  <c r="J171" i="20"/>
  <c r="H171" i="20"/>
  <c r="I171" i="20" s="1"/>
  <c r="J170" i="20"/>
  <c r="H170" i="20"/>
  <c r="I170" i="20" s="1"/>
  <c r="J169" i="20"/>
  <c r="H169" i="20"/>
  <c r="I169" i="20" s="1"/>
  <c r="J168" i="20"/>
  <c r="H168" i="20"/>
  <c r="I168" i="20" s="1"/>
  <c r="J167" i="20"/>
  <c r="H167" i="20"/>
  <c r="I167" i="20" s="1"/>
  <c r="J166" i="20"/>
  <c r="H166" i="20"/>
  <c r="I166" i="20" s="1"/>
  <c r="J165" i="20"/>
  <c r="H165" i="20"/>
  <c r="I165" i="20" s="1"/>
  <c r="J164" i="20"/>
  <c r="H164" i="20"/>
  <c r="I164" i="20" s="1"/>
  <c r="J163" i="20"/>
  <c r="H163" i="20"/>
  <c r="I163" i="20" s="1"/>
  <c r="J162" i="20"/>
  <c r="H162" i="20"/>
  <c r="I162" i="20" s="1"/>
  <c r="J161" i="20"/>
  <c r="H161" i="20"/>
  <c r="I161" i="20" s="1"/>
  <c r="J160" i="20"/>
  <c r="H160" i="20"/>
  <c r="I160" i="20" s="1"/>
  <c r="J159" i="20"/>
  <c r="H159" i="20"/>
  <c r="I159" i="20" s="1"/>
  <c r="E158" i="20"/>
  <c r="J151" i="20"/>
  <c r="M151" i="20" s="1"/>
  <c r="M150" i="20"/>
  <c r="M149" i="20"/>
  <c r="J148" i="20"/>
  <c r="H148" i="20"/>
  <c r="I148" i="20" s="1"/>
  <c r="J147" i="20"/>
  <c r="H147" i="20"/>
  <c r="I147" i="20" s="1"/>
  <c r="J146" i="20"/>
  <c r="H146" i="20"/>
  <c r="I146" i="20" s="1"/>
  <c r="J145" i="20"/>
  <c r="H145" i="20"/>
  <c r="I145" i="20" s="1"/>
  <c r="J144" i="20"/>
  <c r="H144" i="20"/>
  <c r="I144" i="20" s="1"/>
  <c r="J143" i="20"/>
  <c r="H143" i="20"/>
  <c r="I143" i="20" s="1"/>
  <c r="J142" i="20"/>
  <c r="H142" i="20"/>
  <c r="I142" i="20" s="1"/>
  <c r="J141" i="20"/>
  <c r="H141" i="20"/>
  <c r="I141" i="20" s="1"/>
  <c r="J140" i="20"/>
  <c r="H140" i="20"/>
  <c r="I140" i="20" s="1"/>
  <c r="J139" i="20"/>
  <c r="H139" i="20"/>
  <c r="I139" i="20" s="1"/>
  <c r="J138" i="20"/>
  <c r="H138" i="20"/>
  <c r="I138" i="20" s="1"/>
  <c r="J137" i="20"/>
  <c r="H137" i="20"/>
  <c r="I137" i="20" s="1"/>
  <c r="J136" i="20"/>
  <c r="H136" i="20"/>
  <c r="I136" i="20" s="1"/>
  <c r="J135" i="20"/>
  <c r="H135" i="20"/>
  <c r="I135" i="20" s="1"/>
  <c r="J134" i="20"/>
  <c r="H134" i="20"/>
  <c r="I134" i="20" s="1"/>
  <c r="J133" i="20"/>
  <c r="H133" i="20"/>
  <c r="I133" i="20" s="1"/>
  <c r="J132" i="20"/>
  <c r="H132" i="20"/>
  <c r="I132" i="20" s="1"/>
  <c r="J131" i="20"/>
  <c r="H131" i="20"/>
  <c r="I131" i="20" s="1"/>
  <c r="J130" i="20"/>
  <c r="H130" i="20"/>
  <c r="I130" i="20" s="1"/>
  <c r="J129" i="20"/>
  <c r="H129" i="20"/>
  <c r="I129" i="20" s="1"/>
  <c r="J128" i="20"/>
  <c r="H128" i="20"/>
  <c r="I128" i="20" s="1"/>
  <c r="J127" i="20"/>
  <c r="H127" i="20"/>
  <c r="I127" i="20" s="1"/>
  <c r="E126" i="20"/>
  <c r="H120" i="20"/>
  <c r="H119" i="20"/>
  <c r="I110" i="20"/>
  <c r="I109" i="20"/>
  <c r="I100" i="20"/>
  <c r="J181" i="19"/>
  <c r="M181" i="19" s="1"/>
  <c r="M180" i="19"/>
  <c r="M179" i="19"/>
  <c r="J178" i="19"/>
  <c r="H178" i="19"/>
  <c r="I178" i="19" s="1"/>
  <c r="J177" i="19"/>
  <c r="H177" i="19"/>
  <c r="I177" i="19" s="1"/>
  <c r="J176" i="19"/>
  <c r="H176" i="19"/>
  <c r="I176" i="19" s="1"/>
  <c r="J175" i="19"/>
  <c r="H175" i="19"/>
  <c r="I175" i="19" s="1"/>
  <c r="J174" i="19"/>
  <c r="H174" i="19"/>
  <c r="I174" i="19" s="1"/>
  <c r="J173" i="19"/>
  <c r="H173" i="19"/>
  <c r="I173" i="19" s="1"/>
  <c r="J172" i="19"/>
  <c r="H172" i="19"/>
  <c r="I172" i="19" s="1"/>
  <c r="J171" i="19"/>
  <c r="H171" i="19"/>
  <c r="I171" i="19" s="1"/>
  <c r="J170" i="19"/>
  <c r="H170" i="19"/>
  <c r="I170" i="19" s="1"/>
  <c r="J169" i="19"/>
  <c r="H169" i="19"/>
  <c r="I169" i="19" s="1"/>
  <c r="J168" i="19"/>
  <c r="H168" i="19"/>
  <c r="I168" i="19" s="1"/>
  <c r="J167" i="19"/>
  <c r="H167" i="19"/>
  <c r="I167" i="19" s="1"/>
  <c r="J166" i="19"/>
  <c r="H166" i="19"/>
  <c r="I166" i="19" s="1"/>
  <c r="J165" i="19"/>
  <c r="H165" i="19"/>
  <c r="I165" i="19" s="1"/>
  <c r="J164" i="19"/>
  <c r="H164" i="19"/>
  <c r="I164" i="19" s="1"/>
  <c r="J163" i="19"/>
  <c r="H163" i="19"/>
  <c r="I163" i="19" s="1"/>
  <c r="J162" i="19"/>
  <c r="H162" i="19"/>
  <c r="I162" i="19" s="1"/>
  <c r="J161" i="19"/>
  <c r="H161" i="19"/>
  <c r="I161" i="19" s="1"/>
  <c r="J160" i="19"/>
  <c r="H160" i="19"/>
  <c r="I160" i="19" s="1"/>
  <c r="J159" i="19"/>
  <c r="H159" i="19"/>
  <c r="I159" i="19" s="1"/>
  <c r="J158" i="19"/>
  <c r="H158" i="19"/>
  <c r="I158" i="19" s="1"/>
  <c r="J157" i="19"/>
  <c r="H157" i="19"/>
  <c r="I157" i="19" s="1"/>
  <c r="E156" i="19"/>
  <c r="J150" i="19"/>
  <c r="M150" i="19" s="1"/>
  <c r="M149" i="19"/>
  <c r="M148" i="19"/>
  <c r="J147" i="19"/>
  <c r="H147" i="19"/>
  <c r="I147" i="19" s="1"/>
  <c r="J146" i="19"/>
  <c r="H146" i="19"/>
  <c r="I146" i="19" s="1"/>
  <c r="J145" i="19"/>
  <c r="H145" i="19"/>
  <c r="I145" i="19" s="1"/>
  <c r="J144" i="19"/>
  <c r="H144" i="19"/>
  <c r="I144" i="19" s="1"/>
  <c r="J143" i="19"/>
  <c r="H143" i="19"/>
  <c r="I143" i="19" s="1"/>
  <c r="J142" i="19"/>
  <c r="H142" i="19"/>
  <c r="I142" i="19" s="1"/>
  <c r="J141" i="19"/>
  <c r="H141" i="19"/>
  <c r="I141" i="19" s="1"/>
  <c r="J140" i="19"/>
  <c r="H140" i="19"/>
  <c r="I140" i="19" s="1"/>
  <c r="J139" i="19"/>
  <c r="H139" i="19"/>
  <c r="I139" i="19" s="1"/>
  <c r="J138" i="19"/>
  <c r="H138" i="19"/>
  <c r="I138" i="19" s="1"/>
  <c r="J137" i="19"/>
  <c r="H137" i="19"/>
  <c r="I137" i="19" s="1"/>
  <c r="J136" i="19"/>
  <c r="H136" i="19"/>
  <c r="I136" i="19" s="1"/>
  <c r="J135" i="19"/>
  <c r="H135" i="19"/>
  <c r="I135" i="19" s="1"/>
  <c r="J134" i="19"/>
  <c r="H134" i="19"/>
  <c r="I134" i="19" s="1"/>
  <c r="J133" i="19"/>
  <c r="H133" i="19"/>
  <c r="I133" i="19" s="1"/>
  <c r="J132" i="19"/>
  <c r="H132" i="19"/>
  <c r="I132" i="19" s="1"/>
  <c r="J131" i="19"/>
  <c r="H131" i="19"/>
  <c r="I131" i="19" s="1"/>
  <c r="J130" i="19"/>
  <c r="H130" i="19"/>
  <c r="I130" i="19" s="1"/>
  <c r="J129" i="19"/>
  <c r="H129" i="19"/>
  <c r="I129" i="19" s="1"/>
  <c r="J128" i="19"/>
  <c r="H128" i="19"/>
  <c r="I128" i="19" s="1"/>
  <c r="J127" i="19"/>
  <c r="H127" i="19"/>
  <c r="I127" i="19" s="1"/>
  <c r="J126" i="19"/>
  <c r="H126" i="19"/>
  <c r="I126" i="19" s="1"/>
  <c r="E125" i="19"/>
  <c r="H119" i="19"/>
  <c r="H118" i="19"/>
  <c r="I110" i="19"/>
  <c r="I109" i="19"/>
  <c r="I105" i="19"/>
  <c r="I87" i="19"/>
  <c r="J79" i="19"/>
  <c r="J186" i="14"/>
  <c r="J181" i="14"/>
  <c r="M181" i="14" s="1"/>
  <c r="M180" i="14"/>
  <c r="M179" i="14"/>
  <c r="J178" i="14"/>
  <c r="H178" i="14"/>
  <c r="I178" i="14" s="1"/>
  <c r="J177" i="14"/>
  <c r="H177" i="14"/>
  <c r="I177" i="14" s="1"/>
  <c r="J176" i="14"/>
  <c r="H176" i="14"/>
  <c r="I176" i="14" s="1"/>
  <c r="J175" i="14"/>
  <c r="H175" i="14"/>
  <c r="I175" i="14" s="1"/>
  <c r="J174" i="14"/>
  <c r="H174" i="14"/>
  <c r="I174" i="14" s="1"/>
  <c r="J173" i="14"/>
  <c r="H173" i="14"/>
  <c r="I173" i="14" s="1"/>
  <c r="J172" i="14"/>
  <c r="H172" i="14"/>
  <c r="I172" i="14" s="1"/>
  <c r="J171" i="14"/>
  <c r="H171" i="14"/>
  <c r="I171" i="14" s="1"/>
  <c r="J170" i="14"/>
  <c r="H170" i="14"/>
  <c r="I170" i="14" s="1"/>
  <c r="J169" i="14"/>
  <c r="H169" i="14"/>
  <c r="I169" i="14" s="1"/>
  <c r="J168" i="14"/>
  <c r="H168" i="14"/>
  <c r="I168" i="14" s="1"/>
  <c r="J167" i="14"/>
  <c r="H167" i="14"/>
  <c r="I167" i="14" s="1"/>
  <c r="J166" i="14"/>
  <c r="H166" i="14"/>
  <c r="I166" i="14" s="1"/>
  <c r="J165" i="14"/>
  <c r="H165" i="14"/>
  <c r="I165" i="14" s="1"/>
  <c r="J164" i="14"/>
  <c r="H164" i="14"/>
  <c r="I164" i="14" s="1"/>
  <c r="J163" i="14"/>
  <c r="H163" i="14"/>
  <c r="I163" i="14" s="1"/>
  <c r="J162" i="14"/>
  <c r="H162" i="14"/>
  <c r="I162" i="14" s="1"/>
  <c r="J161" i="14"/>
  <c r="H161" i="14"/>
  <c r="I161" i="14" s="1"/>
  <c r="J160" i="14"/>
  <c r="H160" i="14"/>
  <c r="I160" i="14" s="1"/>
  <c r="J159" i="14"/>
  <c r="H159" i="14"/>
  <c r="I159" i="14" s="1"/>
  <c r="J158" i="14"/>
  <c r="H158" i="14"/>
  <c r="I158" i="14" s="1"/>
  <c r="J157" i="14"/>
  <c r="H157" i="14"/>
  <c r="I157" i="14" s="1"/>
  <c r="E156" i="14"/>
  <c r="J150" i="14"/>
  <c r="M150" i="14" s="1"/>
  <c r="M149" i="14"/>
  <c r="M148" i="14"/>
  <c r="J147" i="14"/>
  <c r="H147" i="14"/>
  <c r="I147" i="14" s="1"/>
  <c r="J146" i="14"/>
  <c r="H146" i="14"/>
  <c r="I146" i="14" s="1"/>
  <c r="J145" i="14"/>
  <c r="H145" i="14"/>
  <c r="I145" i="14" s="1"/>
  <c r="J144" i="14"/>
  <c r="H144" i="14"/>
  <c r="I144" i="14" s="1"/>
  <c r="J143" i="14"/>
  <c r="H143" i="14"/>
  <c r="I143" i="14" s="1"/>
  <c r="J142" i="14"/>
  <c r="H142" i="14"/>
  <c r="I142" i="14" s="1"/>
  <c r="J141" i="14"/>
  <c r="H141" i="14"/>
  <c r="I141" i="14" s="1"/>
  <c r="J140" i="14"/>
  <c r="H140" i="14"/>
  <c r="I140" i="14" s="1"/>
  <c r="J139" i="14"/>
  <c r="H139" i="14"/>
  <c r="I139" i="14" s="1"/>
  <c r="J138" i="14"/>
  <c r="H138" i="14"/>
  <c r="I138" i="14" s="1"/>
  <c r="J137" i="14"/>
  <c r="H137" i="14"/>
  <c r="I137" i="14" s="1"/>
  <c r="J136" i="14"/>
  <c r="H136" i="14"/>
  <c r="I136" i="14" s="1"/>
  <c r="J135" i="14"/>
  <c r="H135" i="14"/>
  <c r="I135" i="14" s="1"/>
  <c r="J134" i="14"/>
  <c r="H134" i="14"/>
  <c r="I134" i="14" s="1"/>
  <c r="J133" i="14"/>
  <c r="H133" i="14"/>
  <c r="I133" i="14" s="1"/>
  <c r="J132" i="14"/>
  <c r="H132" i="14"/>
  <c r="I132" i="14" s="1"/>
  <c r="J131" i="14"/>
  <c r="H131" i="14"/>
  <c r="I131" i="14" s="1"/>
  <c r="J130" i="14"/>
  <c r="H130" i="14"/>
  <c r="I130" i="14" s="1"/>
  <c r="J129" i="14"/>
  <c r="H129" i="14"/>
  <c r="I129" i="14" s="1"/>
  <c r="J128" i="14"/>
  <c r="H128" i="14"/>
  <c r="I128" i="14" s="1"/>
  <c r="J127" i="14"/>
  <c r="H127" i="14"/>
  <c r="K127" i="14" s="1"/>
  <c r="J126" i="14"/>
  <c r="H126" i="14"/>
  <c r="I126" i="14" s="1"/>
  <c r="E125" i="14"/>
  <c r="H119" i="14"/>
  <c r="H118" i="14"/>
  <c r="I110" i="14"/>
  <c r="I109" i="14"/>
  <c r="I102" i="14"/>
  <c r="H193" i="13"/>
  <c r="J193" i="13" s="1"/>
  <c r="H192" i="13"/>
  <c r="J192" i="13" s="1"/>
  <c r="H191" i="13"/>
  <c r="H187" i="13"/>
  <c r="H186" i="13"/>
  <c r="J186" i="13" s="1"/>
  <c r="J181" i="13"/>
  <c r="M181" i="13" s="1"/>
  <c r="M180" i="13"/>
  <c r="M179" i="13"/>
  <c r="J178" i="13"/>
  <c r="H178" i="13"/>
  <c r="I178" i="13" s="1"/>
  <c r="J177" i="13"/>
  <c r="H177" i="13"/>
  <c r="I177" i="13" s="1"/>
  <c r="J176" i="13"/>
  <c r="H176" i="13"/>
  <c r="I176" i="13" s="1"/>
  <c r="J175" i="13"/>
  <c r="H175" i="13"/>
  <c r="I175" i="13" s="1"/>
  <c r="J174" i="13"/>
  <c r="H174" i="13"/>
  <c r="I174" i="13" s="1"/>
  <c r="J173" i="13"/>
  <c r="H173" i="13"/>
  <c r="I173" i="13" s="1"/>
  <c r="J172" i="13"/>
  <c r="H172" i="13"/>
  <c r="I172" i="13" s="1"/>
  <c r="J171" i="13"/>
  <c r="H171" i="13"/>
  <c r="I171" i="13" s="1"/>
  <c r="J170" i="13"/>
  <c r="H170" i="13"/>
  <c r="I170" i="13" s="1"/>
  <c r="J169" i="13"/>
  <c r="H169" i="13"/>
  <c r="I169" i="13" s="1"/>
  <c r="J168" i="13"/>
  <c r="H168" i="13"/>
  <c r="I168" i="13" s="1"/>
  <c r="J167" i="13"/>
  <c r="H167" i="13"/>
  <c r="I167" i="13" s="1"/>
  <c r="J166" i="13"/>
  <c r="H166" i="13"/>
  <c r="I166" i="13" s="1"/>
  <c r="J165" i="13"/>
  <c r="H165" i="13"/>
  <c r="I165" i="13" s="1"/>
  <c r="J164" i="13"/>
  <c r="H164" i="13"/>
  <c r="I164" i="13" s="1"/>
  <c r="J163" i="13"/>
  <c r="H163" i="13"/>
  <c r="I163" i="13" s="1"/>
  <c r="J162" i="13"/>
  <c r="H162" i="13"/>
  <c r="I162" i="13" s="1"/>
  <c r="J161" i="13"/>
  <c r="H161" i="13"/>
  <c r="I161" i="13" s="1"/>
  <c r="J160" i="13"/>
  <c r="H160" i="13"/>
  <c r="I160" i="13" s="1"/>
  <c r="J159" i="13"/>
  <c r="H159" i="13"/>
  <c r="I159" i="13" s="1"/>
  <c r="J158" i="13"/>
  <c r="H158" i="13"/>
  <c r="K158" i="13" s="1"/>
  <c r="J157" i="13"/>
  <c r="H157" i="13"/>
  <c r="I157" i="13" s="1"/>
  <c r="G156" i="13"/>
  <c r="H156" i="13" s="1"/>
  <c r="E156" i="13"/>
  <c r="J150" i="13"/>
  <c r="M150" i="13" s="1"/>
  <c r="M149" i="13"/>
  <c r="M148" i="13"/>
  <c r="J147" i="13"/>
  <c r="H147" i="13"/>
  <c r="I147" i="13" s="1"/>
  <c r="J146" i="13"/>
  <c r="H146" i="13"/>
  <c r="I146" i="13" s="1"/>
  <c r="J145" i="13"/>
  <c r="H145" i="13"/>
  <c r="I145" i="13" s="1"/>
  <c r="J144" i="13"/>
  <c r="H144" i="13"/>
  <c r="I144" i="13" s="1"/>
  <c r="J143" i="13"/>
  <c r="H143" i="13"/>
  <c r="I143" i="13" s="1"/>
  <c r="J142" i="13"/>
  <c r="H142" i="13"/>
  <c r="I142" i="13" s="1"/>
  <c r="J141" i="13"/>
  <c r="H141" i="13"/>
  <c r="I141" i="13" s="1"/>
  <c r="J140" i="13"/>
  <c r="H140" i="13"/>
  <c r="I140" i="13" s="1"/>
  <c r="M140" i="13" s="1"/>
  <c r="J139" i="13"/>
  <c r="H139" i="13"/>
  <c r="I139" i="13" s="1"/>
  <c r="J138" i="13"/>
  <c r="H138" i="13"/>
  <c r="I138" i="13" s="1"/>
  <c r="J137" i="13"/>
  <c r="H137" i="13"/>
  <c r="I137" i="13" s="1"/>
  <c r="J136" i="13"/>
  <c r="H136" i="13"/>
  <c r="I136" i="13" s="1"/>
  <c r="M136" i="13" s="1"/>
  <c r="J135" i="13"/>
  <c r="H135" i="13"/>
  <c r="I135" i="13" s="1"/>
  <c r="J134" i="13"/>
  <c r="H134" i="13"/>
  <c r="I134" i="13" s="1"/>
  <c r="M134" i="13" s="1"/>
  <c r="J133" i="13"/>
  <c r="H133" i="13"/>
  <c r="I133" i="13" s="1"/>
  <c r="J132" i="13"/>
  <c r="H132" i="13"/>
  <c r="I132" i="13" s="1"/>
  <c r="M132" i="13" s="1"/>
  <c r="J131" i="13"/>
  <c r="H131" i="13"/>
  <c r="I131" i="13" s="1"/>
  <c r="J130" i="13"/>
  <c r="H130" i="13"/>
  <c r="I130" i="13" s="1"/>
  <c r="J129" i="13"/>
  <c r="H129" i="13"/>
  <c r="I129" i="13" s="1"/>
  <c r="J128" i="13"/>
  <c r="H128" i="13"/>
  <c r="I128" i="13" s="1"/>
  <c r="M128" i="13" s="1"/>
  <c r="J127" i="13"/>
  <c r="H127" i="13"/>
  <c r="K127" i="13" s="1"/>
  <c r="J126" i="13"/>
  <c r="H126" i="13"/>
  <c r="I126" i="13" s="1"/>
  <c r="H125" i="13"/>
  <c r="E125" i="13"/>
  <c r="H119" i="13"/>
  <c r="H118" i="13"/>
  <c r="F115" i="13"/>
  <c r="F120" i="13" s="1"/>
  <c r="I110" i="13"/>
  <c r="I109" i="13"/>
  <c r="G106" i="13"/>
  <c r="I106" i="13" s="1"/>
  <c r="G105" i="13"/>
  <c r="I105" i="13" s="1"/>
  <c r="G104" i="13"/>
  <c r="I104" i="13" s="1"/>
  <c r="G103" i="13"/>
  <c r="I103" i="13" s="1"/>
  <c r="G102" i="13"/>
  <c r="I102" i="13" s="1"/>
  <c r="G101" i="13"/>
  <c r="I101" i="13" s="1"/>
  <c r="G100" i="13"/>
  <c r="G95" i="13"/>
  <c r="I95" i="13" s="1"/>
  <c r="G94" i="13"/>
  <c r="I94" i="13" s="1"/>
  <c r="G93" i="13"/>
  <c r="I93" i="13" s="1"/>
  <c r="G92" i="13"/>
  <c r="I92" i="13" s="1"/>
  <c r="G91" i="13"/>
  <c r="I91" i="13" s="1"/>
  <c r="G90" i="13"/>
  <c r="I90" i="13" s="1"/>
  <c r="G88" i="13"/>
  <c r="I88" i="13" s="1"/>
  <c r="G87" i="13"/>
  <c r="I87" i="13" s="1"/>
  <c r="G86" i="13"/>
  <c r="I86" i="13" s="1"/>
  <c r="G85" i="13"/>
  <c r="H80" i="13"/>
  <c r="J80" i="13" s="1"/>
  <c r="H79" i="13"/>
  <c r="J79" i="13" s="1"/>
  <c r="H78" i="13"/>
  <c r="J78" i="13" s="1"/>
  <c r="H77" i="13"/>
  <c r="H71" i="13"/>
  <c r="J71" i="13" s="1"/>
  <c r="H70" i="13"/>
  <c r="J257" i="25"/>
  <c r="E181" i="25"/>
  <c r="E148" i="25"/>
  <c r="H148" i="25"/>
  <c r="H174" i="25" s="1"/>
  <c r="F120" i="14" l="1"/>
  <c r="M164" i="22"/>
  <c r="M172" i="22"/>
  <c r="M128" i="22"/>
  <c r="M132" i="22"/>
  <c r="M131" i="22"/>
  <c r="M171" i="22"/>
  <c r="M173" i="22"/>
  <c r="M144" i="22"/>
  <c r="M136" i="22"/>
  <c r="M147" i="22"/>
  <c r="M163" i="22"/>
  <c r="M165" i="22"/>
  <c r="M140" i="22"/>
  <c r="M159" i="22"/>
  <c r="M161" i="22"/>
  <c r="M168" i="22"/>
  <c r="M175" i="22"/>
  <c r="M177" i="22"/>
  <c r="M139" i="22"/>
  <c r="M160" i="22"/>
  <c r="M167" i="22"/>
  <c r="M169" i="22"/>
  <c r="M176" i="22"/>
  <c r="M135" i="22"/>
  <c r="M157" i="22"/>
  <c r="K158" i="22"/>
  <c r="M127" i="22"/>
  <c r="M143" i="22"/>
  <c r="H194" i="22"/>
  <c r="H81" i="22"/>
  <c r="M126" i="22"/>
  <c r="K127" i="22"/>
  <c r="M130" i="22"/>
  <c r="M134" i="22"/>
  <c r="M138" i="22"/>
  <c r="M142" i="22"/>
  <c r="M146" i="22"/>
  <c r="M158" i="22"/>
  <c r="J72" i="22"/>
  <c r="D200" i="22" s="1"/>
  <c r="J81" i="22"/>
  <c r="E200" i="22" s="1"/>
  <c r="M129" i="22"/>
  <c r="M133" i="22"/>
  <c r="M137" i="22"/>
  <c r="M141" i="22"/>
  <c r="M145" i="22"/>
  <c r="M162" i="22"/>
  <c r="M166" i="22"/>
  <c r="M170" i="22"/>
  <c r="M174" i="22"/>
  <c r="M178" i="22"/>
  <c r="J188" i="22"/>
  <c r="H115" i="22"/>
  <c r="H120" i="22" s="1"/>
  <c r="H200" i="22" s="1"/>
  <c r="F120" i="19"/>
  <c r="M133" i="19"/>
  <c r="M137" i="19"/>
  <c r="M143" i="19"/>
  <c r="M145" i="19"/>
  <c r="M147" i="19"/>
  <c r="M176" i="19"/>
  <c r="M178" i="19"/>
  <c r="M128" i="19"/>
  <c r="M132" i="19"/>
  <c r="M159" i="19"/>
  <c r="K127" i="19"/>
  <c r="M144" i="19"/>
  <c r="M157" i="19"/>
  <c r="K158" i="19"/>
  <c r="M164" i="19"/>
  <c r="M168" i="19"/>
  <c r="M170" i="19"/>
  <c r="M141" i="19"/>
  <c r="M161" i="19"/>
  <c r="M158" i="19"/>
  <c r="M163" i="19"/>
  <c r="M165" i="19"/>
  <c r="M167" i="19"/>
  <c r="M169" i="19"/>
  <c r="M129" i="19"/>
  <c r="M136" i="19"/>
  <c r="M160" i="19"/>
  <c r="M162" i="19"/>
  <c r="M171" i="19"/>
  <c r="M173" i="19"/>
  <c r="M175" i="19"/>
  <c r="M177" i="19"/>
  <c r="J71" i="19"/>
  <c r="M172" i="19"/>
  <c r="G111" i="19"/>
  <c r="H81" i="19"/>
  <c r="M140" i="19"/>
  <c r="M146" i="19"/>
  <c r="M166" i="19"/>
  <c r="M174" i="19"/>
  <c r="M131" i="19"/>
  <c r="M135" i="19"/>
  <c r="M139" i="19"/>
  <c r="M126" i="19"/>
  <c r="M130" i="19"/>
  <c r="M134" i="19"/>
  <c r="M138" i="19"/>
  <c r="M142" i="19"/>
  <c r="M127" i="19"/>
  <c r="M129" i="21"/>
  <c r="M160" i="21"/>
  <c r="M162" i="21"/>
  <c r="M164" i="21"/>
  <c r="M166" i="21"/>
  <c r="M168" i="21"/>
  <c r="M170" i="21"/>
  <c r="M172" i="21"/>
  <c r="M174" i="21"/>
  <c r="M176" i="21"/>
  <c r="M178" i="21"/>
  <c r="H72" i="21"/>
  <c r="I127" i="21"/>
  <c r="M127" i="21" s="1"/>
  <c r="J70" i="21"/>
  <c r="I158" i="21"/>
  <c r="M158" i="21" s="1"/>
  <c r="M128" i="21"/>
  <c r="M130" i="21"/>
  <c r="G96" i="21"/>
  <c r="M159" i="21"/>
  <c r="M161" i="21"/>
  <c r="M163" i="21"/>
  <c r="M165" i="21"/>
  <c r="M167" i="21"/>
  <c r="M169" i="21"/>
  <c r="M171" i="21"/>
  <c r="M173" i="21"/>
  <c r="M175" i="21"/>
  <c r="M177" i="21"/>
  <c r="M131" i="21"/>
  <c r="M133" i="21"/>
  <c r="M135" i="21"/>
  <c r="M137" i="21"/>
  <c r="M139" i="21"/>
  <c r="M141" i="21"/>
  <c r="M143" i="21"/>
  <c r="M145" i="21"/>
  <c r="M147" i="21"/>
  <c r="M126" i="21"/>
  <c r="M132" i="21"/>
  <c r="M134" i="21"/>
  <c r="M136" i="21"/>
  <c r="M138" i="21"/>
  <c r="M140" i="21"/>
  <c r="M142" i="21"/>
  <c r="M144" i="21"/>
  <c r="M146" i="21"/>
  <c r="M157" i="21"/>
  <c r="G111" i="21"/>
  <c r="H188" i="21"/>
  <c r="M167" i="20"/>
  <c r="M177" i="20"/>
  <c r="M144" i="20"/>
  <c r="M143" i="20"/>
  <c r="M179" i="20"/>
  <c r="M178" i="20"/>
  <c r="M180" i="20"/>
  <c r="M148" i="20"/>
  <c r="M160" i="20"/>
  <c r="M164" i="20"/>
  <c r="M171" i="20"/>
  <c r="M140" i="20"/>
  <c r="H72" i="20"/>
  <c r="M169" i="20"/>
  <c r="M136" i="20"/>
  <c r="M163" i="20"/>
  <c r="M165" i="20"/>
  <c r="M172" i="20"/>
  <c r="J71" i="20"/>
  <c r="M135" i="20"/>
  <c r="M173" i="20"/>
  <c r="F121" i="20"/>
  <c r="M132" i="20"/>
  <c r="M161" i="20"/>
  <c r="M168" i="20"/>
  <c r="M139" i="20"/>
  <c r="M174" i="20"/>
  <c r="M176" i="20"/>
  <c r="M131" i="20"/>
  <c r="M147" i="20"/>
  <c r="M175" i="20"/>
  <c r="G96" i="20"/>
  <c r="M130" i="20"/>
  <c r="M134" i="20"/>
  <c r="M138" i="20"/>
  <c r="M142" i="20"/>
  <c r="M146" i="20"/>
  <c r="M159" i="20"/>
  <c r="K160" i="20"/>
  <c r="M128" i="20"/>
  <c r="M129" i="20"/>
  <c r="M133" i="20"/>
  <c r="M137" i="20"/>
  <c r="M141" i="20"/>
  <c r="M145" i="20"/>
  <c r="M162" i="20"/>
  <c r="M166" i="20"/>
  <c r="M170" i="20"/>
  <c r="M127" i="20"/>
  <c r="K128" i="20"/>
  <c r="M169" i="14"/>
  <c r="M171" i="14"/>
  <c r="M177" i="14"/>
  <c r="M129" i="14"/>
  <c r="M135" i="14"/>
  <c r="M142" i="14"/>
  <c r="M161" i="14"/>
  <c r="M163" i="14"/>
  <c r="M165" i="14"/>
  <c r="M167" i="14"/>
  <c r="H72" i="14"/>
  <c r="M137" i="14"/>
  <c r="M139" i="14"/>
  <c r="M143" i="14"/>
  <c r="M145" i="14"/>
  <c r="M147" i="14"/>
  <c r="M158" i="14"/>
  <c r="M162" i="14"/>
  <c r="M130" i="14"/>
  <c r="M132" i="14"/>
  <c r="M134" i="14"/>
  <c r="M170" i="14"/>
  <c r="M174" i="14"/>
  <c r="M178" i="14"/>
  <c r="J71" i="14"/>
  <c r="J72" i="14" s="1"/>
  <c r="D201" i="14" s="1"/>
  <c r="M159" i="14"/>
  <c r="M166" i="14"/>
  <c r="M173" i="14"/>
  <c r="M175" i="14"/>
  <c r="G111" i="14"/>
  <c r="M126" i="14"/>
  <c r="M128" i="14"/>
  <c r="M133" i="14"/>
  <c r="M138" i="14"/>
  <c r="M141" i="14"/>
  <c r="M146" i="14"/>
  <c r="I111" i="14"/>
  <c r="J81" i="14"/>
  <c r="I96" i="14"/>
  <c r="F201" i="14" s="1"/>
  <c r="M157" i="14"/>
  <c r="K158" i="14"/>
  <c r="H81" i="14"/>
  <c r="M131" i="14"/>
  <c r="M136" i="14"/>
  <c r="M140" i="14"/>
  <c r="M144" i="14"/>
  <c r="M160" i="14"/>
  <c r="M164" i="14"/>
  <c r="M168" i="14"/>
  <c r="M172" i="14"/>
  <c r="M176" i="14"/>
  <c r="G96" i="14"/>
  <c r="M176" i="13"/>
  <c r="M178" i="13"/>
  <c r="M142" i="13"/>
  <c r="M144" i="13"/>
  <c r="M160" i="13"/>
  <c r="M168" i="13"/>
  <c r="M170" i="13"/>
  <c r="H72" i="13"/>
  <c r="M137" i="13"/>
  <c r="M145" i="13"/>
  <c r="M147" i="13"/>
  <c r="M171" i="13"/>
  <c r="M173" i="13"/>
  <c r="M175" i="13"/>
  <c r="M177" i="13"/>
  <c r="M129" i="13"/>
  <c r="M131" i="13"/>
  <c r="M159" i="13"/>
  <c r="M163" i="13"/>
  <c r="M165" i="13"/>
  <c r="M167" i="13"/>
  <c r="G111" i="13"/>
  <c r="M139" i="13"/>
  <c r="M162" i="13"/>
  <c r="H81" i="13"/>
  <c r="M130" i="13"/>
  <c r="M135" i="13"/>
  <c r="M138" i="13"/>
  <c r="M143" i="13"/>
  <c r="M146" i="13"/>
  <c r="M161" i="13"/>
  <c r="M166" i="13"/>
  <c r="M169" i="13"/>
  <c r="M174" i="13"/>
  <c r="H194" i="13"/>
  <c r="G96" i="13"/>
  <c r="M133" i="13"/>
  <c r="M141" i="13"/>
  <c r="M164" i="13"/>
  <c r="M172" i="13"/>
  <c r="J77" i="13"/>
  <c r="J81" i="13" s="1"/>
  <c r="E200" i="13" s="1"/>
  <c r="M157" i="13"/>
  <c r="J191" i="13"/>
  <c r="J194" i="13" s="1"/>
  <c r="I100" i="13"/>
  <c r="I111" i="13" s="1"/>
  <c r="G200" i="13" s="1"/>
  <c r="H115" i="13"/>
  <c r="H120" i="13" s="1"/>
  <c r="H200" i="13" s="1"/>
  <c r="H188" i="13"/>
  <c r="J70" i="13"/>
  <c r="J72" i="13" s="1"/>
  <c r="D200" i="13" s="1"/>
  <c r="I85" i="13"/>
  <c r="I96" i="13" s="1"/>
  <c r="F200" i="13" s="1"/>
  <c r="M126" i="13"/>
  <c r="J187" i="13"/>
  <c r="J188" i="13" s="1"/>
  <c r="K125" i="22"/>
  <c r="H151" i="22"/>
  <c r="J125" i="22"/>
  <c r="J151" i="22" s="1"/>
  <c r="A200" i="22" s="1"/>
  <c r="K156" i="22"/>
  <c r="J156" i="22"/>
  <c r="J182" i="22" s="1"/>
  <c r="I200" i="22" s="1"/>
  <c r="H182" i="22"/>
  <c r="I96" i="22"/>
  <c r="F200" i="22" s="1"/>
  <c r="I111" i="22"/>
  <c r="G200" i="22" s="1"/>
  <c r="J194" i="22"/>
  <c r="G96" i="22"/>
  <c r="H72" i="22"/>
  <c r="G111" i="22"/>
  <c r="H188" i="22"/>
  <c r="H194" i="21"/>
  <c r="H81" i="21"/>
  <c r="I111" i="21"/>
  <c r="G201" i="21" s="1"/>
  <c r="J190" i="20"/>
  <c r="H81" i="20"/>
  <c r="J72" i="20"/>
  <c r="D202" i="20" s="1"/>
  <c r="J196" i="20"/>
  <c r="J81" i="20"/>
  <c r="E202" i="20" s="1"/>
  <c r="J194" i="19"/>
  <c r="J188" i="19"/>
  <c r="J81" i="19"/>
  <c r="E200" i="19" s="1"/>
  <c r="J194" i="14"/>
  <c r="J188" i="14"/>
  <c r="G201" i="14"/>
  <c r="E201" i="14"/>
  <c r="J72" i="21"/>
  <c r="D201" i="21" s="1"/>
  <c r="H151" i="21"/>
  <c r="J77" i="21"/>
  <c r="J81" i="21" s="1"/>
  <c r="E201" i="21" s="1"/>
  <c r="I86" i="21"/>
  <c r="I96" i="21" s="1"/>
  <c r="F201" i="21" s="1"/>
  <c r="H115" i="21"/>
  <c r="H120" i="21" s="1"/>
  <c r="H201" i="21" s="1"/>
  <c r="J125" i="21"/>
  <c r="J151" i="21" s="1"/>
  <c r="A201" i="21" s="1"/>
  <c r="J156" i="21"/>
  <c r="J182" i="21" s="1"/>
  <c r="I201" i="21" s="1"/>
  <c r="J187" i="21"/>
  <c r="J188" i="21" s="1"/>
  <c r="J191" i="21"/>
  <c r="J194" i="21" s="1"/>
  <c r="H182" i="21"/>
  <c r="K158" i="20"/>
  <c r="J158" i="20"/>
  <c r="J184" i="20" s="1"/>
  <c r="I202" i="20" s="1"/>
  <c r="H184" i="20"/>
  <c r="I96" i="20"/>
  <c r="F202" i="20" s="1"/>
  <c r="I111" i="20"/>
  <c r="G202" i="20" s="1"/>
  <c r="K126" i="20"/>
  <c r="J126" i="20"/>
  <c r="J152" i="20" s="1"/>
  <c r="A202" i="20" s="1"/>
  <c r="H152" i="20"/>
  <c r="G111" i="20"/>
  <c r="H190" i="20"/>
  <c r="H196" i="20"/>
  <c r="K156" i="19"/>
  <c r="J156" i="19"/>
  <c r="J182" i="19" s="1"/>
  <c r="I200" i="19" s="1"/>
  <c r="H182" i="19"/>
  <c r="I96" i="19"/>
  <c r="F200" i="19" s="1"/>
  <c r="K125" i="19"/>
  <c r="J125" i="19"/>
  <c r="J151" i="19" s="1"/>
  <c r="A200" i="19" s="1"/>
  <c r="H151" i="19"/>
  <c r="J70" i="19"/>
  <c r="I100" i="19"/>
  <c r="I111" i="19" s="1"/>
  <c r="G200" i="19" s="1"/>
  <c r="G96" i="19"/>
  <c r="H188" i="19"/>
  <c r="H194" i="19"/>
  <c r="K156" i="14"/>
  <c r="J156" i="14"/>
  <c r="J182" i="14" s="1"/>
  <c r="I201" i="14" s="1"/>
  <c r="H182" i="14"/>
  <c r="K125" i="14"/>
  <c r="J125" i="14"/>
  <c r="J151" i="14" s="1"/>
  <c r="A201" i="14" s="1"/>
  <c r="H151" i="14"/>
  <c r="I127" i="14"/>
  <c r="M127" i="14" s="1"/>
  <c r="H188" i="14"/>
  <c r="H194" i="14"/>
  <c r="J156" i="13"/>
  <c r="J182" i="13" s="1"/>
  <c r="I200" i="13" s="1"/>
  <c r="K156" i="13"/>
  <c r="H182" i="13"/>
  <c r="J125" i="13"/>
  <c r="J151" i="13" s="1"/>
  <c r="A200" i="13" s="1"/>
  <c r="K125" i="13"/>
  <c r="H151" i="13"/>
  <c r="I127" i="13"/>
  <c r="M127" i="13" s="1"/>
  <c r="I158" i="13"/>
  <c r="M158" i="13" s="1"/>
  <c r="J72" i="19" l="1"/>
  <c r="D200" i="19" s="1"/>
  <c r="K200" i="19" s="1"/>
  <c r="J200" i="13"/>
  <c r="J200" i="22"/>
  <c r="P201" i="22" s="1"/>
  <c r="J200" i="19"/>
  <c r="Q201" i="13"/>
  <c r="J202" i="13"/>
  <c r="J202" i="22"/>
  <c r="J203" i="21"/>
  <c r="J201" i="21"/>
  <c r="Q203" i="21" s="1"/>
  <c r="J202" i="20"/>
  <c r="R203" i="20" s="1"/>
  <c r="J204" i="20"/>
  <c r="J203" i="19"/>
  <c r="J204" i="14"/>
  <c r="J201" i="14"/>
  <c r="Q202" i="14" s="1"/>
  <c r="K254" i="25"/>
  <c r="H245" i="25"/>
  <c r="H244" i="25"/>
  <c r="H243" i="25"/>
  <c r="H239" i="25"/>
  <c r="H238" i="25"/>
  <c r="F137" i="25"/>
  <c r="G126" i="25"/>
  <c r="I126" i="25" s="1"/>
  <c r="G125" i="25"/>
  <c r="I125" i="25" s="1"/>
  <c r="G124" i="25"/>
  <c r="I124" i="25" s="1"/>
  <c r="G123" i="25"/>
  <c r="I123" i="25" s="1"/>
  <c r="G122" i="25"/>
  <c r="I122" i="25" s="1"/>
  <c r="G121" i="25"/>
  <c r="I121" i="25" s="1"/>
  <c r="G120" i="25"/>
  <c r="I120" i="25" s="1"/>
  <c r="I131" i="25" s="1"/>
  <c r="G114" i="25"/>
  <c r="I114" i="25" s="1"/>
  <c r="G113" i="25"/>
  <c r="I113" i="25" s="1"/>
  <c r="G112" i="25"/>
  <c r="I112" i="25" s="1"/>
  <c r="G111" i="25"/>
  <c r="I111" i="25" s="1"/>
  <c r="G110" i="25"/>
  <c r="I110" i="25" s="1"/>
  <c r="G109" i="25"/>
  <c r="I109" i="25" s="1"/>
  <c r="I115" i="25" s="1"/>
  <c r="G108" i="25"/>
  <c r="I108" i="25" s="1"/>
  <c r="G107" i="25"/>
  <c r="G106" i="25"/>
  <c r="I106" i="25" s="1"/>
  <c r="G105" i="25"/>
  <c r="G104" i="25"/>
  <c r="I107" i="25"/>
  <c r="I129" i="25"/>
  <c r="I130" i="25"/>
  <c r="H95" i="25"/>
  <c r="H97" i="25"/>
  <c r="H98" i="25"/>
  <c r="H96" i="25"/>
  <c r="H86" i="25"/>
  <c r="H85" i="25"/>
  <c r="F40" i="22"/>
  <c r="F40" i="21"/>
  <c r="F40" i="20"/>
  <c r="F40" i="19"/>
  <c r="F40" i="14"/>
  <c r="M40" i="13"/>
  <c r="F40" i="13"/>
  <c r="Q202" i="19" l="1"/>
  <c r="G115" i="25"/>
  <c r="G131" i="25"/>
  <c r="I105" i="25"/>
  <c r="L52" i="25"/>
  <c r="F52" i="25"/>
  <c r="H181" i="25" l="1"/>
  <c r="J181" i="25" s="1"/>
  <c r="J238" i="25"/>
  <c r="J245" i="25"/>
  <c r="J244" i="25"/>
  <c r="J243" i="25"/>
  <c r="H137" i="25"/>
  <c r="J98" i="25"/>
  <c r="H99" i="25"/>
  <c r="J95" i="25"/>
  <c r="J86" i="25"/>
  <c r="H87" i="25"/>
  <c r="A254" i="25"/>
  <c r="H233" i="25"/>
  <c r="J232" i="25"/>
  <c r="J233" i="25" s="1"/>
  <c r="H231" i="25"/>
  <c r="L230" i="25"/>
  <c r="H230" i="25"/>
  <c r="H222" i="25"/>
  <c r="J221" i="25"/>
  <c r="J222" i="25" s="1"/>
  <c r="L215" i="25"/>
  <c r="H214" i="25"/>
  <c r="G214" i="25"/>
  <c r="H213" i="25"/>
  <c r="G213" i="25"/>
  <c r="H212" i="25"/>
  <c r="G212" i="25"/>
  <c r="J206" i="25"/>
  <c r="L206" i="25" s="1"/>
  <c r="L205" i="25"/>
  <c r="L204" i="25"/>
  <c r="J203" i="25"/>
  <c r="H203" i="25"/>
  <c r="I203" i="25" s="1"/>
  <c r="J202" i="25"/>
  <c r="H202" i="25"/>
  <c r="I202" i="25" s="1"/>
  <c r="J201" i="25"/>
  <c r="H201" i="25"/>
  <c r="I201" i="25" s="1"/>
  <c r="J200" i="25"/>
  <c r="H200" i="25"/>
  <c r="I200" i="25" s="1"/>
  <c r="J199" i="25"/>
  <c r="H199" i="25"/>
  <c r="I199" i="25" s="1"/>
  <c r="J198" i="25"/>
  <c r="H198" i="25"/>
  <c r="I198" i="25" s="1"/>
  <c r="J197" i="25"/>
  <c r="H197" i="25"/>
  <c r="I197" i="25" s="1"/>
  <c r="J196" i="25"/>
  <c r="H196" i="25"/>
  <c r="I196" i="25" s="1"/>
  <c r="J195" i="25"/>
  <c r="H195" i="25"/>
  <c r="I195" i="25" s="1"/>
  <c r="J194" i="25"/>
  <c r="H194" i="25"/>
  <c r="I194" i="25" s="1"/>
  <c r="J193" i="25"/>
  <c r="H193" i="25"/>
  <c r="I193" i="25" s="1"/>
  <c r="J192" i="25"/>
  <c r="H192" i="25"/>
  <c r="I192" i="25" s="1"/>
  <c r="J191" i="25"/>
  <c r="H191" i="25"/>
  <c r="I191" i="25" s="1"/>
  <c r="J190" i="25"/>
  <c r="H190" i="25"/>
  <c r="I190" i="25" s="1"/>
  <c r="J189" i="25"/>
  <c r="H189" i="25"/>
  <c r="I189" i="25" s="1"/>
  <c r="J188" i="25"/>
  <c r="H188" i="25"/>
  <c r="I188" i="25" s="1"/>
  <c r="J187" i="25"/>
  <c r="H187" i="25"/>
  <c r="I187" i="25" s="1"/>
  <c r="J186" i="25"/>
  <c r="H186" i="25"/>
  <c r="I186" i="25" s="1"/>
  <c r="J185" i="25"/>
  <c r="H185" i="25"/>
  <c r="I185" i="25" s="1"/>
  <c r="J184" i="25"/>
  <c r="H184" i="25"/>
  <c r="I184" i="25" s="1"/>
  <c r="J183" i="25"/>
  <c r="H183" i="25"/>
  <c r="K183" i="25" s="1"/>
  <c r="J182" i="25"/>
  <c r="H182" i="25"/>
  <c r="I182" i="25" s="1"/>
  <c r="J173" i="25"/>
  <c r="L173" i="25" s="1"/>
  <c r="L172" i="25"/>
  <c r="L171" i="25"/>
  <c r="J170" i="25"/>
  <c r="H170" i="25"/>
  <c r="I170" i="25" s="1"/>
  <c r="J169" i="25"/>
  <c r="H169" i="25"/>
  <c r="I169" i="25" s="1"/>
  <c r="J168" i="25"/>
  <c r="H168" i="25"/>
  <c r="I168" i="25" s="1"/>
  <c r="J167" i="25"/>
  <c r="H167" i="25"/>
  <c r="I167" i="25" s="1"/>
  <c r="J166" i="25"/>
  <c r="H166" i="25"/>
  <c r="I166" i="25" s="1"/>
  <c r="J165" i="25"/>
  <c r="H165" i="25"/>
  <c r="I165" i="25" s="1"/>
  <c r="J164" i="25"/>
  <c r="H164" i="25"/>
  <c r="I164" i="25" s="1"/>
  <c r="J163" i="25"/>
  <c r="H163" i="25"/>
  <c r="I163" i="25" s="1"/>
  <c r="J162" i="25"/>
  <c r="H162" i="25"/>
  <c r="I162" i="25" s="1"/>
  <c r="J161" i="25"/>
  <c r="H161" i="25"/>
  <c r="I161" i="25" s="1"/>
  <c r="J160" i="25"/>
  <c r="H160" i="25"/>
  <c r="I160" i="25" s="1"/>
  <c r="J159" i="25"/>
  <c r="H159" i="25"/>
  <c r="I159" i="25" s="1"/>
  <c r="J158" i="25"/>
  <c r="H158" i="25"/>
  <c r="I158" i="25" s="1"/>
  <c r="J157" i="25"/>
  <c r="H157" i="25"/>
  <c r="I157" i="25" s="1"/>
  <c r="J156" i="25"/>
  <c r="H156" i="25"/>
  <c r="I156" i="25" s="1"/>
  <c r="J155" i="25"/>
  <c r="H155" i="25"/>
  <c r="I155" i="25" s="1"/>
  <c r="J154" i="25"/>
  <c r="H154" i="25"/>
  <c r="I154" i="25" s="1"/>
  <c r="J153" i="25"/>
  <c r="H153" i="25"/>
  <c r="I153" i="25" s="1"/>
  <c r="J152" i="25"/>
  <c r="H152" i="25"/>
  <c r="I152" i="25" s="1"/>
  <c r="J151" i="25"/>
  <c r="H151" i="25"/>
  <c r="I151" i="25" s="1"/>
  <c r="J150" i="25"/>
  <c r="H150" i="25"/>
  <c r="K150" i="25" s="1"/>
  <c r="J149" i="25"/>
  <c r="H149" i="25"/>
  <c r="I149" i="25" s="1"/>
  <c r="H141" i="25"/>
  <c r="H140" i="25"/>
  <c r="J97" i="25"/>
  <c r="L76" i="25"/>
  <c r="H75" i="25"/>
  <c r="L75" i="25" s="1"/>
  <c r="H74" i="25"/>
  <c r="L74" i="25" s="1"/>
  <c r="H73" i="25"/>
  <c r="L73" i="25" s="1"/>
  <c r="H72" i="25"/>
  <c r="L72" i="25" s="1"/>
  <c r="H71" i="25"/>
  <c r="L71" i="25" s="1"/>
  <c r="H70" i="25"/>
  <c r="L70" i="25" s="1"/>
  <c r="H69" i="25"/>
  <c r="L69" i="25" s="1"/>
  <c r="H68" i="25"/>
  <c r="L68" i="25" s="1"/>
  <c r="H67" i="25"/>
  <c r="L67" i="25" s="1"/>
  <c r="H66" i="25"/>
  <c r="L66" i="25" s="1"/>
  <c r="H65" i="25"/>
  <c r="L65" i="25" s="1"/>
  <c r="H64" i="25"/>
  <c r="L64" i="25" s="1"/>
  <c r="H63" i="25"/>
  <c r="L63" i="25" s="1"/>
  <c r="H62" i="25"/>
  <c r="L62" i="25" s="1"/>
  <c r="H61" i="25"/>
  <c r="L61" i="25" s="1"/>
  <c r="H60" i="25"/>
  <c r="L60" i="25" s="1"/>
  <c r="H59" i="25"/>
  <c r="L59" i="25" s="1"/>
  <c r="H58" i="25"/>
  <c r="L58" i="25" s="1"/>
  <c r="N53" i="25"/>
  <c r="E53" i="25"/>
  <c r="L153" i="25" l="1"/>
  <c r="L155" i="25"/>
  <c r="L161" i="25"/>
  <c r="L163" i="25"/>
  <c r="J239" i="25"/>
  <c r="J240" i="25" s="1"/>
  <c r="H240" i="25"/>
  <c r="L188" i="25"/>
  <c r="L196" i="25"/>
  <c r="L169" i="25"/>
  <c r="L182" i="25"/>
  <c r="K148" i="25"/>
  <c r="J148" i="25"/>
  <c r="J174" i="25" s="1"/>
  <c r="I254" i="25" s="1"/>
  <c r="L152" i="25"/>
  <c r="L157" i="25"/>
  <c r="L166" i="25"/>
  <c r="L168" i="25"/>
  <c r="L184" i="25"/>
  <c r="L193" i="25"/>
  <c r="L195" i="25"/>
  <c r="L198" i="25"/>
  <c r="L200" i="25"/>
  <c r="L158" i="25"/>
  <c r="L160" i="25"/>
  <c r="L165" i="25"/>
  <c r="I183" i="25"/>
  <c r="L183" i="25" s="1"/>
  <c r="L185" i="25"/>
  <c r="L187" i="25"/>
  <c r="L190" i="25"/>
  <c r="L192" i="25"/>
  <c r="L201" i="25"/>
  <c r="L203" i="25"/>
  <c r="L77" i="25"/>
  <c r="J85" i="25"/>
  <c r="J87" i="25" s="1"/>
  <c r="D254" i="25" s="1"/>
  <c r="L149" i="25"/>
  <c r="L151" i="25"/>
  <c r="L154" i="25"/>
  <c r="L159" i="25"/>
  <c r="L162" i="25"/>
  <c r="L167" i="25"/>
  <c r="L170" i="25"/>
  <c r="L156" i="25"/>
  <c r="L164" i="25"/>
  <c r="L186" i="25"/>
  <c r="L189" i="25"/>
  <c r="L191" i="25"/>
  <c r="L194" i="25"/>
  <c r="L197" i="25"/>
  <c r="L199" i="25"/>
  <c r="L202" i="25"/>
  <c r="I150" i="25"/>
  <c r="L150" i="25" s="1"/>
  <c r="J246" i="25"/>
  <c r="H246" i="25"/>
  <c r="H207" i="25"/>
  <c r="J207" i="25"/>
  <c r="J254" i="25" s="1"/>
  <c r="F142" i="25"/>
  <c r="G254" i="25"/>
  <c r="F254" i="25"/>
  <c r="J96" i="25"/>
  <c r="J99" i="25" s="1"/>
  <c r="E254" i="25" s="1"/>
  <c r="H142" i="25"/>
  <c r="H254" i="25" s="1"/>
  <c r="K181" i="25"/>
  <c r="L254" i="25" l="1"/>
  <c r="L256" i="25" s="1"/>
  <c r="M64" i="22" l="1"/>
  <c r="H63" i="22"/>
  <c r="M63" i="22" s="1"/>
  <c r="H62" i="22"/>
  <c r="M62" i="22" s="1"/>
  <c r="H61" i="22"/>
  <c r="M61" i="22" s="1"/>
  <c r="H60" i="22"/>
  <c r="M60" i="22" s="1"/>
  <c r="H59" i="22"/>
  <c r="M59" i="22" s="1"/>
  <c r="H58" i="22"/>
  <c r="M58" i="22" s="1"/>
  <c r="H57" i="22"/>
  <c r="M57" i="22" s="1"/>
  <c r="H56" i="22"/>
  <c r="M56" i="22" s="1"/>
  <c r="H55" i="22"/>
  <c r="M55" i="22" s="1"/>
  <c r="H54" i="22"/>
  <c r="M54" i="22" s="1"/>
  <c r="H53" i="22"/>
  <c r="M53" i="22" s="1"/>
  <c r="H52" i="22"/>
  <c r="M52" i="22" s="1"/>
  <c r="H51" i="22"/>
  <c r="M51" i="22" s="1"/>
  <c r="H50" i="22"/>
  <c r="M50" i="22" s="1"/>
  <c r="H49" i="22"/>
  <c r="M49" i="22" s="1"/>
  <c r="H48" i="22"/>
  <c r="M48" i="22" s="1"/>
  <c r="H47" i="22"/>
  <c r="M47" i="22" s="1"/>
  <c r="H46" i="22"/>
  <c r="M46" i="22" s="1"/>
  <c r="O41" i="22"/>
  <c r="E41" i="22"/>
  <c r="M64" i="21"/>
  <c r="H63" i="21"/>
  <c r="M63" i="21" s="1"/>
  <c r="H62" i="21"/>
  <c r="M62" i="21" s="1"/>
  <c r="H61" i="21"/>
  <c r="M61" i="21" s="1"/>
  <c r="H60" i="21"/>
  <c r="M60" i="21" s="1"/>
  <c r="H59" i="21"/>
  <c r="M59" i="21" s="1"/>
  <c r="H58" i="21"/>
  <c r="M58" i="21" s="1"/>
  <c r="H57" i="21"/>
  <c r="M57" i="21" s="1"/>
  <c r="H56" i="21"/>
  <c r="M56" i="21" s="1"/>
  <c r="H55" i="21"/>
  <c r="M55" i="21" s="1"/>
  <c r="H54" i="21"/>
  <c r="M54" i="21" s="1"/>
  <c r="H53" i="21"/>
  <c r="M53" i="21" s="1"/>
  <c r="H52" i="21"/>
  <c r="M52" i="21" s="1"/>
  <c r="H51" i="21"/>
  <c r="M51" i="21" s="1"/>
  <c r="H50" i="21"/>
  <c r="M50" i="21" s="1"/>
  <c r="H49" i="21"/>
  <c r="M49" i="21" s="1"/>
  <c r="H48" i="21"/>
  <c r="M48" i="21" s="1"/>
  <c r="H47" i="21"/>
  <c r="M47" i="21" s="1"/>
  <c r="H46" i="21"/>
  <c r="M46" i="21" s="1"/>
  <c r="O41" i="21"/>
  <c r="E41" i="21"/>
  <c r="M64" i="20"/>
  <c r="H63" i="20"/>
  <c r="M63" i="20" s="1"/>
  <c r="H62" i="20"/>
  <c r="M62" i="20" s="1"/>
  <c r="H61" i="20"/>
  <c r="M61" i="20" s="1"/>
  <c r="H60" i="20"/>
  <c r="M60" i="20" s="1"/>
  <c r="H59" i="20"/>
  <c r="M59" i="20" s="1"/>
  <c r="H58" i="20"/>
  <c r="M58" i="20" s="1"/>
  <c r="H57" i="20"/>
  <c r="M57" i="20" s="1"/>
  <c r="H56" i="20"/>
  <c r="M56" i="20" s="1"/>
  <c r="H55" i="20"/>
  <c r="M55" i="20" s="1"/>
  <c r="H54" i="20"/>
  <c r="M54" i="20" s="1"/>
  <c r="H53" i="20"/>
  <c r="M53" i="20" s="1"/>
  <c r="H52" i="20"/>
  <c r="M52" i="20" s="1"/>
  <c r="H51" i="20"/>
  <c r="M51" i="20" s="1"/>
  <c r="H50" i="20"/>
  <c r="M50" i="20" s="1"/>
  <c r="H49" i="20"/>
  <c r="M49" i="20" s="1"/>
  <c r="H48" i="20"/>
  <c r="M48" i="20" s="1"/>
  <c r="H47" i="20"/>
  <c r="M47" i="20" s="1"/>
  <c r="H46" i="20"/>
  <c r="M46" i="20" s="1"/>
  <c r="N41" i="20"/>
  <c r="E41" i="20"/>
  <c r="M64" i="19"/>
  <c r="H63" i="19"/>
  <c r="M63" i="19" s="1"/>
  <c r="H62" i="19"/>
  <c r="M62" i="19" s="1"/>
  <c r="H61" i="19"/>
  <c r="M61" i="19" s="1"/>
  <c r="H60" i="19"/>
  <c r="M60" i="19" s="1"/>
  <c r="H59" i="19"/>
  <c r="M59" i="19" s="1"/>
  <c r="H58" i="19"/>
  <c r="M58" i="19" s="1"/>
  <c r="H57" i="19"/>
  <c r="M57" i="19" s="1"/>
  <c r="H56" i="19"/>
  <c r="M56" i="19" s="1"/>
  <c r="H55" i="19"/>
  <c r="M55" i="19" s="1"/>
  <c r="H54" i="19"/>
  <c r="M54" i="19" s="1"/>
  <c r="H53" i="19"/>
  <c r="M53" i="19" s="1"/>
  <c r="H52" i="19"/>
  <c r="M52" i="19" s="1"/>
  <c r="H51" i="19"/>
  <c r="M51" i="19" s="1"/>
  <c r="H50" i="19"/>
  <c r="M50" i="19" s="1"/>
  <c r="H49" i="19"/>
  <c r="M49" i="19" s="1"/>
  <c r="H48" i="19"/>
  <c r="M48" i="19" s="1"/>
  <c r="H47" i="19"/>
  <c r="M47" i="19" s="1"/>
  <c r="H46" i="19"/>
  <c r="M46" i="19" s="1"/>
  <c r="O41" i="19"/>
  <c r="E41" i="19"/>
  <c r="M64" i="14"/>
  <c r="H63" i="14"/>
  <c r="M63" i="14" s="1"/>
  <c r="H62" i="14"/>
  <c r="M62" i="14" s="1"/>
  <c r="H61" i="14"/>
  <c r="M61" i="14" s="1"/>
  <c r="H60" i="14"/>
  <c r="M60" i="14" s="1"/>
  <c r="H59" i="14"/>
  <c r="M59" i="14" s="1"/>
  <c r="H58" i="14"/>
  <c r="M58" i="14" s="1"/>
  <c r="H57" i="14"/>
  <c r="M57" i="14" s="1"/>
  <c r="H56" i="14"/>
  <c r="M56" i="14" s="1"/>
  <c r="H55" i="14"/>
  <c r="M55" i="14" s="1"/>
  <c r="H54" i="14"/>
  <c r="M54" i="14" s="1"/>
  <c r="H53" i="14"/>
  <c r="M53" i="14" s="1"/>
  <c r="H52" i="14"/>
  <c r="M52" i="14" s="1"/>
  <c r="H51" i="14"/>
  <c r="M51" i="14" s="1"/>
  <c r="H50" i="14"/>
  <c r="M50" i="14" s="1"/>
  <c r="H49" i="14"/>
  <c r="M49" i="14" s="1"/>
  <c r="H48" i="14"/>
  <c r="M48" i="14" s="1"/>
  <c r="H47" i="14"/>
  <c r="M47" i="14" s="1"/>
  <c r="H46" i="14"/>
  <c r="M46" i="14" s="1"/>
  <c r="O41" i="14"/>
  <c r="E41" i="14"/>
  <c r="M65" i="22" l="1"/>
  <c r="M65" i="21"/>
  <c r="M65" i="20"/>
  <c r="M65" i="19"/>
  <c r="M65" i="14"/>
  <c r="E41" i="13" l="1"/>
  <c r="M64" i="13" l="1"/>
  <c r="H63" i="13"/>
  <c r="M63" i="13" s="1"/>
  <c r="H62" i="13"/>
  <c r="M62" i="13" s="1"/>
  <c r="H61" i="13"/>
  <c r="M61" i="13" s="1"/>
  <c r="H60" i="13"/>
  <c r="M60" i="13" s="1"/>
  <c r="H59" i="13"/>
  <c r="M59" i="13" s="1"/>
  <c r="H58" i="13"/>
  <c r="M58" i="13" s="1"/>
  <c r="H57" i="13"/>
  <c r="M57" i="13" s="1"/>
  <c r="H56" i="13"/>
  <c r="M56" i="13" s="1"/>
  <c r="H55" i="13"/>
  <c r="M55" i="13" s="1"/>
  <c r="H54" i="13"/>
  <c r="M54" i="13" s="1"/>
  <c r="H53" i="13"/>
  <c r="M53" i="13" s="1"/>
  <c r="H52" i="13"/>
  <c r="M52" i="13" s="1"/>
  <c r="H51" i="13"/>
  <c r="M51" i="13" s="1"/>
  <c r="H50" i="13"/>
  <c r="M50" i="13" s="1"/>
  <c r="H49" i="13"/>
  <c r="M49" i="13" s="1"/>
  <c r="H48" i="13"/>
  <c r="M48" i="13" s="1"/>
  <c r="H47" i="13"/>
  <c r="M47" i="13" s="1"/>
  <c r="H46" i="13"/>
  <c r="M46" i="13" s="1"/>
  <c r="M65" i="13" l="1"/>
</calcChain>
</file>

<file path=xl/sharedStrings.xml><?xml version="1.0" encoding="utf-8"?>
<sst xmlns="http://schemas.openxmlformats.org/spreadsheetml/2006/main" count="1730" uniqueCount="219">
  <si>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</si>
  <si>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</si>
  <si>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</si>
  <si>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</si>
  <si>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</si>
  <si>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</si>
  <si>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</si>
  <si>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</si>
  <si>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</si>
  <si>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</si>
  <si>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</si>
  <si>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</si>
  <si>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</si>
  <si>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</si>
  <si>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</si>
  <si>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</si>
  <si>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</si>
  <si>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</si>
  <si>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</si>
  <si>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</si>
  <si>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</si>
  <si>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</si>
  <si>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</si>
  <si>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</si>
  <si>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</si>
  <si>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</si>
  <si>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</si>
  <si>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</si>
  <si>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</si>
  <si>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</si>
  <si>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</si>
  <si>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</si>
  <si>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</si>
  <si>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</si>
  <si>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</si>
  <si>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</si>
  <si>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</si>
  <si>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</si>
  <si>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</si>
  <si>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</si>
  <si>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</si>
  <si>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</si>
  <si>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</si>
  <si>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</si>
  <si>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</si>
  <si>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</si>
  <si>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</si>
  <si>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Базовый норматив затрат на оказание услуг, руб.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</si>
  <si>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</si>
  <si>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</si>
  <si>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</si>
  <si>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</si>
  <si>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</si>
  <si>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</si>
  <si>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</si>
  <si>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</si>
  <si>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</si>
  <si>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</si>
  <si>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</si>
  <si>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</si>
  <si>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 xml:space="preserve">Тариф (цена), рублей </t>
  </si>
  <si>
    <t>Исполнитель:</t>
  </si>
  <si>
    <t>Нормативные затраты на одного обучающегося</t>
  </si>
  <si>
    <t>ФОТ с начислениями на выплаты по оплате труда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</si>
  <si>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</si>
  <si>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</si>
  <si>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</si>
  <si>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</si>
  <si>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</si>
  <si>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</si>
  <si>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</si>
  <si>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</si>
  <si>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</si>
  <si>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</si>
  <si>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</si>
  <si>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</si>
  <si>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</si>
  <si>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</si>
  <si>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</si>
  <si>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</si>
  <si>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</si>
  <si>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</si>
  <si>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</si>
  <si>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t>Интернет</t>
  </si>
  <si>
    <t>Затраты на прочие расходы</t>
  </si>
  <si>
    <t>Прочие затраты</t>
  </si>
  <si>
    <t>Количество мероприятий</t>
  </si>
  <si>
    <t>Нормативные затраты на одного потребителя</t>
  </si>
  <si>
    <t>ИТОГО по муниципальной работе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</si>
  <si>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</si>
  <si>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</si>
  <si>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</si>
  <si>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Затраты на оплату труда (с начислениями) работников, непосредственно не связанных с оказанием работ</t>
  </si>
  <si>
    <t>Нормативные затраты на одно мероприятие</t>
  </si>
  <si>
    <t>Приложение № 1 к приказу от 18.12.2017г. № ____</t>
  </si>
  <si>
    <t>Инспектор по кадрам</t>
  </si>
  <si>
    <t>Механик</t>
  </si>
  <si>
    <t>Секретарь</t>
  </si>
  <si>
    <t xml:space="preserve">                     ИСХОДНЫЕ ДАННЫЕ И РЕЗУЛЬТАТЫ РАСЧЕТОВ  МАУ "СШ"</t>
  </si>
  <si>
    <t>БАЗОВОГО НОРМАТИВА ЗАТРАТ НА ОКАЗАНИЕ МУНИЦИПАЛЬНЫХ РАБОТ НА  2019 год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</si>
  <si>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автономное учреждение "Спортивная школа" г. Назарово"</t>
    </r>
  </si>
  <si>
    <t>Услуга №1. Спортивная подготовка по олимпийским видам спорта</t>
  </si>
  <si>
    <t>Дератизация и дезинсекция</t>
  </si>
  <si>
    <t>Количество занимающихся</t>
  </si>
  <si>
    <t>количество, шт</t>
  </si>
  <si>
    <t>Затраты на оплату труда (с начислениями) работников, непосредственно связанных с оказанием работ</t>
  </si>
  <si>
    <t>Кол-во номеров</t>
  </si>
  <si>
    <t>Горюче-смазочные материалы</t>
  </si>
  <si>
    <t>Кубки</t>
  </si>
  <si>
    <t>Грамоты</t>
  </si>
  <si>
    <t>Медали</t>
  </si>
  <si>
    <t>Шумарина Н.С.</t>
  </si>
  <si>
    <t>7-45-59</t>
  </si>
  <si>
    <t>Услуга №2. Спортивная подготовка по неолимпийским видам спорта</t>
  </si>
  <si>
    <t>Работа №1. Организация и обеспечение подготовки спортивного резерва</t>
  </si>
  <si>
    <t>Работа №2. Организация мероприятий по подготовке спортивных сборных команд в интересах общества</t>
  </si>
  <si>
    <t>Работа №6. Обеспечение участия в официальных физкультурных (физкультурно-оздоровительных) мероприятиях</t>
  </si>
  <si>
    <t>Затраты на услуги связи</t>
  </si>
  <si>
    <t>услуги связи</t>
  </si>
  <si>
    <t>комунальные услуги</t>
  </si>
  <si>
    <t>содержание имущества</t>
  </si>
  <si>
    <t>прочие</t>
  </si>
  <si>
    <t>Увеличение стоимости материальных запасов</t>
  </si>
  <si>
    <t>материальные запасы</t>
  </si>
  <si>
    <t>ЗП связанных работников</t>
  </si>
  <si>
    <t>ЗП несвязанных работников</t>
  </si>
  <si>
    <t>Затраты на прочие</t>
  </si>
  <si>
    <t>Старший тренер</t>
  </si>
  <si>
    <t>Тренер</t>
  </si>
  <si>
    <t>Зам.директора</t>
  </si>
  <si>
    <t>Заведующий отделением</t>
  </si>
  <si>
    <t>Начальник лагеря</t>
  </si>
  <si>
    <t xml:space="preserve">Программист </t>
  </si>
  <si>
    <t>Инструктор по оружию</t>
  </si>
  <si>
    <t>Водитель</t>
  </si>
  <si>
    <t>Рабочий по обслуживанию зданий</t>
  </si>
  <si>
    <t>Уборщик служебных заведений</t>
  </si>
  <si>
    <t>Дворник</t>
  </si>
  <si>
    <t>Завхоз</t>
  </si>
  <si>
    <t xml:space="preserve">Рабочий по ремонту электрооборудования </t>
  </si>
  <si>
    <t xml:space="preserve">Рабочий по ремонту сантехоборудования </t>
  </si>
  <si>
    <t>Сторож-вахтер</t>
  </si>
  <si>
    <t>Инструктор-методист</t>
  </si>
  <si>
    <t>Врач</t>
  </si>
  <si>
    <t>Медсестра</t>
  </si>
  <si>
    <t>Спортсмен-инструктор</t>
  </si>
  <si>
    <t>Наименование показателя объема: 212 чел</t>
  </si>
  <si>
    <r>
      <t>Штатное расписание: 69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</si>
  <si>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Наименование показателя объема: 38 чел</t>
  </si>
  <si>
    <t>Наименование показателя объема: 414 чел</t>
  </si>
  <si>
    <t>Наименование показателя объема: 29 мероприятий</t>
  </si>
  <si>
    <t xml:space="preserve">Работа №3. Обеспечение участия в официальных физкультурных (физкультурно-оздоровительных) мероприятиях </t>
  </si>
  <si>
    <t>Наименование показателя объема: 1 мероприятие</t>
  </si>
  <si>
    <t>Работа №4. Организация и проведение официальных спортивных мероприятий</t>
  </si>
  <si>
    <t>Наименование показателя объема:  чел</t>
  </si>
  <si>
    <t>Вывоз мусора</t>
  </si>
  <si>
    <t>Обслуживание пожарной сигнализации</t>
  </si>
  <si>
    <t>Обслуживания узла тепловой энергии</t>
  </si>
  <si>
    <t>Обслуживание охранной сигнализации</t>
  </si>
  <si>
    <t>Промывка и опрессовка</t>
  </si>
  <si>
    <t xml:space="preserve">Содержание и текущий ремонт общего имущества многоквартирного жилого дома по ул.Арбузова 89 "б" </t>
  </si>
  <si>
    <t>Диагностика транспортных средств (4 ед. ТС)</t>
  </si>
  <si>
    <t>Ремонт автотранспорта</t>
  </si>
  <si>
    <t xml:space="preserve">Работы по техническому обслуживанию объектов станции радиосистемы передачи извещений ОС "Стрелец-Мониторинг" </t>
  </si>
  <si>
    <t>За замену блока СКЗИ, калибровка, активация тахографов</t>
  </si>
  <si>
    <t>,</t>
  </si>
  <si>
    <t>Страхование гражданской ответственности владельцев транспортных средств (4 ед. ТС)</t>
  </si>
  <si>
    <t>Предрейсовый медосмотр водителей</t>
  </si>
  <si>
    <t>Периодический медосмотр сотрудников</t>
  </si>
  <si>
    <t>Обучение по правилам эксплуатации тепло- и электроустановок (2 чел.)</t>
  </si>
  <si>
    <t>Централизованная охрана оружейной комнаты</t>
  </si>
  <si>
    <t>Поверка средств измерения</t>
  </si>
  <si>
    <t>Абон.обслуживание за инф.услуги системы мониторинга транспорта "Глонасс"</t>
  </si>
  <si>
    <t>Командировочные расходы (проезд, питание, проживание спортсмены)</t>
  </si>
  <si>
    <t>Командировочные расходы (проезд, питание, проживание тренера)</t>
  </si>
  <si>
    <t>Количество, шт</t>
  </si>
  <si>
    <t>Директор МАУ "СШОР"</t>
  </si>
  <si>
    <t>Е.П.Лукьянов</t>
  </si>
  <si>
    <t xml:space="preserve">                     ИСХОДНЫЕ ДАННЫЕ И РЕЗУЛЬТАТЫ РАСЧЕТОВ  МАУ "СШОР"</t>
  </si>
  <si>
    <t>БАЗОВОГО НОРМАТИВА ЗАТРАТ НА ОКАЗАНИЕ МУНИЦИПАЛЬНЫХ УСЛУГ НА  2019 год</t>
  </si>
  <si>
    <t>Приложение № 1 к приказу от ___________ № ____</t>
  </si>
  <si>
    <t>УС</t>
  </si>
  <si>
    <t>КУ</t>
  </si>
  <si>
    <t>СНИ</t>
  </si>
  <si>
    <t>ПР</t>
  </si>
  <si>
    <t>УСМЗ</t>
  </si>
  <si>
    <t>ОТ2</t>
  </si>
  <si>
    <t>Приложение №2</t>
  </si>
  <si>
    <t>к приказу</t>
  </si>
  <si>
    <t>от _________ № ______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</si>
  <si>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</si>
  <si>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</si>
  <si>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</si>
  <si>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</t>
  </si>
  <si>
    <t>Значение натуральной нормы</t>
  </si>
  <si>
    <t>931900О.99.0.БВ27АБ81006; 931900О.99.0.БВ27АБ82006; 931900О.99.0.БВ27АБ83006; 931900О.99.0.БВ27АБ84006; 931900О.99.0.БВ27АА16006; 931900О.99.0.БВ27АА17006; 931900О.99.0.БВ27АА86006; 931900О.99.0.БВ27АА87006; 931900О.99.0.БВ27АА88006;</t>
  </si>
  <si>
    <t>Натуральные нормы, непосредственно связанные с оказанием муниципальной услуги</t>
  </si>
  <si>
    <t>шт. ед.</t>
  </si>
  <si>
    <t>Натуральные нормы, непосредственно несвязанные с оказанием муниципальной услуги</t>
  </si>
  <si>
    <t>2.2. Услуги связи</t>
  </si>
  <si>
    <t>Количество номеров</t>
  </si>
  <si>
    <t>ед.</t>
  </si>
  <si>
    <t>931900О.99.0.БВ28АБ30000; 931900О.99.0.БВ28АБ31000; 931900О.99.0.БВ28АБ32000;</t>
  </si>
  <si>
    <t>2.3. Коммунальные услуги</t>
  </si>
  <si>
    <t>кВт час</t>
  </si>
  <si>
    <t>2.4. Затраты на содержание объектов недвижимого имущества</t>
  </si>
  <si>
    <t>2.5. Прочие работы, услуги</t>
  </si>
  <si>
    <t>2.7. Увеличение стоимости материальных запасов</t>
  </si>
  <si>
    <t>Проезд</t>
  </si>
  <si>
    <t>Проживание</t>
  </si>
  <si>
    <t>Питание</t>
  </si>
  <si>
    <t>Р.03.1.0022.0001.001</t>
  </si>
  <si>
    <t>2.6. Увеличение стоимости материальных запасов</t>
  </si>
  <si>
    <t xml:space="preserve">Работа №2. Организация мероприятий по подготовке спортивных сборных команд </t>
  </si>
  <si>
    <t>Значения натуральных норм, необходимых для определения базовых нормативов затрат на оказание муниципальных услуг МАУ "СШОР" г. Назарово на 2019г.</t>
  </si>
  <si>
    <t>Р.03.1.0020.0002.001</t>
  </si>
  <si>
    <t>Р.03.1.0025.0002.001</t>
  </si>
  <si>
    <t>Р.03.1.0017.0003.001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</si>
  <si>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автономное учреждение "Спортивная школа олимпийского резерва" г. Назарово"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</si>
</sst>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#,##0.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5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4" fontId="7" fillId="2" borderId="1" xfId="0" applyNumberFormat="1" applyFont="1" applyFill="1" applyBorder="1"/>
    <xf numFmtId="3" fontId="7" fillId="2" borderId="1" xfId="0" applyNumberFormat="1" applyFont="1" applyFill="1" applyBorder="1"/>
    <xf numFmtId="4" fontId="7" fillId="0" borderId="1" xfId="0" applyNumberFormat="1" applyFont="1" applyBorder="1"/>
    <xf numFmtId="4" fontId="7" fillId="2" borderId="0" xfId="0" applyNumberFormat="1" applyFont="1" applyFill="1" applyBorder="1"/>
    <xf numFmtId="0" fontId="7" fillId="0" borderId="0" xfId="0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8" fillId="0" borderId="0" xfId="0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165" fontId="11" fillId="0" borderId="1" xfId="0" applyNumberFormat="1" applyFont="1" applyBorder="1"/>
    <xf numFmtId="4" fontId="11" fillId="0" borderId="1" xfId="0" applyNumberFormat="1" applyFont="1" applyBorder="1"/>
    <xf numFmtId="4" fontId="7" fillId="2" borderId="2" xfId="0" applyNumberFormat="1" applyFont="1" applyFill="1" applyBorder="1"/>
    <xf numFmtId="4" fontId="7" fillId="2" borderId="6" xfId="0" applyNumberFormat="1" applyFont="1" applyFill="1" applyBorder="1"/>
    <xf numFmtId="166" fontId="7" fillId="2" borderId="1" xfId="0" applyNumberFormat="1" applyFont="1" applyFill="1" applyBorder="1"/>
    <xf numFmtId="4" fontId="7" fillId="2" borderId="5" xfId="0" applyNumberFormat="1" applyFont="1" applyFill="1" applyBorder="1"/>
    <xf numFmtId="4" fontId="8" fillId="7" borderId="7" xfId="0" applyNumberFormat="1" applyFont="1" applyFill="1" applyBorder="1"/>
    <xf numFmtId="2" fontId="8" fillId="7" borderId="7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0" fontId="7" fillId="0" borderId="2" xfId="0" applyFont="1" applyBorder="1"/>
    <xf numFmtId="0" fontId="7" fillId="5" borderId="1" xfId="0" applyFont="1" applyFill="1" applyBorder="1"/>
    <xf numFmtId="4" fontId="8" fillId="5" borderId="8" xfId="0" applyNumberFormat="1" applyFont="1" applyFill="1" applyBorder="1"/>
    <xf numFmtId="0" fontId="7" fillId="0" borderId="9" xfId="0" applyFont="1" applyBorder="1"/>
    <xf numFmtId="0" fontId="8" fillId="7" borderId="10" xfId="0" applyFont="1" applyFill="1" applyBorder="1"/>
    <xf numFmtId="0" fontId="7" fillId="2" borderId="0" xfId="0" applyFont="1" applyFill="1" applyBorder="1" applyAlignment="1">
      <alignment wrapText="1"/>
    </xf>
    <xf numFmtId="165" fontId="11" fillId="2" borderId="1" xfId="0" applyNumberFormat="1" applyFont="1" applyFill="1" applyBorder="1"/>
    <xf numFmtId="2" fontId="7" fillId="0" borderId="6" xfId="0" applyNumberFormat="1" applyFont="1" applyBorder="1"/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0" fontId="7" fillId="0" borderId="11" xfId="0" applyFont="1" applyBorder="1" applyAlignment="1">
      <alignment wrapText="1"/>
    </xf>
    <xf numFmtId="4" fontId="8" fillId="2" borderId="0" xfId="0" applyNumberFormat="1" applyFont="1" applyFill="1" applyBorder="1" applyAlignment="1">
      <alignment horizontal="left"/>
    </xf>
    <xf numFmtId="0" fontId="12" fillId="0" borderId="1" xfId="0" applyFont="1" applyBorder="1"/>
    <xf numFmtId="0" fontId="7" fillId="2" borderId="0" xfId="0" applyFont="1" applyFill="1" applyBorder="1"/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/>
    <xf numFmtId="3" fontId="11" fillId="2" borderId="1" xfId="0" applyNumberFormat="1" applyFont="1" applyFill="1" applyBorder="1"/>
    <xf numFmtId="0" fontId="11" fillId="0" borderId="0" xfId="0" applyFont="1"/>
    <xf numFmtId="4" fontId="11" fillId="2" borderId="6" xfId="0" applyNumberFormat="1" applyFont="1" applyFill="1" applyBorder="1"/>
    <xf numFmtId="0" fontId="11" fillId="0" borderId="2" xfId="0" applyFont="1" applyBorder="1"/>
    <xf numFmtId="0" fontId="12" fillId="0" borderId="0" xfId="0" applyFont="1"/>
    <xf numFmtId="0" fontId="9" fillId="2" borderId="1" xfId="0" applyFont="1" applyFill="1" applyBorder="1" applyAlignment="1">
      <alignment horizontal="left"/>
    </xf>
    <xf numFmtId="0" fontId="11" fillId="2" borderId="1" xfId="0" applyFont="1" applyFill="1" applyBorder="1"/>
    <xf numFmtId="2" fontId="11" fillId="2" borderId="6" xfId="0" applyNumberFormat="1" applyFont="1" applyFill="1" applyBorder="1"/>
    <xf numFmtId="2" fontId="10" fillId="7" borderId="7" xfId="0" applyNumberFormat="1" applyFont="1" applyFill="1" applyBorder="1"/>
    <xf numFmtId="4" fontId="11" fillId="0" borderId="6" xfId="0" applyNumberFormat="1" applyFont="1" applyBorder="1"/>
    <xf numFmtId="4" fontId="10" fillId="0" borderId="1" xfId="0" applyNumberFormat="1" applyFont="1" applyBorder="1" applyAlignment="1">
      <alignment horizontal="left"/>
    </xf>
    <xf numFmtId="4" fontId="10" fillId="7" borderId="7" xfId="0" applyNumberFormat="1" applyFont="1" applyFill="1" applyBorder="1" applyAlignment="1">
      <alignment horizontal="right"/>
    </xf>
    <xf numFmtId="4" fontId="8" fillId="0" borderId="2" xfId="0" applyNumberFormat="1" applyFont="1" applyBorder="1"/>
    <xf numFmtId="4" fontId="11" fillId="0" borderId="1" xfId="0" applyNumberFormat="1" applyFont="1" applyBorder="1" applyAlignment="1">
      <alignment wrapText="1"/>
    </xf>
    <xf numFmtId="0" fontId="11" fillId="2" borderId="1" xfId="0" applyFont="1" applyFill="1" applyBorder="1" applyAlignment="1">
      <alignment wrapText="1"/>
    </xf>
    <xf numFmtId="4" fontId="11" fillId="8" borderId="1" xfId="0" applyNumberFormat="1" applyFont="1" applyFill="1" applyBorder="1" applyAlignment="1">
      <alignment wrapText="1"/>
    </xf>
    <xf numFmtId="4" fontId="8" fillId="9" borderId="8" xfId="0" applyNumberFormat="1" applyFont="1" applyFill="1" applyBorder="1"/>
    <xf numFmtId="166" fontId="11" fillId="0" borderId="1" xfId="0" applyNumberFormat="1" applyFont="1" applyBorder="1"/>
    <xf numFmtId="3" fontId="11" fillId="6" borderId="1" xfId="0" applyNumberFormat="1" applyFont="1" applyFill="1" applyBorder="1"/>
    <xf numFmtId="0" fontId="11" fillId="0" borderId="1" xfId="0" applyNumberFormat="1" applyFont="1" applyBorder="1"/>
    <xf numFmtId="165" fontId="11" fillId="6" borderId="1" xfId="0" applyNumberFormat="1" applyFont="1" applyFill="1" applyBorder="1"/>
    <xf numFmtId="4" fontId="11" fillId="6" borderId="1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4" fontId="10" fillId="7" borderId="7" xfId="0" applyNumberFormat="1" applyFont="1" applyFill="1" applyBorder="1" applyAlignment="1"/>
    <xf numFmtId="4" fontId="11" fillId="2" borderId="1" xfId="0" applyNumberFormat="1" applyFont="1" applyFill="1" applyBorder="1" applyAlignment="1">
      <alignment wrapText="1"/>
    </xf>
    <xf numFmtId="3" fontId="11" fillId="2" borderId="0" xfId="0" applyNumberFormat="1" applyFont="1" applyFill="1" applyBorder="1"/>
    <xf numFmtId="4" fontId="8" fillId="9" borderId="7" xfId="0" applyNumberFormat="1" applyFont="1" applyFill="1" applyBorder="1"/>
    <xf numFmtId="4" fontId="10" fillId="9" borderId="7" xfId="0" applyNumberFormat="1" applyFont="1" applyFill="1" applyBorder="1"/>
    <xf numFmtId="4" fontId="8" fillId="9" borderId="7" xfId="0" applyNumberFormat="1" applyFont="1" applyFill="1" applyBorder="1" applyAlignment="1"/>
    <xf numFmtId="0" fontId="13" fillId="0" borderId="0" xfId="0" applyFont="1" applyAlignment="1">
      <alignment horizontal="left"/>
    </xf>
    <xf numFmtId="0" fontId="12" fillId="0" borderId="1" xfId="0" applyFont="1" applyBorder="1" applyAlignment="1">
      <alignment wrapText="1"/>
    </xf>
    <xf numFmtId="2" fontId="12" fillId="2" borderId="6" xfId="0" applyNumberFormat="1" applyFont="1" applyFill="1" applyBorder="1"/>
    <xf numFmtId="2" fontId="7" fillId="0" borderId="1" xfId="0" applyNumberFormat="1" applyFont="1" applyFill="1" applyBorder="1" applyAlignment="1">
      <alignment wrapText="1"/>
    </xf>
    <xf numFmtId="2" fontId="11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/>
    <xf numFmtId="2" fontId="11" fillId="2" borderId="3" xfId="0" applyNumberFormat="1" applyFont="1" applyFill="1" applyBorder="1" applyAlignment="1"/>
    <xf numFmtId="4" fontId="7" fillId="0" borderId="1" xfId="0" applyNumberFormat="1" applyFont="1" applyBorder="1" applyAlignment="1">
      <alignment wrapText="1"/>
    </xf>
    <xf numFmtId="0" fontId="10" fillId="0" borderId="2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4" fontId="10" fillId="0" borderId="0" xfId="0" applyNumberFormat="1" applyFont="1" applyFill="1" applyBorder="1"/>
    <xf numFmtId="0" fontId="11" fillId="0" borderId="0" xfId="0" applyFont="1" applyFill="1"/>
    <xf numFmtId="2" fontId="10" fillId="0" borderId="0" xfId="0" applyNumberFormat="1" applyFont="1" applyFill="1" applyBorder="1"/>
    <xf numFmtId="0" fontId="7" fillId="0" borderId="0" xfId="0" applyFont="1" applyFill="1"/>
    <xf numFmtId="0" fontId="8" fillId="0" borderId="0" xfId="0" applyFont="1" applyFill="1" applyBorder="1" applyAlignment="1">
      <alignment horizontal="left"/>
    </xf>
    <xf numFmtId="0" fontId="0" fillId="0" borderId="0" xfId="0" applyFill="1"/>
    <xf numFmtId="0" fontId="10" fillId="0" borderId="0" xfId="0" applyFont="1" applyFill="1" applyBorder="1" applyAlignment="1">
      <alignment horizontal="left"/>
    </xf>
    <xf numFmtId="0" fontId="12" fillId="0" borderId="0" xfId="0" applyFont="1" applyFill="1"/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1" fillId="2" borderId="0" xfId="0" applyFont="1" applyFill="1" applyBorder="1"/>
    <xf numFmtId="2" fontId="11" fillId="2" borderId="0" xfId="0" applyNumberFormat="1" applyFont="1" applyFill="1" applyBorder="1" applyAlignment="1">
      <alignment wrapText="1"/>
    </xf>
    <xf numFmtId="4" fontId="11" fillId="2" borderId="0" xfId="0" applyNumberFormat="1" applyFont="1" applyFill="1" applyBorder="1"/>
    <xf numFmtId="2" fontId="11" fillId="2" borderId="0" xfId="0" applyNumberFormat="1" applyFont="1" applyFill="1" applyBorder="1"/>
    <xf numFmtId="0" fontId="3" fillId="0" borderId="0" xfId="0" applyFont="1"/>
    <xf numFmtId="0" fontId="13" fillId="0" borderId="0" xfId="0" applyFont="1" applyAlignment="1">
      <alignment horizontal="left"/>
    </xf>
    <xf numFmtId="0" fontId="0" fillId="0" borderId="0" xfId="0" applyAlignment="1"/>
    <xf numFmtId="2" fontId="10" fillId="0" borderId="1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/>
    </xf>
    <xf numFmtId="4" fontId="7" fillId="0" borderId="1" xfId="0" applyNumberFormat="1" applyFont="1" applyBorder="1" applyAlignment="1">
      <alignment horizontal="right" wrapText="1"/>
    </xf>
    <xf numFmtId="4" fontId="7" fillId="7" borderId="7" xfId="0" applyNumberFormat="1" applyFont="1" applyFill="1" applyBorder="1"/>
    <xf numFmtId="0" fontId="11" fillId="2" borderId="4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/>
    </xf>
    <xf numFmtId="0" fontId="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/>
    <xf numFmtId="0" fontId="0" fillId="0" borderId="0" xfId="0" applyAlignment="1"/>
    <xf numFmtId="2" fontId="7" fillId="0" borderId="1" xfId="0" applyNumberFormat="1" applyFont="1" applyBorder="1" applyAlignment="1">
      <alignment wrapText="1"/>
    </xf>
    <xf numFmtId="2" fontId="7" fillId="0" borderId="6" xfId="0" applyNumberFormat="1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4" fontId="7" fillId="0" borderId="1" xfId="0" applyNumberFormat="1" applyFont="1" applyBorder="1" applyAlignment="1"/>
    <xf numFmtId="4" fontId="0" fillId="0" borderId="1" xfId="0" applyNumberFormat="1" applyBorder="1"/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11" fillId="2" borderId="4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/>
    <xf numFmtId="0" fontId="11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0" borderId="0" xfId="0" applyFont="1"/>
    <xf numFmtId="0" fontId="13" fillId="0" borderId="0" xfId="0" applyFont="1" applyAlignment="1"/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16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left" wrapText="1"/>
    </xf>
    <xf numFmtId="0" fontId="17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2" fontId="1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17" fillId="0" borderId="1" xfId="0" applyFont="1" applyBorder="1" applyAlignment="1">
      <alignment horizontal="left" wrapText="1"/>
    </xf>
    <xf numFmtId="0" fontId="17" fillId="10" borderId="1" xfId="0" applyFont="1" applyFill="1" applyBorder="1"/>
    <xf numFmtId="0" fontId="7" fillId="10" borderId="1" xfId="0" applyFont="1" applyFill="1" applyBorder="1" applyAlignment="1">
      <alignment horizontal="right" wrapText="1"/>
    </xf>
    <xf numFmtId="0" fontId="7" fillId="10" borderId="1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right" wrapText="1"/>
    </xf>
    <xf numFmtId="0" fontId="11" fillId="0" borderId="1" xfId="0" applyFont="1" applyBorder="1" applyAlignment="1">
      <alignment horizontal="right" vertical="center"/>
    </xf>
    <xf numFmtId="0" fontId="11" fillId="2" borderId="1" xfId="0" applyFont="1" applyFill="1" applyBorder="1" applyAlignment="1"/>
    <xf numFmtId="2" fontId="11" fillId="2" borderId="1" xfId="0" applyNumberFormat="1" applyFont="1" applyFill="1" applyBorder="1" applyAlignment="1">
      <alignment wrapText="1"/>
    </xf>
    <xf numFmtId="2" fontId="11" fillId="2" borderId="1" xfId="0" applyNumberFormat="1" applyFont="1" applyFill="1" applyBorder="1" applyAlignment="1"/>
    <xf numFmtId="1" fontId="11" fillId="2" borderId="1" xfId="0" applyNumberFormat="1" applyFont="1" applyFill="1" applyBorder="1" applyAlignment="1"/>
    <xf numFmtId="0" fontId="16" fillId="0" borderId="0" xfId="0" applyFont="1"/>
    <xf numFmtId="0" fontId="8" fillId="3" borderId="0" xfId="0" applyFont="1" applyFill="1" applyBorder="1" applyAlignment="1">
      <alignment horizontal="center"/>
    </xf>
    <xf numFmtId="0" fontId="0" fillId="0" borderId="0" xfId="0" applyAlignment="1"/>
    <xf numFmtId="0" fontId="7" fillId="0" borderId="1" xfId="0" applyFont="1" applyBorder="1" applyAlignment="1">
      <alignment horizontal="center" wrapText="1"/>
    </xf>
    <xf numFmtId="0" fontId="8" fillId="4" borderId="4" xfId="0" applyFont="1" applyFill="1" applyBorder="1" applyAlignment="1">
      <alignment horizontal="left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 wrapText="1"/>
    </xf>
    <xf numFmtId="0" fontId="8" fillId="0" borderId="2" xfId="0" applyFont="1" applyBorder="1" applyAlignment="1"/>
    <xf numFmtId="0" fontId="8" fillId="0" borderId="3" xfId="0" applyFont="1" applyBorder="1" applyAlignment="1"/>
    <xf numFmtId="0" fontId="8" fillId="0" borderId="12" xfId="0" applyFont="1" applyBorder="1" applyAlignment="1"/>
    <xf numFmtId="0" fontId="8" fillId="3" borderId="0" xfId="0" applyFont="1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left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6" fillId="3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11" fillId="2" borderId="4" xfId="0" applyFont="1" applyFill="1" applyBorder="1" applyAlignment="1"/>
    <xf numFmtId="0" fontId="8" fillId="3" borderId="0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13" fillId="0" borderId="0" xfId="0" applyFont="1" applyAlignment="1">
      <alignment horizontal="left"/>
    </xf>
    <xf numFmtId="0" fontId="13" fillId="0" borderId="0" xfId="0" applyFont="1" applyAlignment="1"/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/>
    <xf numFmtId="0" fontId="0" fillId="0" borderId="0" xfId="0" applyAlignment="1"/>
    <xf numFmtId="0" fontId="11" fillId="0" borderId="2" xfId="0" applyFont="1" applyBorder="1" applyAlignment="1"/>
    <xf numFmtId="0" fontId="11" fillId="0" borderId="3" xfId="0" applyFont="1" applyBorder="1" applyAlignment="1"/>
    <xf numFmtId="0" fontId="11" fillId="0" borderId="4" xfId="0" applyFont="1" applyBorder="1" applyAlignment="1"/>
    <xf numFmtId="0" fontId="10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4" fontId="11" fillId="0" borderId="1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4" fontId="11" fillId="0" borderId="6" xfId="0" applyNumberFormat="1" applyFont="1" applyBorder="1" applyAlignment="1">
      <alignment horizontal="left"/>
    </xf>
    <xf numFmtId="0" fontId="0" fillId="0" borderId="4" xfId="0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10" fillId="2" borderId="0" xfId="0" applyFont="1" applyFill="1" applyAlignment="1">
      <alignment horizontal="center" wrapText="1"/>
    </xf>
    <xf numFmtId="0" fontId="7" fillId="2" borderId="1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3" borderId="0" xfId="0" applyFont="1" applyFill="1" applyAlignment="1"/>
    <xf numFmtId="0" fontId="8" fillId="0" borderId="0" xfId="0" applyFont="1" applyAlignment="1"/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0" fontId="8" fillId="3" borderId="0" xfId="0" applyFont="1" applyFill="1" applyAlignment="1">
      <alignment horizontal="center" vertical="center"/>
    </xf>
    <xf numFmtId="0" fontId="0" fillId="0" borderId="1" xfId="0" applyBorder="1" applyAlignment="1"/>
    <xf numFmtId="0" fontId="16" fillId="2" borderId="1" xfId="0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7" fillId="10" borderId="2" xfId="0" applyFont="1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7" fillId="10" borderId="2" xfId="0" applyFont="1" applyFill="1" applyBorder="1" applyAlignment="1">
      <alignment horizontal="left" wrapText="1"/>
    </xf>
    <xf numFmtId="0" fontId="7" fillId="10" borderId="3" xfId="0" applyFont="1" applyFill="1" applyBorder="1" applyAlignment="1">
      <alignment horizontal="left" wrapText="1"/>
    </xf>
    <xf numFmtId="0" fontId="7" fillId="10" borderId="4" xfId="0" applyFont="1" applyFill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0" fontId="0" fillId="0" borderId="11" xfId="0" applyBorder="1" applyAlignment="1">
      <alignment horizontal="center" vertical="top" wrapText="1"/>
    </xf>
    <xf numFmtId="0" fontId="7" fillId="10" borderId="1" xfId="0" applyFont="1" applyFill="1" applyBorder="1" applyAlignment="1">
      <alignment horizontal="left" wrapText="1"/>
    </xf>
    <xf numFmtId="0" fontId="16" fillId="2" borderId="6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2" fontId="17" fillId="2" borderId="6" xfId="0" applyNumberFormat="1" applyFont="1" applyFill="1" applyBorder="1" applyAlignment="1">
      <alignment horizontal="center" vertical="top" wrapText="1"/>
    </xf>
    <xf numFmtId="2" fontId="20" fillId="0" borderId="13" xfId="0" applyNumberFormat="1" applyFont="1" applyBorder="1" applyAlignment="1">
      <alignment horizontal="center" vertical="top" wrapText="1"/>
    </xf>
    <xf numFmtId="2" fontId="20" fillId="0" borderId="13" xfId="0" applyNumberFormat="1" applyFont="1" applyBorder="1" applyAlignment="1"/>
    <xf numFmtId="2" fontId="20" fillId="0" borderId="5" xfId="0" applyNumberFormat="1" applyFont="1" applyBorder="1" applyAlignment="1"/>
    <xf numFmtId="0" fontId="17" fillId="2" borderId="14" xfId="0" applyFont="1" applyFill="1" applyBorder="1" applyAlignment="1">
      <alignment horizontal="center" vertical="top" wrapText="1"/>
    </xf>
    <xf numFmtId="0" fontId="17" fillId="2" borderId="11" xfId="0" applyFont="1" applyFill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" xfId="0" applyBorder="1" applyAlignment="1">
      <alignment vertical="top"/>
    </xf>
    <xf numFmtId="2" fontId="11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Border="1"/>
    <xf numFmtId="166" fontId="11" fillId="0" borderId="0" xfId="0" applyNumberFormat="1" applyFont="1" applyBorder="1"/>
    <xf numFmtId="0" fontId="11" fillId="0" borderId="5" xfId="0" applyNumberFormat="1" applyFont="1" applyBorder="1"/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/>
    <xf numFmtId="2" fontId="10" fillId="2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/>
    <xf numFmtId="2" fontId="12" fillId="0" borderId="1" xfId="0" applyNumberFormat="1" applyFont="1" applyBorder="1"/>
    <xf numFmtId="2" fontId="10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9"/>
  <sheetViews>
    <sheetView topLeftCell="A13" zoomScale="70" zoomScaleNormal="70" workbookViewId="0">
      <selection activeCell="L4" sqref="L1:L1048576"/>
    </sheetView>
  </sheetViews>
  <sheetFormatPr defaultRowHeight="15" x14ac:dyDescent="0.25"/>
  <cols>
    <col min="1" max="1" width="10.5703125" customWidth="1"/>
    <col min="2" max="3" width="7" customWidth="1"/>
    <col min="4" max="6" width="11.7109375" customWidth="1"/>
    <col min="7" max="7" width="14" customWidth="1"/>
    <col min="8" max="8" width="14.7109375" customWidth="1"/>
    <col min="9" max="9" width="11.7109375" customWidth="1"/>
    <col min="10" max="10" width="14.7109375" customWidth="1"/>
    <col min="11" max="11" width="11.7109375" customWidth="1"/>
    <col min="12" max="12" width="11.7109375" hidden="1" customWidth="1"/>
    <col min="13" max="13" width="11.7109375" customWidth="1"/>
    <col min="14" max="14" width="13.42578125" customWidth="1"/>
    <col min="17" max="17" width="12" customWidth="1"/>
  </cols>
  <sheetData>
    <row r="1" spans="1:13" hidden="1" x14ac:dyDescent="0.25"/>
    <row r="2" spans="1:13" ht="15.75" hidden="1" x14ac:dyDescent="0.25">
      <c r="A2" s="240"/>
      <c r="B2" s="240"/>
      <c r="C2" s="240"/>
      <c r="D2" s="240"/>
      <c r="E2" s="240"/>
      <c r="F2" s="240"/>
      <c r="G2" s="240"/>
    </row>
    <row r="3" spans="1:13" ht="15.75" hidden="1" customHeight="1" x14ac:dyDescent="0.25">
      <c r="A3" s="240"/>
      <c r="B3" s="240"/>
      <c r="C3" s="62"/>
      <c r="D3" s="62"/>
      <c r="E3" s="94"/>
      <c r="F3" s="62"/>
      <c r="G3" s="62"/>
    </row>
    <row r="4" spans="1:13" ht="40.5" customHeight="1" x14ac:dyDescent="0.25">
      <c r="A4" s="241"/>
      <c r="B4" s="241"/>
      <c r="C4" s="241"/>
      <c r="D4" s="63"/>
      <c r="E4" s="241"/>
      <c r="F4" s="241"/>
      <c r="G4" s="64"/>
      <c r="H4" s="257" t="s">
        <v>180</v>
      </c>
      <c r="I4" s="258"/>
      <c r="J4" s="258"/>
      <c r="K4" s="258"/>
      <c r="L4" s="188"/>
    </row>
    <row r="5" spans="1:13" ht="15.75" x14ac:dyDescent="0.25">
      <c r="A5" s="4"/>
      <c r="B5" s="4"/>
      <c r="C5" s="4"/>
      <c r="D5" s="5"/>
      <c r="E5" s="4"/>
      <c r="F5" s="4"/>
      <c r="G5" s="5"/>
    </row>
    <row r="6" spans="1:13" x14ac:dyDescent="0.25">
      <c r="A6" s="6"/>
      <c r="B6" s="6"/>
      <c r="C6" s="6"/>
      <c r="D6" s="6"/>
      <c r="E6" s="6"/>
      <c r="F6" s="6"/>
      <c r="G6" s="6"/>
    </row>
    <row r="7" spans="1:13" ht="15.75" x14ac:dyDescent="0.25">
      <c r="A7" s="275" t="s">
        <v>178</v>
      </c>
      <c r="B7" s="276"/>
      <c r="C7" s="276"/>
      <c r="D7" s="276"/>
      <c r="E7" s="276"/>
      <c r="F7" s="276"/>
      <c r="G7" s="258"/>
      <c r="H7" s="258"/>
      <c r="I7" s="258"/>
      <c r="J7" s="258"/>
      <c r="K7" s="258"/>
      <c r="L7" s="258"/>
      <c r="M7" s="258"/>
    </row>
    <row r="8" spans="1:13" ht="15.75" x14ac:dyDescent="0.25">
      <c r="A8" s="275" t="s">
        <v>179</v>
      </c>
      <c r="B8" s="276"/>
      <c r="C8" s="276"/>
      <c r="D8" s="276"/>
      <c r="E8" s="276"/>
      <c r="F8" s="276"/>
      <c r="G8" s="258"/>
      <c r="H8" s="258"/>
      <c r="I8" s="258"/>
      <c r="J8" s="258"/>
      <c r="K8" s="258"/>
      <c r="L8" s="258"/>
      <c r="M8" s="258"/>
    </row>
    <row r="10" spans="1:13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75" x14ac:dyDescent="0.25">
      <c r="A11" s="8" t="s">
        <v>218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17.25" customHeight="1" x14ac:dyDescent="0.25">
      <c r="A12" s="255" t="s">
        <v>101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</row>
    <row r="13" spans="1:13" ht="15.75" x14ac:dyDescent="0.25">
      <c r="A13" s="8" t="s">
        <v>81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75" x14ac:dyDescent="0.25">
      <c r="A14" s="8" t="s">
        <v>146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75" x14ac:dyDescent="0.25">
      <c r="A15" s="8" t="s">
        <v>147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51.75" customHeight="1" x14ac:dyDescent="0.25">
      <c r="A16" s="252" t="s">
        <v>90</v>
      </c>
      <c r="B16" s="252"/>
      <c r="C16" s="252"/>
      <c r="D16" s="252"/>
      <c r="E16" s="252"/>
      <c r="F16" s="9" t="s">
        <v>89</v>
      </c>
      <c r="G16" s="252" t="s">
        <v>91</v>
      </c>
      <c r="H16" s="252"/>
      <c r="I16" s="252"/>
      <c r="J16" s="252"/>
      <c r="K16" s="252"/>
      <c r="L16" s="189"/>
      <c r="M16" s="9" t="s">
        <v>89</v>
      </c>
    </row>
    <row r="17" spans="1:13" x14ac:dyDescent="0.25">
      <c r="A17" s="253" t="s">
        <v>127</v>
      </c>
      <c r="B17" s="253"/>
      <c r="C17" s="253"/>
      <c r="D17" s="253"/>
      <c r="E17" s="253"/>
      <c r="F17" s="315">
        <f>4.92*0.304</f>
        <v>1.4956799999999999</v>
      </c>
      <c r="G17" s="254" t="s">
        <v>1</v>
      </c>
      <c r="H17" s="254"/>
      <c r="I17" s="254"/>
      <c r="J17" s="254"/>
      <c r="K17" s="254"/>
      <c r="L17" s="151">
        <v>1</v>
      </c>
      <c r="M17" s="315">
        <f>L17*0.304</f>
        <v>0.30399999999999999</v>
      </c>
    </row>
    <row r="18" spans="1:13" x14ac:dyDescent="0.25">
      <c r="A18" s="253" t="s">
        <v>128</v>
      </c>
      <c r="B18" s="253"/>
      <c r="C18" s="253"/>
      <c r="D18" s="253"/>
      <c r="E18" s="253"/>
      <c r="F18" s="315">
        <f>8.83*0.304</f>
        <v>2.68432</v>
      </c>
      <c r="G18" s="246" t="s">
        <v>129</v>
      </c>
      <c r="H18" s="247"/>
      <c r="I18" s="247"/>
      <c r="J18" s="247"/>
      <c r="K18" s="248"/>
      <c r="L18" s="151">
        <v>4</v>
      </c>
      <c r="M18" s="315">
        <f t="shared" ref="M18:M39" si="0">L18*0.304</f>
        <v>1.216</v>
      </c>
    </row>
    <row r="19" spans="1:13" x14ac:dyDescent="0.25">
      <c r="A19" s="253"/>
      <c r="B19" s="253"/>
      <c r="C19" s="253"/>
      <c r="D19" s="253"/>
      <c r="E19" s="253"/>
      <c r="F19" s="151"/>
      <c r="G19" s="253" t="s">
        <v>130</v>
      </c>
      <c r="H19" s="253"/>
      <c r="I19" s="253"/>
      <c r="J19" s="253"/>
      <c r="K19" s="253"/>
      <c r="L19" s="151">
        <v>1</v>
      </c>
      <c r="M19" s="315">
        <f t="shared" si="0"/>
        <v>0.30399999999999999</v>
      </c>
    </row>
    <row r="20" spans="1:13" x14ac:dyDescent="0.25">
      <c r="A20" s="253"/>
      <c r="B20" s="253"/>
      <c r="C20" s="253"/>
      <c r="D20" s="253"/>
      <c r="E20" s="253"/>
      <c r="F20" s="151"/>
      <c r="G20" s="259" t="s">
        <v>97</v>
      </c>
      <c r="H20" s="260"/>
      <c r="I20" s="260"/>
      <c r="J20" s="260"/>
      <c r="K20" s="261"/>
      <c r="L20" s="151">
        <v>1</v>
      </c>
      <c r="M20" s="315">
        <f t="shared" si="0"/>
        <v>0.30399999999999999</v>
      </c>
    </row>
    <row r="21" spans="1:13" ht="15" customHeight="1" x14ac:dyDescent="0.25">
      <c r="A21" s="253"/>
      <c r="B21" s="253"/>
      <c r="C21" s="253"/>
      <c r="D21" s="253"/>
      <c r="E21" s="253"/>
      <c r="F21" s="151"/>
      <c r="G21" s="254" t="s">
        <v>131</v>
      </c>
      <c r="H21" s="254"/>
      <c r="I21" s="254"/>
      <c r="J21" s="254"/>
      <c r="K21" s="254"/>
      <c r="L21" s="151">
        <v>0.5</v>
      </c>
      <c r="M21" s="315">
        <f t="shared" si="0"/>
        <v>0.152</v>
      </c>
    </row>
    <row r="22" spans="1:13" ht="15" customHeight="1" x14ac:dyDescent="0.25">
      <c r="A22" s="253"/>
      <c r="B22" s="253"/>
      <c r="C22" s="253"/>
      <c r="D22" s="253"/>
      <c r="E22" s="253"/>
      <c r="F22" s="151"/>
      <c r="G22" s="254" t="s">
        <v>95</v>
      </c>
      <c r="H22" s="254"/>
      <c r="I22" s="254"/>
      <c r="J22" s="254"/>
      <c r="K22" s="254"/>
      <c r="L22" s="152">
        <v>1</v>
      </c>
      <c r="M22" s="315">
        <f t="shared" si="0"/>
        <v>0.30399999999999999</v>
      </c>
    </row>
    <row r="23" spans="1:13" ht="15.75" customHeight="1" x14ac:dyDescent="0.25">
      <c r="A23" s="253"/>
      <c r="B23" s="253"/>
      <c r="C23" s="253"/>
      <c r="D23" s="253"/>
      <c r="E23" s="253"/>
      <c r="F23" s="151"/>
      <c r="G23" s="205" t="s">
        <v>132</v>
      </c>
      <c r="H23" s="205"/>
      <c r="I23" s="205"/>
      <c r="J23" s="205"/>
      <c r="K23" s="205"/>
      <c r="L23" s="152">
        <v>0.5</v>
      </c>
      <c r="M23" s="315">
        <f t="shared" si="0"/>
        <v>0.152</v>
      </c>
    </row>
    <row r="24" spans="1:13" ht="15.75" hidden="1" customHeight="1" x14ac:dyDescent="0.25">
      <c r="A24" s="246"/>
      <c r="B24" s="247"/>
      <c r="C24" s="247"/>
      <c r="D24" s="247"/>
      <c r="E24" s="248"/>
      <c r="F24" s="151"/>
      <c r="G24" s="243"/>
      <c r="H24" s="244"/>
      <c r="I24" s="244"/>
      <c r="J24" s="244"/>
      <c r="K24" s="245"/>
      <c r="L24" s="152"/>
      <c r="M24" s="315">
        <f t="shared" si="0"/>
        <v>0</v>
      </c>
    </row>
    <row r="25" spans="1:13" ht="15.75" customHeight="1" x14ac:dyDescent="0.25">
      <c r="A25" s="246"/>
      <c r="B25" s="247"/>
      <c r="C25" s="247"/>
      <c r="D25" s="247"/>
      <c r="E25" s="248"/>
      <c r="F25" s="151"/>
      <c r="G25" s="243" t="s">
        <v>133</v>
      </c>
      <c r="H25" s="244"/>
      <c r="I25" s="244"/>
      <c r="J25" s="244"/>
      <c r="K25" s="245"/>
      <c r="L25" s="152">
        <v>1</v>
      </c>
      <c r="M25" s="315">
        <f t="shared" si="0"/>
        <v>0.30399999999999999</v>
      </c>
    </row>
    <row r="26" spans="1:13" ht="15.75" hidden="1" customHeight="1" x14ac:dyDescent="0.25">
      <c r="A26" s="246"/>
      <c r="B26" s="247"/>
      <c r="C26" s="247"/>
      <c r="D26" s="247"/>
      <c r="E26" s="248"/>
      <c r="F26" s="153"/>
      <c r="G26" s="243"/>
      <c r="H26" s="244"/>
      <c r="I26" s="244"/>
      <c r="J26" s="244"/>
      <c r="K26" s="245"/>
      <c r="L26" s="154"/>
      <c r="M26" s="315">
        <f t="shared" si="0"/>
        <v>0</v>
      </c>
    </row>
    <row r="27" spans="1:13" ht="15.75" customHeight="1" x14ac:dyDescent="0.25">
      <c r="A27" s="246"/>
      <c r="B27" s="247"/>
      <c r="C27" s="247"/>
      <c r="D27" s="247"/>
      <c r="E27" s="248"/>
      <c r="F27" s="153"/>
      <c r="G27" s="249" t="s">
        <v>134</v>
      </c>
      <c r="H27" s="250"/>
      <c r="I27" s="250"/>
      <c r="J27" s="250"/>
      <c r="K27" s="251"/>
      <c r="L27" s="154">
        <v>2</v>
      </c>
      <c r="M27" s="315">
        <f t="shared" si="0"/>
        <v>0.60799999999999998</v>
      </c>
    </row>
    <row r="28" spans="1:13" ht="15.75" customHeight="1" x14ac:dyDescent="0.25">
      <c r="A28" s="246"/>
      <c r="B28" s="247"/>
      <c r="C28" s="247"/>
      <c r="D28" s="247"/>
      <c r="E28" s="248"/>
      <c r="F28" s="153"/>
      <c r="G28" s="243" t="s">
        <v>96</v>
      </c>
      <c r="H28" s="244"/>
      <c r="I28" s="244"/>
      <c r="J28" s="244"/>
      <c r="K28" s="245"/>
      <c r="L28" s="154">
        <v>1</v>
      </c>
      <c r="M28" s="315">
        <f t="shared" si="0"/>
        <v>0.30399999999999999</v>
      </c>
    </row>
    <row r="29" spans="1:13" ht="15" customHeight="1" x14ac:dyDescent="0.25">
      <c r="A29" s="242"/>
      <c r="B29" s="242"/>
      <c r="C29" s="242"/>
      <c r="D29" s="242"/>
      <c r="E29" s="242"/>
      <c r="F29" s="153"/>
      <c r="G29" s="205" t="s">
        <v>135</v>
      </c>
      <c r="H29" s="205"/>
      <c r="I29" s="205"/>
      <c r="J29" s="205"/>
      <c r="K29" s="205"/>
      <c r="L29" s="154">
        <v>4.75</v>
      </c>
      <c r="M29" s="315">
        <f t="shared" si="0"/>
        <v>1.444</v>
      </c>
    </row>
    <row r="30" spans="1:13" ht="15.75" customHeight="1" x14ac:dyDescent="0.25">
      <c r="A30" s="242"/>
      <c r="B30" s="242"/>
      <c r="C30" s="242"/>
      <c r="D30" s="242"/>
      <c r="E30" s="242"/>
      <c r="F30" s="153"/>
      <c r="G30" s="205" t="s">
        <v>136</v>
      </c>
      <c r="H30" s="205"/>
      <c r="I30" s="205"/>
      <c r="J30" s="205"/>
      <c r="K30" s="205"/>
      <c r="L30" s="154">
        <v>3.5</v>
      </c>
      <c r="M30" s="315">
        <f t="shared" si="0"/>
        <v>1.0640000000000001</v>
      </c>
    </row>
    <row r="31" spans="1:13" x14ac:dyDescent="0.25">
      <c r="A31" s="214"/>
      <c r="B31" s="214"/>
      <c r="C31" s="214"/>
      <c r="D31" s="214"/>
      <c r="E31" s="214"/>
      <c r="F31" s="60"/>
      <c r="G31" s="205" t="s">
        <v>137</v>
      </c>
      <c r="H31" s="205"/>
      <c r="I31" s="205"/>
      <c r="J31" s="205"/>
      <c r="K31" s="205"/>
      <c r="L31" s="154">
        <v>2</v>
      </c>
      <c r="M31" s="315">
        <f t="shared" si="0"/>
        <v>0.60799999999999998</v>
      </c>
    </row>
    <row r="32" spans="1:13" ht="27.75" customHeight="1" x14ac:dyDescent="0.25">
      <c r="A32" s="214"/>
      <c r="B32" s="214"/>
      <c r="C32" s="214"/>
      <c r="D32" s="214"/>
      <c r="E32" s="214"/>
      <c r="F32" s="60"/>
      <c r="G32" s="205" t="s">
        <v>138</v>
      </c>
      <c r="H32" s="205"/>
      <c r="I32" s="205"/>
      <c r="J32" s="205"/>
      <c r="K32" s="205"/>
      <c r="L32" s="154">
        <v>1</v>
      </c>
      <c r="M32" s="315">
        <f t="shared" si="0"/>
        <v>0.30399999999999999</v>
      </c>
    </row>
    <row r="33" spans="1:13" x14ac:dyDescent="0.25">
      <c r="A33" s="214"/>
      <c r="B33" s="214"/>
      <c r="C33" s="214"/>
      <c r="D33" s="214"/>
      <c r="E33" s="214"/>
      <c r="F33" s="60"/>
      <c r="G33" s="205" t="s">
        <v>139</v>
      </c>
      <c r="H33" s="205"/>
      <c r="I33" s="205"/>
      <c r="J33" s="205"/>
      <c r="K33" s="205"/>
      <c r="L33" s="154">
        <v>0.5</v>
      </c>
      <c r="M33" s="315">
        <f t="shared" si="0"/>
        <v>0.152</v>
      </c>
    </row>
    <row r="34" spans="1:13" ht="12.75" customHeight="1" x14ac:dyDescent="0.25">
      <c r="A34" s="214"/>
      <c r="B34" s="214"/>
      <c r="C34" s="214"/>
      <c r="D34" s="214"/>
      <c r="E34" s="214"/>
      <c r="F34" s="60"/>
      <c r="G34" s="196" t="s">
        <v>140</v>
      </c>
      <c r="H34" s="197"/>
      <c r="I34" s="197"/>
      <c r="J34" s="197"/>
      <c r="K34" s="198"/>
      <c r="L34" s="154">
        <v>0.5</v>
      </c>
      <c r="M34" s="315">
        <f t="shared" si="0"/>
        <v>0.152</v>
      </c>
    </row>
    <row r="35" spans="1:13" ht="15" customHeight="1" x14ac:dyDescent="0.25">
      <c r="A35" s="214"/>
      <c r="B35" s="214"/>
      <c r="C35" s="214"/>
      <c r="D35" s="214"/>
      <c r="E35" s="214"/>
      <c r="F35" s="60"/>
      <c r="G35" s="196" t="s">
        <v>141</v>
      </c>
      <c r="H35" s="197"/>
      <c r="I35" s="197"/>
      <c r="J35" s="197"/>
      <c r="K35" s="198"/>
      <c r="L35" s="154">
        <v>16</v>
      </c>
      <c r="M35" s="315">
        <f t="shared" si="0"/>
        <v>4.8639999999999999</v>
      </c>
    </row>
    <row r="36" spans="1:13" x14ac:dyDescent="0.25">
      <c r="A36" s="229"/>
      <c r="B36" s="230"/>
      <c r="C36" s="230"/>
      <c r="D36" s="230"/>
      <c r="E36" s="231"/>
      <c r="F36" s="60"/>
      <c r="G36" s="246" t="s">
        <v>142</v>
      </c>
      <c r="H36" s="247"/>
      <c r="I36" s="247"/>
      <c r="J36" s="247"/>
      <c r="K36" s="273"/>
      <c r="L36" s="151">
        <v>2</v>
      </c>
      <c r="M36" s="315">
        <f t="shared" si="0"/>
        <v>0.60799999999999998</v>
      </c>
    </row>
    <row r="37" spans="1:13" ht="15" customHeight="1" x14ac:dyDescent="0.25">
      <c r="A37" s="229"/>
      <c r="B37" s="230"/>
      <c r="C37" s="230"/>
      <c r="D37" s="230"/>
      <c r="E37" s="231"/>
      <c r="F37" s="60"/>
      <c r="G37" s="246" t="s">
        <v>143</v>
      </c>
      <c r="H37" s="247"/>
      <c r="I37" s="247"/>
      <c r="J37" s="247"/>
      <c r="K37" s="273"/>
      <c r="L37" s="151">
        <v>1</v>
      </c>
      <c r="M37" s="315">
        <f t="shared" si="0"/>
        <v>0.30399999999999999</v>
      </c>
    </row>
    <row r="38" spans="1:13" ht="15" customHeight="1" x14ac:dyDescent="0.25">
      <c r="A38" s="229"/>
      <c r="B38" s="230"/>
      <c r="C38" s="230"/>
      <c r="D38" s="230"/>
      <c r="E38" s="231"/>
      <c r="F38" s="60"/>
      <c r="G38" s="246" t="s">
        <v>144</v>
      </c>
      <c r="H38" s="247"/>
      <c r="I38" s="247"/>
      <c r="J38" s="247"/>
      <c r="K38" s="273"/>
      <c r="L38" s="151">
        <v>1</v>
      </c>
      <c r="M38" s="315">
        <f t="shared" si="0"/>
        <v>0.30399999999999999</v>
      </c>
    </row>
    <row r="39" spans="1:13" ht="15" customHeight="1" x14ac:dyDescent="0.25">
      <c r="A39" s="229"/>
      <c r="B39" s="230"/>
      <c r="C39" s="230"/>
      <c r="D39" s="230"/>
      <c r="E39" s="231"/>
      <c r="F39" s="60"/>
      <c r="G39" s="246" t="s">
        <v>145</v>
      </c>
      <c r="H39" s="247"/>
      <c r="I39" s="247"/>
      <c r="J39" s="247"/>
      <c r="K39" s="273"/>
      <c r="L39" s="154">
        <v>10</v>
      </c>
      <c r="M39" s="315">
        <f t="shared" si="0"/>
        <v>3.04</v>
      </c>
    </row>
    <row r="40" spans="1:13" ht="15" customHeight="1" x14ac:dyDescent="0.25">
      <c r="A40" s="224" t="s">
        <v>2</v>
      </c>
      <c r="B40" s="224"/>
      <c r="C40" s="224"/>
      <c r="D40" s="224"/>
      <c r="E40" s="224"/>
      <c r="F40" s="155">
        <f>SUM(F17:F35)</f>
        <v>4.18</v>
      </c>
      <c r="G40" s="262" t="s">
        <v>2</v>
      </c>
      <c r="H40" s="262"/>
      <c r="I40" s="262"/>
      <c r="J40" s="262"/>
      <c r="K40" s="262"/>
      <c r="L40" s="156">
        <f>SUM(L17:L39)</f>
        <v>55.25</v>
      </c>
      <c r="M40" s="321">
        <f>SUM(M17:M39)</f>
        <v>16.795999999999999</v>
      </c>
    </row>
    <row r="41" spans="1:13" ht="98.25" hidden="1" customHeight="1" x14ac:dyDescent="0.25">
      <c r="A41" s="224" t="s">
        <v>2</v>
      </c>
      <c r="B41" s="224"/>
      <c r="C41" s="224"/>
      <c r="D41" s="224"/>
      <c r="E41" s="100">
        <f>SUM(E17:E29)</f>
        <v>0</v>
      </c>
      <c r="F41" s="101"/>
      <c r="G41" s="225" t="s">
        <v>2</v>
      </c>
      <c r="H41" s="225"/>
      <c r="I41" s="225"/>
      <c r="J41" s="225"/>
      <c r="K41" s="225"/>
      <c r="L41" s="225"/>
      <c r="M41" s="225"/>
    </row>
    <row r="42" spans="1:13" hidden="1" x14ac:dyDescent="0.25">
      <c r="A42" s="220" t="s">
        <v>15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3" hidden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3" ht="80.25" hidden="1" customHeight="1" x14ac:dyDescent="0.25">
      <c r="A44" s="221" t="s">
        <v>6</v>
      </c>
      <c r="B44" s="221"/>
      <c r="C44" s="221"/>
      <c r="D44" s="221"/>
      <c r="E44" s="21" t="s">
        <v>7</v>
      </c>
      <c r="F44" s="21" t="s">
        <v>8</v>
      </c>
      <c r="G44" s="21" t="s">
        <v>9</v>
      </c>
      <c r="H44" s="21" t="s">
        <v>10</v>
      </c>
      <c r="I44" s="21"/>
      <c r="J44" s="21" t="s">
        <v>11</v>
      </c>
      <c r="K44" s="21" t="s">
        <v>12</v>
      </c>
      <c r="L44" s="21"/>
      <c r="M44" s="21" t="s">
        <v>5</v>
      </c>
    </row>
    <row r="45" spans="1:13" ht="15" hidden="1" customHeight="1" x14ac:dyDescent="0.25">
      <c r="A45" s="222">
        <v>1</v>
      </c>
      <c r="B45" s="223"/>
      <c r="C45" s="223"/>
      <c r="D45" s="223"/>
      <c r="E45" s="21">
        <v>2</v>
      </c>
      <c r="F45" s="21">
        <v>3</v>
      </c>
      <c r="G45" s="21">
        <v>4</v>
      </c>
      <c r="H45" s="21" t="s">
        <v>48</v>
      </c>
      <c r="I45" s="21"/>
      <c r="J45" s="21">
        <v>6</v>
      </c>
      <c r="K45" s="21">
        <v>7</v>
      </c>
      <c r="L45" s="21"/>
      <c r="M45" s="21" t="s">
        <v>49</v>
      </c>
    </row>
    <row r="46" spans="1:13" ht="15" hidden="1" customHeight="1" x14ac:dyDescent="0.25">
      <c r="A46" s="274" t="s">
        <v>51</v>
      </c>
      <c r="B46" s="274"/>
      <c r="C46" s="274"/>
      <c r="D46" s="274"/>
      <c r="E46" s="22" t="s">
        <v>13</v>
      </c>
      <c r="F46" s="21">
        <v>7</v>
      </c>
      <c r="G46" s="22">
        <v>10</v>
      </c>
      <c r="H46" s="23">
        <f>F46/G46</f>
        <v>0.7</v>
      </c>
      <c r="I46" s="23"/>
      <c r="J46" s="21">
        <v>20</v>
      </c>
      <c r="K46" s="24">
        <v>7100</v>
      </c>
      <c r="L46" s="24"/>
      <c r="M46" s="24">
        <f>H46*K46</f>
        <v>4970</v>
      </c>
    </row>
    <row r="47" spans="1:13" ht="15" hidden="1" customHeight="1" x14ac:dyDescent="0.25">
      <c r="A47" s="274" t="s">
        <v>52</v>
      </c>
      <c r="B47" s="274"/>
      <c r="C47" s="274"/>
      <c r="D47" s="274"/>
      <c r="E47" s="22" t="s">
        <v>13</v>
      </c>
      <c r="F47" s="21">
        <v>1</v>
      </c>
      <c r="G47" s="22">
        <v>10</v>
      </c>
      <c r="H47" s="23">
        <f t="shared" ref="H47:H63" si="1">F47/G47</f>
        <v>0.1</v>
      </c>
      <c r="I47" s="23"/>
      <c r="J47" s="21">
        <v>20</v>
      </c>
      <c r="K47" s="24">
        <v>538700</v>
      </c>
      <c r="L47" s="24"/>
      <c r="M47" s="24">
        <f t="shared" ref="M47:M64" si="2">H47*K47</f>
        <v>53870</v>
      </c>
    </row>
    <row r="48" spans="1:13" ht="15" hidden="1" customHeight="1" x14ac:dyDescent="0.25">
      <c r="A48" s="274" t="s">
        <v>53</v>
      </c>
      <c r="B48" s="274"/>
      <c r="C48" s="274"/>
      <c r="D48" s="274"/>
      <c r="E48" s="22" t="s">
        <v>13</v>
      </c>
      <c r="F48" s="21">
        <v>1</v>
      </c>
      <c r="G48" s="22">
        <v>10</v>
      </c>
      <c r="H48" s="23">
        <f t="shared" si="1"/>
        <v>0.1</v>
      </c>
      <c r="I48" s="23"/>
      <c r="J48" s="21">
        <v>20</v>
      </c>
      <c r="K48" s="24">
        <v>380000</v>
      </c>
      <c r="L48" s="24"/>
      <c r="M48" s="24">
        <f t="shared" si="2"/>
        <v>38000</v>
      </c>
    </row>
    <row r="49" spans="1:13" ht="12.75" hidden="1" customHeight="1" x14ac:dyDescent="0.25">
      <c r="A49" s="274"/>
      <c r="B49" s="274"/>
      <c r="C49" s="274"/>
      <c r="D49" s="274"/>
      <c r="E49" s="22" t="s">
        <v>13</v>
      </c>
      <c r="F49" s="21"/>
      <c r="G49" s="22">
        <v>10</v>
      </c>
      <c r="H49" s="23">
        <f t="shared" si="1"/>
        <v>0</v>
      </c>
      <c r="I49" s="23"/>
      <c r="J49" s="21"/>
      <c r="K49" s="24"/>
      <c r="L49" s="24"/>
      <c r="M49" s="24">
        <f t="shared" si="2"/>
        <v>0</v>
      </c>
    </row>
    <row r="50" spans="1:13" ht="15" hidden="1" customHeight="1" x14ac:dyDescent="0.25">
      <c r="A50" s="274"/>
      <c r="B50" s="274"/>
      <c r="C50" s="274"/>
      <c r="D50" s="274"/>
      <c r="E50" s="22" t="s">
        <v>13</v>
      </c>
      <c r="F50" s="21"/>
      <c r="G50" s="22">
        <v>10</v>
      </c>
      <c r="H50" s="23">
        <f t="shared" si="1"/>
        <v>0</v>
      </c>
      <c r="I50" s="23"/>
      <c r="J50" s="21"/>
      <c r="K50" s="24"/>
      <c r="L50" s="24"/>
      <c r="M50" s="24">
        <f t="shared" si="2"/>
        <v>0</v>
      </c>
    </row>
    <row r="51" spans="1:13" ht="15" hidden="1" customHeight="1" x14ac:dyDescent="0.25">
      <c r="A51" s="266"/>
      <c r="B51" s="267"/>
      <c r="C51" s="267"/>
      <c r="D51" s="267"/>
      <c r="E51" s="22" t="s">
        <v>13</v>
      </c>
      <c r="F51" s="21"/>
      <c r="G51" s="22">
        <v>10</v>
      </c>
      <c r="H51" s="23">
        <f t="shared" si="1"/>
        <v>0</v>
      </c>
      <c r="I51" s="23"/>
      <c r="J51" s="21"/>
      <c r="K51" s="24"/>
      <c r="L51" s="24"/>
      <c r="M51" s="24">
        <f t="shared" si="2"/>
        <v>0</v>
      </c>
    </row>
    <row r="52" spans="1:13" ht="15" hidden="1" customHeight="1" x14ac:dyDescent="0.25">
      <c r="A52" s="266"/>
      <c r="B52" s="267"/>
      <c r="C52" s="267"/>
      <c r="D52" s="267"/>
      <c r="E52" s="22" t="s">
        <v>13</v>
      </c>
      <c r="F52" s="21"/>
      <c r="G52" s="22">
        <v>10</v>
      </c>
      <c r="H52" s="23">
        <f t="shared" si="1"/>
        <v>0</v>
      </c>
      <c r="I52" s="23"/>
      <c r="J52" s="21"/>
      <c r="K52" s="24"/>
      <c r="L52" s="24"/>
      <c r="M52" s="24">
        <f t="shared" si="2"/>
        <v>0</v>
      </c>
    </row>
    <row r="53" spans="1:13" ht="15" hidden="1" customHeight="1" x14ac:dyDescent="0.25">
      <c r="A53" s="266"/>
      <c r="B53" s="267"/>
      <c r="C53" s="267"/>
      <c r="D53" s="267"/>
      <c r="E53" s="22" t="s">
        <v>13</v>
      </c>
      <c r="F53" s="21"/>
      <c r="G53" s="22">
        <v>10</v>
      </c>
      <c r="H53" s="23">
        <f t="shared" si="1"/>
        <v>0</v>
      </c>
      <c r="I53" s="23"/>
      <c r="J53" s="21"/>
      <c r="K53" s="24"/>
      <c r="L53" s="24"/>
      <c r="M53" s="24">
        <f t="shared" si="2"/>
        <v>0</v>
      </c>
    </row>
    <row r="54" spans="1:13" ht="15" hidden="1" customHeight="1" x14ac:dyDescent="0.25">
      <c r="A54" s="266"/>
      <c r="B54" s="267"/>
      <c r="C54" s="267"/>
      <c r="D54" s="267"/>
      <c r="E54" s="22" t="s">
        <v>13</v>
      </c>
      <c r="F54" s="21"/>
      <c r="G54" s="22">
        <v>10</v>
      </c>
      <c r="H54" s="23">
        <f t="shared" si="1"/>
        <v>0</v>
      </c>
      <c r="I54" s="23"/>
      <c r="J54" s="21"/>
      <c r="K54" s="24"/>
      <c r="L54" s="24"/>
      <c r="M54" s="24">
        <f t="shared" si="2"/>
        <v>0</v>
      </c>
    </row>
    <row r="55" spans="1:13" ht="15" hidden="1" customHeight="1" x14ac:dyDescent="0.25">
      <c r="A55" s="266"/>
      <c r="B55" s="267"/>
      <c r="C55" s="267"/>
      <c r="D55" s="267"/>
      <c r="E55" s="22" t="s">
        <v>13</v>
      </c>
      <c r="F55" s="21"/>
      <c r="G55" s="22">
        <v>10</v>
      </c>
      <c r="H55" s="23">
        <f t="shared" si="1"/>
        <v>0</v>
      </c>
      <c r="I55" s="23"/>
      <c r="J55" s="21"/>
      <c r="K55" s="24"/>
      <c r="L55" s="24"/>
      <c r="M55" s="24">
        <f t="shared" si="2"/>
        <v>0</v>
      </c>
    </row>
    <row r="56" spans="1:13" hidden="1" x14ac:dyDescent="0.25">
      <c r="A56" s="238"/>
      <c r="B56" s="239"/>
      <c r="C56" s="239"/>
      <c r="D56" s="239"/>
      <c r="E56" s="22" t="s">
        <v>13</v>
      </c>
      <c r="F56" s="22"/>
      <c r="G56" s="22">
        <v>10</v>
      </c>
      <c r="H56" s="23">
        <f t="shared" si="1"/>
        <v>0</v>
      </c>
      <c r="I56" s="23"/>
      <c r="J56" s="22"/>
      <c r="K56" s="25"/>
      <c r="L56" s="25"/>
      <c r="M56" s="24">
        <f t="shared" si="2"/>
        <v>0</v>
      </c>
    </row>
    <row r="57" spans="1:13" hidden="1" x14ac:dyDescent="0.25">
      <c r="A57" s="238"/>
      <c r="B57" s="239"/>
      <c r="C57" s="239"/>
      <c r="D57" s="239"/>
      <c r="E57" s="22" t="s">
        <v>13</v>
      </c>
      <c r="F57" s="22"/>
      <c r="G57" s="22">
        <v>10</v>
      </c>
      <c r="H57" s="23">
        <f t="shared" si="1"/>
        <v>0</v>
      </c>
      <c r="I57" s="23"/>
      <c r="J57" s="22"/>
      <c r="K57" s="25"/>
      <c r="L57" s="25"/>
      <c r="M57" s="24">
        <f t="shared" si="2"/>
        <v>0</v>
      </c>
    </row>
    <row r="58" spans="1:13" hidden="1" x14ac:dyDescent="0.25">
      <c r="A58" s="238"/>
      <c r="B58" s="239"/>
      <c r="C58" s="239"/>
      <c r="D58" s="239"/>
      <c r="E58" s="22" t="s">
        <v>13</v>
      </c>
      <c r="F58" s="22"/>
      <c r="G58" s="22">
        <v>10</v>
      </c>
      <c r="H58" s="23">
        <f t="shared" si="1"/>
        <v>0</v>
      </c>
      <c r="I58" s="23"/>
      <c r="J58" s="22"/>
      <c r="K58" s="25"/>
      <c r="L58" s="25"/>
      <c r="M58" s="24">
        <f t="shared" si="2"/>
        <v>0</v>
      </c>
    </row>
    <row r="59" spans="1:13" hidden="1" x14ac:dyDescent="0.25">
      <c r="A59" s="238"/>
      <c r="B59" s="239"/>
      <c r="C59" s="239"/>
      <c r="D59" s="239"/>
      <c r="E59" s="22" t="s">
        <v>13</v>
      </c>
      <c r="F59" s="22"/>
      <c r="G59" s="22">
        <v>10</v>
      </c>
      <c r="H59" s="23">
        <f t="shared" si="1"/>
        <v>0</v>
      </c>
      <c r="I59" s="23"/>
      <c r="J59" s="22"/>
      <c r="K59" s="25"/>
      <c r="L59" s="25"/>
      <c r="M59" s="24">
        <f t="shared" si="2"/>
        <v>0</v>
      </c>
    </row>
    <row r="60" spans="1:13" hidden="1" x14ac:dyDescent="0.25">
      <c r="A60" s="238"/>
      <c r="B60" s="239"/>
      <c r="C60" s="239"/>
      <c r="D60" s="239"/>
      <c r="E60" s="22" t="s">
        <v>13</v>
      </c>
      <c r="F60" s="22"/>
      <c r="G60" s="22">
        <v>10</v>
      </c>
      <c r="H60" s="23">
        <f t="shared" si="1"/>
        <v>0</v>
      </c>
      <c r="I60" s="23"/>
      <c r="J60" s="22"/>
      <c r="K60" s="25"/>
      <c r="L60" s="25"/>
      <c r="M60" s="24">
        <f t="shared" si="2"/>
        <v>0</v>
      </c>
    </row>
    <row r="61" spans="1:13" hidden="1" x14ac:dyDescent="0.25">
      <c r="A61" s="238"/>
      <c r="B61" s="239"/>
      <c r="C61" s="239"/>
      <c r="D61" s="239"/>
      <c r="E61" s="22" t="s">
        <v>13</v>
      </c>
      <c r="F61" s="22"/>
      <c r="G61" s="22">
        <v>10</v>
      </c>
      <c r="H61" s="23">
        <f t="shared" si="1"/>
        <v>0</v>
      </c>
      <c r="I61" s="23"/>
      <c r="J61" s="22"/>
      <c r="K61" s="25"/>
      <c r="L61" s="25"/>
      <c r="M61" s="24">
        <f t="shared" si="2"/>
        <v>0</v>
      </c>
    </row>
    <row r="62" spans="1:13" hidden="1" x14ac:dyDescent="0.25">
      <c r="A62" s="238"/>
      <c r="B62" s="239"/>
      <c r="C62" s="239"/>
      <c r="D62" s="239"/>
      <c r="E62" s="22" t="s">
        <v>13</v>
      </c>
      <c r="F62" s="22"/>
      <c r="G62" s="22">
        <v>10</v>
      </c>
      <c r="H62" s="23">
        <f t="shared" si="1"/>
        <v>0</v>
      </c>
      <c r="I62" s="23"/>
      <c r="J62" s="22"/>
      <c r="K62" s="25"/>
      <c r="L62" s="25"/>
      <c r="M62" s="24">
        <f t="shared" si="2"/>
        <v>0</v>
      </c>
    </row>
    <row r="63" spans="1:13" hidden="1" x14ac:dyDescent="0.25">
      <c r="A63" s="238"/>
      <c r="B63" s="239"/>
      <c r="C63" s="239"/>
      <c r="D63" s="239"/>
      <c r="E63" s="22" t="s">
        <v>13</v>
      </c>
      <c r="F63" s="22"/>
      <c r="G63" s="22">
        <v>10</v>
      </c>
      <c r="H63" s="23">
        <f t="shared" si="1"/>
        <v>0</v>
      </c>
      <c r="I63" s="23"/>
      <c r="J63" s="22"/>
      <c r="K63" s="25"/>
      <c r="L63" s="25"/>
      <c r="M63" s="24">
        <f t="shared" si="2"/>
        <v>0</v>
      </c>
    </row>
    <row r="64" spans="1:13" hidden="1" x14ac:dyDescent="0.25">
      <c r="A64" s="232" t="s">
        <v>82</v>
      </c>
      <c r="B64" s="232"/>
      <c r="C64" s="232"/>
      <c r="D64" s="232"/>
      <c r="E64" s="22"/>
      <c r="F64" s="22"/>
      <c r="G64" s="22"/>
      <c r="H64" s="26"/>
      <c r="I64" s="26"/>
      <c r="J64" s="22"/>
      <c r="K64" s="25"/>
      <c r="L64" s="25"/>
      <c r="M64" s="25">
        <f t="shared" si="2"/>
        <v>0</v>
      </c>
    </row>
    <row r="65" spans="1:13" ht="9" hidden="1" customHeight="1" x14ac:dyDescent="0.25">
      <c r="A65" s="233" t="s">
        <v>14</v>
      </c>
      <c r="B65" s="234"/>
      <c r="C65" s="234"/>
      <c r="D65" s="234"/>
      <c r="E65" s="234"/>
      <c r="F65" s="234"/>
      <c r="G65" s="234"/>
      <c r="H65" s="234"/>
      <c r="I65" s="234"/>
      <c r="J65" s="234"/>
      <c r="K65" s="235"/>
      <c r="L65" s="190"/>
      <c r="M65" s="25">
        <f>M64+M48+M47+M46</f>
        <v>96840</v>
      </c>
    </row>
    <row r="66" spans="1:13" ht="20.25" customHeigh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25">
      <c r="A67" s="202" t="s">
        <v>117</v>
      </c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</row>
    <row r="68" spans="1:13" ht="73.5" customHeight="1" x14ac:dyDescent="0.25">
      <c r="A68" s="218" t="s">
        <v>17</v>
      </c>
      <c r="B68" s="218"/>
      <c r="C68" s="218"/>
      <c r="D68" s="218"/>
      <c r="E68" s="9" t="s">
        <v>106</v>
      </c>
      <c r="F68" s="29" t="s">
        <v>75</v>
      </c>
      <c r="G68" s="9" t="s">
        <v>60</v>
      </c>
      <c r="H68" s="9" t="s">
        <v>68</v>
      </c>
      <c r="I68" s="9" t="s">
        <v>86</v>
      </c>
      <c r="J68" s="9" t="s">
        <v>93</v>
      </c>
      <c r="K68" s="11"/>
      <c r="L68" s="11"/>
      <c r="M68" s="11"/>
    </row>
    <row r="69" spans="1:13" ht="18.75" customHeight="1" x14ac:dyDescent="0.25">
      <c r="A69" s="236">
        <v>1</v>
      </c>
      <c r="B69" s="237"/>
      <c r="C69" s="237"/>
      <c r="D69" s="237"/>
      <c r="E69" s="9">
        <v>2</v>
      </c>
      <c r="F69" s="9">
        <v>3</v>
      </c>
      <c r="G69" s="30">
        <v>4</v>
      </c>
      <c r="H69" s="30">
        <v>5</v>
      </c>
      <c r="I69" s="31">
        <v>6</v>
      </c>
      <c r="J69" s="31" t="s">
        <v>65</v>
      </c>
      <c r="K69" s="11"/>
      <c r="L69" s="11"/>
      <c r="M69" s="32"/>
    </row>
    <row r="70" spans="1:13" x14ac:dyDescent="0.25">
      <c r="A70" s="268" t="s">
        <v>71</v>
      </c>
      <c r="B70" s="268"/>
      <c r="C70" s="268"/>
      <c r="D70" s="268"/>
      <c r="E70" s="34">
        <v>5</v>
      </c>
      <c r="F70" s="33">
        <v>12</v>
      </c>
      <c r="G70" s="47">
        <v>687.02</v>
      </c>
      <c r="H70" s="47">
        <f>41221.2*0.304</f>
        <v>12531.244799999999</v>
      </c>
      <c r="I70" s="65">
        <v>212</v>
      </c>
      <c r="J70" s="47">
        <f>H70/I70</f>
        <v>59.109645283018864</v>
      </c>
      <c r="K70" s="11"/>
      <c r="L70" s="11"/>
      <c r="M70" s="19"/>
    </row>
    <row r="71" spans="1:13" ht="15.75" thickBot="1" x14ac:dyDescent="0.3">
      <c r="A71" s="268" t="s">
        <v>83</v>
      </c>
      <c r="B71" s="268"/>
      <c r="C71" s="268"/>
      <c r="D71" s="268"/>
      <c r="E71" s="34">
        <v>1</v>
      </c>
      <c r="F71" s="34">
        <v>12</v>
      </c>
      <c r="G71" s="47">
        <v>3743.23</v>
      </c>
      <c r="H71" s="47">
        <f>44918.8*0.304</f>
        <v>13655.315200000001</v>
      </c>
      <c r="I71" s="65">
        <v>212</v>
      </c>
      <c r="J71" s="47">
        <f>H71/I71</f>
        <v>64.411864150943401</v>
      </c>
      <c r="K71" s="11"/>
      <c r="L71" s="11"/>
      <c r="M71" s="11"/>
    </row>
    <row r="72" spans="1:13" ht="15.75" thickBot="1" x14ac:dyDescent="0.3">
      <c r="A72" s="269" t="s">
        <v>29</v>
      </c>
      <c r="B72" s="270"/>
      <c r="C72" s="270"/>
      <c r="D72" s="270"/>
      <c r="E72" s="75"/>
      <c r="F72" s="75"/>
      <c r="G72" s="75"/>
      <c r="H72" s="92">
        <f>SUM(H70:H71)</f>
        <v>26186.559999999998</v>
      </c>
      <c r="I72" s="68"/>
      <c r="J72" s="76">
        <f>SUM(J70:J71)</f>
        <v>123.52150943396227</v>
      </c>
      <c r="K72" s="11"/>
      <c r="L72" s="11"/>
      <c r="M72" s="11"/>
    </row>
    <row r="73" spans="1:13" ht="17.25" customHeight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x14ac:dyDescent="0.25">
      <c r="A74" s="202" t="s">
        <v>16</v>
      </c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</row>
    <row r="75" spans="1:13" ht="73.5" customHeight="1" x14ac:dyDescent="0.25">
      <c r="A75" s="218" t="s">
        <v>17</v>
      </c>
      <c r="B75" s="218"/>
      <c r="C75" s="218"/>
      <c r="D75" s="218"/>
      <c r="E75" s="9" t="s">
        <v>7</v>
      </c>
      <c r="F75" s="29" t="s">
        <v>75</v>
      </c>
      <c r="G75" s="9" t="s">
        <v>60</v>
      </c>
      <c r="H75" s="9" t="s">
        <v>68</v>
      </c>
      <c r="I75" s="9" t="s">
        <v>86</v>
      </c>
      <c r="J75" s="9" t="s">
        <v>93</v>
      </c>
      <c r="K75" s="11"/>
      <c r="L75" s="11"/>
      <c r="M75" s="11"/>
    </row>
    <row r="76" spans="1:13" ht="18.75" customHeight="1" x14ac:dyDescent="0.25">
      <c r="A76" s="236">
        <v>1</v>
      </c>
      <c r="B76" s="237"/>
      <c r="C76" s="237"/>
      <c r="D76" s="237"/>
      <c r="E76" s="9">
        <v>2</v>
      </c>
      <c r="F76" s="9">
        <v>3</v>
      </c>
      <c r="G76" s="30">
        <v>4</v>
      </c>
      <c r="H76" s="30">
        <v>5</v>
      </c>
      <c r="I76" s="31">
        <v>6</v>
      </c>
      <c r="J76" s="31" t="s">
        <v>65</v>
      </c>
      <c r="K76" s="11"/>
      <c r="L76" s="11"/>
      <c r="M76" s="32"/>
    </row>
    <row r="77" spans="1:13" x14ac:dyDescent="0.25">
      <c r="A77" s="268" t="s">
        <v>23</v>
      </c>
      <c r="B77" s="268"/>
      <c r="C77" s="268"/>
      <c r="D77" s="268"/>
      <c r="E77" s="34" t="s">
        <v>26</v>
      </c>
      <c r="F77" s="33">
        <v>123860</v>
      </c>
      <c r="G77" s="47">
        <v>6.62</v>
      </c>
      <c r="H77" s="47">
        <f>820000*0.304</f>
        <v>249280</v>
      </c>
      <c r="I77" s="65">
        <v>212</v>
      </c>
      <c r="J77" s="47">
        <f>H77/I77</f>
        <v>1175.8490566037735</v>
      </c>
      <c r="K77" s="11"/>
      <c r="L77" s="11"/>
      <c r="M77" s="19"/>
    </row>
    <row r="78" spans="1:13" x14ac:dyDescent="0.25">
      <c r="A78" s="268" t="s">
        <v>24</v>
      </c>
      <c r="B78" s="268"/>
      <c r="C78" s="268"/>
      <c r="D78" s="268"/>
      <c r="E78" s="34" t="s">
        <v>27</v>
      </c>
      <c r="F78" s="34">
        <v>660</v>
      </c>
      <c r="G78" s="47">
        <v>1618.59</v>
      </c>
      <c r="H78" s="47">
        <f>1259700*0.304</f>
        <v>382948.8</v>
      </c>
      <c r="I78" s="65">
        <v>212</v>
      </c>
      <c r="J78" s="47">
        <f>H78/I78</f>
        <v>1806.3622641509432</v>
      </c>
      <c r="K78" s="11"/>
      <c r="L78" s="11"/>
      <c r="M78" s="11"/>
    </row>
    <row r="79" spans="1:13" x14ac:dyDescent="0.25">
      <c r="A79" s="268" t="s">
        <v>69</v>
      </c>
      <c r="B79" s="268"/>
      <c r="C79" s="268"/>
      <c r="D79" s="268"/>
      <c r="E79" s="34" t="s">
        <v>28</v>
      </c>
      <c r="F79" s="34">
        <v>2600</v>
      </c>
      <c r="G79" s="47">
        <v>39.22</v>
      </c>
      <c r="H79" s="47">
        <f>150000*0.304</f>
        <v>45600</v>
      </c>
      <c r="I79" s="65">
        <v>212</v>
      </c>
      <c r="J79" s="47">
        <f>H79/I79</f>
        <v>215.09433962264151</v>
      </c>
      <c r="K79" s="11"/>
      <c r="L79" s="11"/>
      <c r="M79" s="11"/>
    </row>
    <row r="80" spans="1:13" ht="15.75" thickBot="1" x14ac:dyDescent="0.3">
      <c r="A80" s="272" t="s">
        <v>25</v>
      </c>
      <c r="B80" s="272"/>
      <c r="C80" s="272"/>
      <c r="D80" s="272"/>
      <c r="E80" s="74" t="s">
        <v>28</v>
      </c>
      <c r="F80" s="34">
        <v>2800</v>
      </c>
      <c r="G80" s="67">
        <v>53.32</v>
      </c>
      <c r="H80" s="67">
        <f>165500*0.304</f>
        <v>50312</v>
      </c>
      <c r="I80" s="65">
        <v>212</v>
      </c>
      <c r="J80" s="67">
        <f>H80/I80</f>
        <v>237.32075471698113</v>
      </c>
      <c r="K80" s="11"/>
      <c r="L80" s="11"/>
      <c r="M80" s="11"/>
    </row>
    <row r="81" spans="1:13" ht="15.75" thickBot="1" x14ac:dyDescent="0.3">
      <c r="A81" s="269" t="s">
        <v>29</v>
      </c>
      <c r="B81" s="270"/>
      <c r="C81" s="270"/>
      <c r="D81" s="270"/>
      <c r="E81" s="75"/>
      <c r="F81" s="75"/>
      <c r="G81" s="75"/>
      <c r="H81" s="92">
        <f>SUM(H77:H80)</f>
        <v>728140.80000000005</v>
      </c>
      <c r="I81" s="68"/>
      <c r="J81" s="76">
        <f>SUM(J77:J80)</f>
        <v>3434.6264150943398</v>
      </c>
      <c r="K81" s="11"/>
      <c r="L81" s="11"/>
      <c r="M81" s="11"/>
    </row>
    <row r="82" spans="1:13" ht="15.75" customHeight="1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11"/>
      <c r="L82" s="11"/>
      <c r="M82" s="11"/>
    </row>
    <row r="83" spans="1:13" x14ac:dyDescent="0.25">
      <c r="A83" s="202" t="s">
        <v>30</v>
      </c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</row>
    <row r="84" spans="1:13" ht="75" x14ac:dyDescent="0.25">
      <c r="A84" s="271" t="s">
        <v>32</v>
      </c>
      <c r="B84" s="271"/>
      <c r="C84" s="271"/>
      <c r="D84" s="271"/>
      <c r="E84" s="30" t="s">
        <v>7</v>
      </c>
      <c r="F84" s="30" t="s">
        <v>18</v>
      </c>
      <c r="G84" s="9" t="s">
        <v>68</v>
      </c>
      <c r="H84" s="9" t="s">
        <v>103</v>
      </c>
      <c r="I84" s="9" t="s">
        <v>93</v>
      </c>
      <c r="J84" s="11"/>
      <c r="K84" s="11"/>
      <c r="L84" s="11"/>
    </row>
    <row r="85" spans="1:13" ht="15" customHeight="1" x14ac:dyDescent="0.25">
      <c r="A85" s="263" t="s">
        <v>155</v>
      </c>
      <c r="B85" s="264"/>
      <c r="C85" s="264"/>
      <c r="D85" s="265"/>
      <c r="E85" s="71" t="s">
        <v>31</v>
      </c>
      <c r="F85" s="30">
        <v>1</v>
      </c>
      <c r="G85" s="9">
        <f>38400*0.304</f>
        <v>11673.6</v>
      </c>
      <c r="H85" s="65">
        <v>212</v>
      </c>
      <c r="I85" s="139">
        <f>G85/H85</f>
        <v>55.064150943396228</v>
      </c>
      <c r="J85" s="11"/>
      <c r="K85" s="11"/>
      <c r="L85" s="11"/>
    </row>
    <row r="86" spans="1:13" ht="15" customHeight="1" x14ac:dyDescent="0.25">
      <c r="A86" s="263" t="s">
        <v>156</v>
      </c>
      <c r="B86" s="264"/>
      <c r="C86" s="264"/>
      <c r="D86" s="265"/>
      <c r="E86" s="71" t="s">
        <v>31</v>
      </c>
      <c r="F86" s="71">
        <v>1</v>
      </c>
      <c r="G86" s="104">
        <f>160000*0.304</f>
        <v>48640</v>
      </c>
      <c r="H86" s="65">
        <v>212</v>
      </c>
      <c r="I86" s="139">
        <f>G86/H86</f>
        <v>229.43396226415095</v>
      </c>
      <c r="J86" s="11"/>
      <c r="K86" s="11"/>
      <c r="L86" s="11"/>
    </row>
    <row r="87" spans="1:13" ht="15" customHeight="1" x14ac:dyDescent="0.25">
      <c r="A87" s="263" t="s">
        <v>157</v>
      </c>
      <c r="B87" s="264"/>
      <c r="C87" s="264"/>
      <c r="D87" s="265"/>
      <c r="E87" s="71" t="s">
        <v>31</v>
      </c>
      <c r="F87" s="71">
        <v>1</v>
      </c>
      <c r="G87" s="104">
        <f>99000*0.304</f>
        <v>30096</v>
      </c>
      <c r="H87" s="65">
        <v>212</v>
      </c>
      <c r="I87" s="139">
        <f t="shared" ref="I87:I95" si="3">G87/H87</f>
        <v>141.96226415094338</v>
      </c>
      <c r="J87" s="11"/>
      <c r="K87" s="11"/>
      <c r="L87" s="11"/>
    </row>
    <row r="88" spans="1:13" ht="15" customHeight="1" x14ac:dyDescent="0.25">
      <c r="A88" s="263" t="s">
        <v>158</v>
      </c>
      <c r="B88" s="264"/>
      <c r="C88" s="264"/>
      <c r="D88" s="265"/>
      <c r="E88" s="71" t="s">
        <v>31</v>
      </c>
      <c r="F88" s="71">
        <v>1</v>
      </c>
      <c r="G88" s="104">
        <f>9600*0.304</f>
        <v>2918.4</v>
      </c>
      <c r="H88" s="65">
        <v>212</v>
      </c>
      <c r="I88" s="139">
        <f t="shared" si="3"/>
        <v>13.766037735849057</v>
      </c>
      <c r="J88" s="11"/>
      <c r="K88" s="11"/>
      <c r="L88" s="11"/>
    </row>
    <row r="89" spans="1:13" ht="15" customHeight="1" x14ac:dyDescent="0.25">
      <c r="A89" s="263" t="s">
        <v>102</v>
      </c>
      <c r="B89" s="264"/>
      <c r="C89" s="264"/>
      <c r="D89" s="265"/>
      <c r="E89" s="71" t="s">
        <v>31</v>
      </c>
      <c r="F89" s="71">
        <v>1</v>
      </c>
      <c r="G89" s="104">
        <f>3300*0.304</f>
        <v>1003.1999999999999</v>
      </c>
      <c r="H89" s="65">
        <v>212</v>
      </c>
      <c r="I89" s="139">
        <f t="shared" si="3"/>
        <v>4.7320754716981126</v>
      </c>
      <c r="J89" s="11"/>
      <c r="K89" s="11"/>
      <c r="L89" s="11"/>
    </row>
    <row r="90" spans="1:13" ht="15" customHeight="1" x14ac:dyDescent="0.25">
      <c r="A90" s="210" t="s">
        <v>159</v>
      </c>
      <c r="B90" s="211"/>
      <c r="C90" s="211"/>
      <c r="D90" s="219"/>
      <c r="E90" s="71" t="s">
        <v>31</v>
      </c>
      <c r="F90" s="71">
        <v>1</v>
      </c>
      <c r="G90" s="47">
        <f>32500*0.304</f>
        <v>9880</v>
      </c>
      <c r="H90" s="65">
        <v>212</v>
      </c>
      <c r="I90" s="139">
        <f t="shared" si="3"/>
        <v>46.60377358490566</v>
      </c>
      <c r="J90" s="11"/>
      <c r="K90" s="11"/>
      <c r="L90" s="11"/>
    </row>
    <row r="91" spans="1:13" ht="28.5" customHeight="1" x14ac:dyDescent="0.25">
      <c r="A91" s="263" t="s">
        <v>160</v>
      </c>
      <c r="B91" s="264"/>
      <c r="C91" s="264"/>
      <c r="D91" s="265"/>
      <c r="E91" s="71" t="s">
        <v>31</v>
      </c>
      <c r="F91" s="71">
        <v>1</v>
      </c>
      <c r="G91" s="89">
        <f>51600*0.304</f>
        <v>15686.4</v>
      </c>
      <c r="H91" s="65">
        <v>212</v>
      </c>
      <c r="I91" s="139">
        <f t="shared" si="3"/>
        <v>73.992452830188682</v>
      </c>
      <c r="J91" s="11"/>
      <c r="K91" s="18"/>
      <c r="L91" s="18"/>
    </row>
    <row r="92" spans="1:13" ht="16.5" customHeight="1" x14ac:dyDescent="0.25">
      <c r="A92" s="102" t="s">
        <v>161</v>
      </c>
      <c r="B92" s="103"/>
      <c r="C92" s="103"/>
      <c r="D92" s="103"/>
      <c r="E92" s="71" t="s">
        <v>31</v>
      </c>
      <c r="F92" s="71">
        <v>1</v>
      </c>
      <c r="G92" s="47">
        <f>3200*0.304</f>
        <v>972.8</v>
      </c>
      <c r="H92" s="65">
        <v>212</v>
      </c>
      <c r="I92" s="139">
        <f t="shared" si="3"/>
        <v>4.5886792452830187</v>
      </c>
      <c r="J92" s="11"/>
      <c r="K92" s="11"/>
      <c r="L92" s="11"/>
    </row>
    <row r="93" spans="1:13" ht="15" customHeight="1" x14ac:dyDescent="0.25">
      <c r="A93" s="102" t="s">
        <v>162</v>
      </c>
      <c r="B93" s="103"/>
      <c r="C93" s="103"/>
      <c r="D93" s="103"/>
      <c r="E93" s="71" t="s">
        <v>31</v>
      </c>
      <c r="F93" s="71">
        <v>1</v>
      </c>
      <c r="G93" s="47">
        <f>30000*0.304</f>
        <v>9120</v>
      </c>
      <c r="H93" s="65">
        <v>212</v>
      </c>
      <c r="I93" s="139">
        <f t="shared" si="3"/>
        <v>43.018867924528301</v>
      </c>
      <c r="J93" s="11"/>
      <c r="K93" s="11"/>
      <c r="L93" s="11"/>
    </row>
    <row r="94" spans="1:13" ht="15" customHeight="1" x14ac:dyDescent="0.25">
      <c r="A94" s="210" t="s">
        <v>163</v>
      </c>
      <c r="B94" s="211"/>
      <c r="C94" s="211"/>
      <c r="D94" s="219"/>
      <c r="E94" s="71" t="s">
        <v>31</v>
      </c>
      <c r="F94" s="71">
        <v>1</v>
      </c>
      <c r="G94" s="67">
        <f>24000*0.304</f>
        <v>7296</v>
      </c>
      <c r="H94" s="65">
        <v>212</v>
      </c>
      <c r="I94" s="139">
        <f t="shared" si="3"/>
        <v>34.415094339622641</v>
      </c>
      <c r="J94" s="11"/>
      <c r="K94" s="11"/>
      <c r="L94" s="11"/>
    </row>
    <row r="95" spans="1:13" s="1" customFormat="1" ht="15" customHeight="1" thickBot="1" x14ac:dyDescent="0.3">
      <c r="A95" s="210" t="s">
        <v>164</v>
      </c>
      <c r="B95" s="211"/>
      <c r="C95" s="211"/>
      <c r="D95" s="219"/>
      <c r="E95" s="71" t="s">
        <v>31</v>
      </c>
      <c r="F95" s="71">
        <v>1</v>
      </c>
      <c r="G95" s="67">
        <f>25000*0.304</f>
        <v>7600</v>
      </c>
      <c r="H95" s="65">
        <v>212</v>
      </c>
      <c r="I95" s="139">
        <f t="shared" si="3"/>
        <v>35.849056603773583</v>
      </c>
      <c r="J95" s="13"/>
      <c r="K95" s="13"/>
      <c r="L95" s="13"/>
    </row>
    <row r="96" spans="1:13" ht="15" customHeight="1" thickBot="1" x14ac:dyDescent="0.3">
      <c r="A96" s="149" t="s">
        <v>74</v>
      </c>
      <c r="B96" s="150"/>
      <c r="C96" s="150"/>
      <c r="D96" s="150"/>
      <c r="E96" s="150"/>
      <c r="F96" s="150"/>
      <c r="G96" s="93">
        <f>SUM(G85:G95)</f>
        <v>144886.39999999999</v>
      </c>
      <c r="I96" s="39">
        <f>SUM(I85:I95)</f>
        <v>683.42641509433963</v>
      </c>
      <c r="K96" s="11"/>
      <c r="L96" s="11"/>
      <c r="M96" s="11"/>
    </row>
    <row r="97" spans="1:13" ht="9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ht="15" customHeight="1" x14ac:dyDescent="0.25">
      <c r="A98" s="202" t="s">
        <v>70</v>
      </c>
      <c r="B98" s="202"/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</row>
    <row r="99" spans="1:13" ht="75" x14ac:dyDescent="0.25">
      <c r="A99" s="193" t="s">
        <v>32</v>
      </c>
      <c r="B99" s="194"/>
      <c r="C99" s="194"/>
      <c r="D99" s="194"/>
      <c r="E99" s="30" t="s">
        <v>7</v>
      </c>
      <c r="F99" s="9" t="s">
        <v>77</v>
      </c>
      <c r="G99" s="9" t="s">
        <v>68</v>
      </c>
      <c r="H99" s="9" t="s">
        <v>103</v>
      </c>
      <c r="I99" s="9" t="s">
        <v>93</v>
      </c>
      <c r="J99" s="11"/>
      <c r="K99" s="11"/>
      <c r="L99" s="11"/>
      <c r="M99" s="11"/>
    </row>
    <row r="100" spans="1:13" ht="15" customHeight="1" x14ac:dyDescent="0.25">
      <c r="A100" s="196" t="s">
        <v>166</v>
      </c>
      <c r="B100" s="197"/>
      <c r="C100" s="197"/>
      <c r="D100" s="197"/>
      <c r="E100" s="71" t="s">
        <v>31</v>
      </c>
      <c r="F100" s="71">
        <v>1</v>
      </c>
      <c r="G100" s="104">
        <f>9400*0.304</f>
        <v>2857.6</v>
      </c>
      <c r="H100" s="65">
        <v>212</v>
      </c>
      <c r="I100" s="140">
        <f>G100/H100</f>
        <v>13.479245283018868</v>
      </c>
      <c r="J100" s="11"/>
      <c r="K100" s="11"/>
      <c r="L100" s="11"/>
      <c r="M100" s="11"/>
    </row>
    <row r="101" spans="1:13" ht="15" customHeight="1" x14ac:dyDescent="0.25">
      <c r="A101" s="196" t="s">
        <v>167</v>
      </c>
      <c r="B101" s="197"/>
      <c r="C101" s="197"/>
      <c r="D101" s="197"/>
      <c r="E101" s="71" t="s">
        <v>31</v>
      </c>
      <c r="F101" s="71">
        <v>1</v>
      </c>
      <c r="G101" s="104">
        <f>34580*0.304</f>
        <v>10512.32</v>
      </c>
      <c r="H101" s="65">
        <v>212</v>
      </c>
      <c r="I101" s="140">
        <f t="shared" ref="I101:I106" si="4">G101/H101</f>
        <v>49.586415094339621</v>
      </c>
      <c r="J101" s="11"/>
      <c r="K101" s="11"/>
      <c r="L101" s="11"/>
      <c r="M101" s="11"/>
    </row>
    <row r="102" spans="1:13" ht="15" customHeight="1" x14ac:dyDescent="0.25">
      <c r="A102" s="196" t="s">
        <v>168</v>
      </c>
      <c r="B102" s="197"/>
      <c r="C102" s="197"/>
      <c r="D102" s="197"/>
      <c r="E102" s="71" t="s">
        <v>31</v>
      </c>
      <c r="F102" s="71">
        <v>1</v>
      </c>
      <c r="G102" s="104">
        <f>110960*0.304</f>
        <v>33731.839999999997</v>
      </c>
      <c r="H102" s="65">
        <v>212</v>
      </c>
      <c r="I102" s="140">
        <f t="shared" si="4"/>
        <v>159.11245283018866</v>
      </c>
      <c r="J102" s="11"/>
      <c r="K102" s="11"/>
      <c r="L102" s="11"/>
      <c r="M102" s="11"/>
    </row>
    <row r="103" spans="1:13" ht="15" customHeight="1" x14ac:dyDescent="0.25">
      <c r="A103" s="196" t="s">
        <v>169</v>
      </c>
      <c r="B103" s="197"/>
      <c r="C103" s="197"/>
      <c r="D103" s="197"/>
      <c r="E103" s="71" t="s">
        <v>31</v>
      </c>
      <c r="F103" s="71">
        <v>1</v>
      </c>
      <c r="G103" s="104">
        <f>10120*0.304</f>
        <v>3076.48</v>
      </c>
      <c r="H103" s="65">
        <v>212</v>
      </c>
      <c r="I103" s="140">
        <f t="shared" si="4"/>
        <v>14.511698113207547</v>
      </c>
      <c r="J103" s="11"/>
      <c r="K103" s="11"/>
      <c r="L103" s="11"/>
      <c r="M103" s="11"/>
    </row>
    <row r="104" spans="1:13" ht="15" customHeight="1" x14ac:dyDescent="0.25">
      <c r="A104" s="196" t="s">
        <v>170</v>
      </c>
      <c r="B104" s="197"/>
      <c r="C104" s="197"/>
      <c r="D104" s="197"/>
      <c r="E104" s="71" t="s">
        <v>31</v>
      </c>
      <c r="F104" s="71">
        <v>1</v>
      </c>
      <c r="G104" s="104">
        <f>113400*0.304</f>
        <v>34473.599999999999</v>
      </c>
      <c r="H104" s="65">
        <v>212</v>
      </c>
      <c r="I104" s="140">
        <f t="shared" si="4"/>
        <v>162.61132075471698</v>
      </c>
      <c r="J104" s="11"/>
      <c r="K104" s="11"/>
      <c r="L104" s="11"/>
      <c r="M104" s="11"/>
    </row>
    <row r="105" spans="1:13" ht="18" customHeight="1" x14ac:dyDescent="0.25">
      <c r="A105" s="196" t="s">
        <v>171</v>
      </c>
      <c r="B105" s="197"/>
      <c r="C105" s="197"/>
      <c r="D105" s="197"/>
      <c r="E105" s="71" t="s">
        <v>31</v>
      </c>
      <c r="F105" s="71">
        <v>1</v>
      </c>
      <c r="G105" s="89">
        <f>15000*0.304</f>
        <v>4560</v>
      </c>
      <c r="H105" s="65">
        <v>212</v>
      </c>
      <c r="I105" s="140">
        <f t="shared" si="4"/>
        <v>21.509433962264151</v>
      </c>
      <c r="J105" s="11"/>
      <c r="K105" s="11"/>
      <c r="L105" s="11"/>
      <c r="M105" s="11"/>
    </row>
    <row r="106" spans="1:13" ht="28.5" customHeight="1" thickBot="1" x14ac:dyDescent="0.3">
      <c r="A106" s="196" t="s">
        <v>172</v>
      </c>
      <c r="B106" s="197"/>
      <c r="C106" s="197"/>
      <c r="D106" s="197"/>
      <c r="E106" s="71" t="s">
        <v>31</v>
      </c>
      <c r="F106" s="71">
        <v>1</v>
      </c>
      <c r="G106" s="89">
        <f>14400*0.304</f>
        <v>4377.5999999999995</v>
      </c>
      <c r="H106" s="65">
        <v>212</v>
      </c>
      <c r="I106" s="140">
        <f t="shared" si="4"/>
        <v>20.649056603773584</v>
      </c>
      <c r="J106" s="11"/>
      <c r="K106" s="11"/>
      <c r="L106" s="11"/>
      <c r="M106" s="11"/>
    </row>
    <row r="107" spans="1:13" ht="15.75" hidden="1" customHeight="1" thickBot="1" x14ac:dyDescent="0.3">
      <c r="F107" s="95"/>
      <c r="H107" s="65">
        <v>5231</v>
      </c>
      <c r="I107" s="96"/>
      <c r="J107" s="11"/>
      <c r="K107" s="11"/>
      <c r="L107" s="11"/>
      <c r="M107" s="11"/>
    </row>
    <row r="108" spans="1:13" ht="14.25" hidden="1" customHeight="1" thickBot="1" x14ac:dyDescent="0.3">
      <c r="F108" s="29"/>
      <c r="G108" s="80"/>
      <c r="H108" s="65"/>
      <c r="I108" s="72"/>
      <c r="J108" s="11"/>
      <c r="K108" s="11"/>
      <c r="L108" s="11"/>
      <c r="M108" s="11"/>
    </row>
    <row r="109" spans="1:13" ht="16.5" hidden="1" customHeight="1" thickBot="1" x14ac:dyDescent="0.3">
      <c r="A109" s="196"/>
      <c r="B109" s="197"/>
      <c r="C109" s="197"/>
      <c r="D109" s="197"/>
      <c r="E109" s="148"/>
      <c r="F109" s="29"/>
      <c r="G109" s="78"/>
      <c r="H109" s="65">
        <v>3260</v>
      </c>
      <c r="I109" s="72">
        <f t="shared" ref="I109:I110" si="5">G109/H109</f>
        <v>0</v>
      </c>
      <c r="J109" s="11"/>
      <c r="K109" s="11"/>
      <c r="L109" s="11"/>
      <c r="M109" s="11"/>
    </row>
    <row r="110" spans="1:13" ht="17.25" hidden="1" customHeight="1" x14ac:dyDescent="0.25">
      <c r="A110" s="196"/>
      <c r="B110" s="197"/>
      <c r="C110" s="197"/>
      <c r="D110" s="197"/>
      <c r="E110" s="148"/>
      <c r="F110" s="79"/>
      <c r="G110" s="47"/>
      <c r="H110" s="65">
        <v>3260</v>
      </c>
      <c r="I110" s="72">
        <f t="shared" si="5"/>
        <v>0</v>
      </c>
      <c r="J110" s="11"/>
      <c r="K110" s="11"/>
      <c r="L110" s="11"/>
      <c r="M110" s="11"/>
    </row>
    <row r="111" spans="1:13" ht="20.25" customHeight="1" thickBot="1" x14ac:dyDescent="0.3">
      <c r="A111" s="215" t="s">
        <v>73</v>
      </c>
      <c r="B111" s="216"/>
      <c r="C111" s="216"/>
      <c r="D111" s="216"/>
      <c r="E111" s="126"/>
      <c r="F111" s="70"/>
      <c r="G111" s="92">
        <f>SUM(G100:G110)</f>
        <v>93589.440000000002</v>
      </c>
      <c r="H111" s="66"/>
      <c r="I111" s="39">
        <f>SUM(I100:I110)</f>
        <v>441.45962264150944</v>
      </c>
      <c r="J111" s="11"/>
      <c r="K111" s="41"/>
      <c r="L111" s="41"/>
      <c r="M111" s="11"/>
    </row>
    <row r="112" spans="1:13" s="113" customFormat="1" ht="20.25" customHeight="1" x14ac:dyDescent="0.25">
      <c r="A112" s="114"/>
      <c r="B112" s="114"/>
      <c r="C112" s="114"/>
      <c r="D112" s="114"/>
      <c r="E112" s="114"/>
      <c r="F112" s="114"/>
      <c r="G112" s="114"/>
      <c r="H112" s="114"/>
      <c r="I112" s="108"/>
      <c r="J112" s="109"/>
      <c r="K112" s="110"/>
      <c r="L112" s="110"/>
      <c r="M112" s="115"/>
    </row>
    <row r="113" spans="1:13" ht="15" customHeight="1" x14ac:dyDescent="0.25">
      <c r="A113" s="202" t="s">
        <v>122</v>
      </c>
      <c r="B113" s="202"/>
      <c r="C113" s="202"/>
      <c r="D113" s="202"/>
      <c r="E113" s="202"/>
      <c r="F113" s="202"/>
      <c r="G113" s="202"/>
      <c r="H113" s="202"/>
      <c r="I113" s="202"/>
      <c r="J113" s="202"/>
      <c r="K113" s="202"/>
      <c r="L113" s="202"/>
      <c r="M113" s="202"/>
    </row>
    <row r="114" spans="1:13" ht="60" x14ac:dyDescent="0.25">
      <c r="A114" s="193" t="s">
        <v>32</v>
      </c>
      <c r="B114" s="194"/>
      <c r="C114" s="194"/>
      <c r="D114" s="194"/>
      <c r="E114" s="9" t="s">
        <v>104</v>
      </c>
      <c r="F114" s="9" t="s">
        <v>68</v>
      </c>
      <c r="G114" s="9" t="s">
        <v>103</v>
      </c>
      <c r="H114" s="9" t="s">
        <v>93</v>
      </c>
      <c r="I114" s="11"/>
      <c r="J114" s="11"/>
      <c r="K114" s="11"/>
      <c r="L114" s="11"/>
    </row>
    <row r="115" spans="1:13" ht="15.75" thickBot="1" x14ac:dyDescent="0.3">
      <c r="A115" s="196" t="s">
        <v>107</v>
      </c>
      <c r="B115" s="197"/>
      <c r="C115" s="197"/>
      <c r="D115" s="197"/>
      <c r="E115" s="71" t="s">
        <v>31</v>
      </c>
      <c r="F115" s="104">
        <f>(10000)*0.304</f>
        <v>3040</v>
      </c>
      <c r="G115" s="65">
        <v>212</v>
      </c>
      <c r="H115" s="140">
        <f t="shared" ref="H115" si="6">F115/G115</f>
        <v>14.339622641509434</v>
      </c>
      <c r="I115" s="11"/>
      <c r="J115" s="11"/>
      <c r="K115" s="11"/>
      <c r="L115" s="11"/>
    </row>
    <row r="116" spans="1:13" ht="15.75" hidden="1" customHeight="1" x14ac:dyDescent="0.25">
      <c r="E116" s="95"/>
      <c r="G116" s="9">
        <v>189</v>
      </c>
      <c r="H116" s="96"/>
      <c r="I116" s="11"/>
      <c r="J116" s="11"/>
      <c r="K116" s="11"/>
      <c r="L116" s="11"/>
    </row>
    <row r="117" spans="1:13" ht="14.25" hidden="1" customHeight="1" x14ac:dyDescent="0.25">
      <c r="E117" s="29"/>
      <c r="F117" s="80"/>
      <c r="G117" s="9">
        <v>189</v>
      </c>
      <c r="H117" s="72"/>
      <c r="I117" s="11"/>
      <c r="J117" s="11"/>
      <c r="K117" s="11"/>
      <c r="L117" s="11"/>
    </row>
    <row r="118" spans="1:13" ht="16.5" hidden="1" customHeight="1" thickBot="1" x14ac:dyDescent="0.3">
      <c r="A118" s="196"/>
      <c r="B118" s="197"/>
      <c r="C118" s="197"/>
      <c r="D118" s="197"/>
      <c r="E118" s="29"/>
      <c r="F118" s="78"/>
      <c r="G118" s="9">
        <v>189</v>
      </c>
      <c r="H118" s="72">
        <f t="shared" ref="H118:H119" si="7">F118/G118</f>
        <v>0</v>
      </c>
      <c r="I118" s="11"/>
      <c r="J118" s="11"/>
      <c r="K118" s="11"/>
      <c r="L118" s="11"/>
    </row>
    <row r="119" spans="1:13" ht="17.25" hidden="1" customHeight="1" x14ac:dyDescent="0.25">
      <c r="A119" s="196"/>
      <c r="B119" s="197"/>
      <c r="C119" s="197"/>
      <c r="D119" s="197"/>
      <c r="E119" s="79"/>
      <c r="F119" s="47"/>
      <c r="G119" s="9">
        <v>189</v>
      </c>
      <c r="H119" s="72">
        <f t="shared" si="7"/>
        <v>0</v>
      </c>
      <c r="I119" s="11"/>
      <c r="J119" s="11"/>
      <c r="K119" s="11"/>
      <c r="L119" s="11"/>
    </row>
    <row r="120" spans="1:13" ht="20.25" customHeight="1" thickBot="1" x14ac:dyDescent="0.3">
      <c r="A120" s="215" t="s">
        <v>73</v>
      </c>
      <c r="B120" s="216"/>
      <c r="C120" s="216"/>
      <c r="D120" s="216"/>
      <c r="E120" s="70"/>
      <c r="F120" s="92">
        <f>SUM(F115:F119)</f>
        <v>3040</v>
      </c>
      <c r="G120" s="66"/>
      <c r="H120" s="73">
        <f>SUM(H115:H115)</f>
        <v>14.339622641509434</v>
      </c>
      <c r="I120" s="11"/>
      <c r="J120" s="41"/>
      <c r="K120" s="11"/>
      <c r="L120" s="11"/>
    </row>
    <row r="121" spans="1:13" ht="12" customHeight="1" x14ac:dyDescent="0.25">
      <c r="A121" s="116"/>
      <c r="B121" s="116"/>
      <c r="C121" s="116"/>
      <c r="D121" s="116"/>
      <c r="E121" s="117"/>
      <c r="F121" s="118"/>
      <c r="G121" s="119"/>
      <c r="H121" s="118"/>
      <c r="I121" s="120"/>
      <c r="J121" s="90"/>
      <c r="K121" s="121"/>
      <c r="L121" s="121"/>
      <c r="M121" s="69"/>
    </row>
    <row r="122" spans="1:13" ht="15.75" x14ac:dyDescent="0.25">
      <c r="A122" s="217" t="s">
        <v>105</v>
      </c>
      <c r="B122" s="217"/>
      <c r="C122" s="217"/>
      <c r="D122" s="217"/>
      <c r="E122" s="217"/>
      <c r="F122" s="217"/>
      <c r="G122" s="217"/>
      <c r="H122" s="217"/>
      <c r="I122" s="217"/>
      <c r="J122" s="217"/>
      <c r="K122" s="217"/>
      <c r="L122" s="217"/>
      <c r="M122" s="217"/>
    </row>
    <row r="123" spans="1:13" ht="75" x14ac:dyDescent="0.25">
      <c r="A123" s="218" t="s">
        <v>3</v>
      </c>
      <c r="B123" s="218"/>
      <c r="C123" s="218"/>
      <c r="D123" s="218"/>
      <c r="E123" s="9" t="s">
        <v>4</v>
      </c>
      <c r="F123" s="10" t="s">
        <v>0</v>
      </c>
      <c r="G123" s="42" t="s">
        <v>72</v>
      </c>
      <c r="H123" s="42" t="s">
        <v>63</v>
      </c>
      <c r="I123" s="9" t="s">
        <v>86</v>
      </c>
      <c r="J123" s="9" t="s">
        <v>93</v>
      </c>
      <c r="K123" s="9" t="s">
        <v>66</v>
      </c>
      <c r="L123" s="32"/>
      <c r="M123" s="32"/>
    </row>
    <row r="124" spans="1:13" x14ac:dyDescent="0.25">
      <c r="A124" s="227">
        <v>1</v>
      </c>
      <c r="B124" s="228"/>
      <c r="C124" s="228"/>
      <c r="D124" s="228"/>
      <c r="E124" s="30">
        <v>2</v>
      </c>
      <c r="F124" s="12">
        <v>3</v>
      </c>
      <c r="G124" s="30">
        <v>4</v>
      </c>
      <c r="H124" s="30" t="s">
        <v>165</v>
      </c>
      <c r="I124" s="31">
        <v>6</v>
      </c>
      <c r="J124" s="45">
        <v>7</v>
      </c>
      <c r="K124" s="46">
        <v>8</v>
      </c>
      <c r="L124" s="316"/>
      <c r="M124" s="32"/>
    </row>
    <row r="125" spans="1:13" ht="15.75" thickBot="1" x14ac:dyDescent="0.3">
      <c r="A125" s="205" t="s">
        <v>90</v>
      </c>
      <c r="B125" s="205"/>
      <c r="C125" s="205"/>
      <c r="D125" s="205"/>
      <c r="E125" s="47">
        <f>9144000/12/13.75</f>
        <v>55418.181818181816</v>
      </c>
      <c r="F125" s="47">
        <f>13.75*0.304</f>
        <v>4.18</v>
      </c>
      <c r="G125" s="47">
        <f>7023041.475*0.304</f>
        <v>2135004.6083999998</v>
      </c>
      <c r="H125" s="47">
        <f>(G125*1.302)</f>
        <v>2779776.0001367996</v>
      </c>
      <c r="I125" s="65">
        <v>212</v>
      </c>
      <c r="J125" s="47">
        <f>H125/I125</f>
        <v>13112.150944041508</v>
      </c>
      <c r="K125" s="82">
        <f>H125/(8696900+23460820)*100</f>
        <v>8.644194924692421</v>
      </c>
      <c r="L125" s="317"/>
      <c r="M125" s="18"/>
    </row>
    <row r="126" spans="1:13" ht="15.75" hidden="1" thickBot="1" x14ac:dyDescent="0.3">
      <c r="A126" s="212"/>
      <c r="B126" s="213"/>
      <c r="C126" s="213"/>
      <c r="D126" s="213"/>
      <c r="E126" s="47">
        <v>17865.98</v>
      </c>
      <c r="F126" s="83">
        <v>4</v>
      </c>
      <c r="G126" s="65"/>
      <c r="H126" s="54">
        <f>H6</f>
        <v>0</v>
      </c>
      <c r="I126" s="47" t="e">
        <f t="shared" ref="I126:I147" si="8">F126/G126*H126</f>
        <v>#DIV/0!</v>
      </c>
      <c r="J126" s="47">
        <f t="shared" ref="J126:J147" si="9">E126*F126*12*1.302</f>
        <v>1116552.28608</v>
      </c>
      <c r="K126" s="84" t="s">
        <v>50</v>
      </c>
      <c r="L126" s="318"/>
      <c r="M126" s="38" t="e">
        <f t="shared" ref="M126:M150" si="10">I126*J126</f>
        <v>#DIV/0!</v>
      </c>
    </row>
    <row r="127" spans="1:13" ht="15.75" hidden="1" thickBot="1" x14ac:dyDescent="0.3">
      <c r="A127" s="209"/>
      <c r="B127" s="209"/>
      <c r="C127" s="209"/>
      <c r="D127" s="209"/>
      <c r="E127" s="47">
        <v>9544</v>
      </c>
      <c r="F127" s="83">
        <v>1</v>
      </c>
      <c r="G127" s="65"/>
      <c r="H127" s="54">
        <f>H6</f>
        <v>0</v>
      </c>
      <c r="I127" s="47" t="e">
        <f t="shared" si="8"/>
        <v>#DIV/0!</v>
      </c>
      <c r="J127" s="47">
        <f t="shared" si="9"/>
        <v>149115.45600000001</v>
      </c>
      <c r="K127" s="54">
        <f>H127/11277167.39*100</f>
        <v>0</v>
      </c>
      <c r="L127" s="54"/>
      <c r="M127" s="15" t="e">
        <f t="shared" si="10"/>
        <v>#DIV/0!</v>
      </c>
    </row>
    <row r="128" spans="1:13" ht="15" hidden="1" customHeight="1" x14ac:dyDescent="0.25">
      <c r="A128" s="210"/>
      <c r="B128" s="211"/>
      <c r="C128" s="211"/>
      <c r="D128" s="211"/>
      <c r="E128" s="47">
        <v>11560</v>
      </c>
      <c r="F128" s="83">
        <v>1</v>
      </c>
      <c r="G128" s="65"/>
      <c r="H128" s="54">
        <f>H6</f>
        <v>0</v>
      </c>
      <c r="I128" s="47" t="e">
        <f t="shared" si="8"/>
        <v>#DIV/0!</v>
      </c>
      <c r="J128" s="47">
        <f t="shared" si="9"/>
        <v>180613.44</v>
      </c>
      <c r="K128" s="34"/>
      <c r="L128" s="34"/>
      <c r="M128" s="15" t="e">
        <f t="shared" si="10"/>
        <v>#DIV/0!</v>
      </c>
    </row>
    <row r="129" spans="1:13" ht="15.75" hidden="1" thickBot="1" x14ac:dyDescent="0.3">
      <c r="A129" s="205"/>
      <c r="B129" s="205"/>
      <c r="C129" s="205"/>
      <c r="D129" s="205"/>
      <c r="E129" s="47">
        <v>9544</v>
      </c>
      <c r="F129" s="85">
        <v>0.5</v>
      </c>
      <c r="G129" s="65"/>
      <c r="H129" s="54">
        <f>H6</f>
        <v>0</v>
      </c>
      <c r="I129" s="47" t="e">
        <f t="shared" si="8"/>
        <v>#DIV/0!</v>
      </c>
      <c r="J129" s="47">
        <f t="shared" si="9"/>
        <v>74557.728000000003</v>
      </c>
      <c r="K129" s="34"/>
      <c r="L129" s="34"/>
      <c r="M129" s="15" t="e">
        <f t="shared" si="10"/>
        <v>#DIV/0!</v>
      </c>
    </row>
    <row r="130" spans="1:13" ht="15.75" hidden="1" thickBot="1" x14ac:dyDescent="0.3">
      <c r="A130" s="205"/>
      <c r="B130" s="205"/>
      <c r="C130" s="205"/>
      <c r="D130" s="205"/>
      <c r="E130" s="47">
        <v>9544</v>
      </c>
      <c r="F130" s="83">
        <v>1</v>
      </c>
      <c r="G130" s="65"/>
      <c r="H130" s="54">
        <f>H6</f>
        <v>0</v>
      </c>
      <c r="I130" s="47" t="e">
        <f t="shared" si="8"/>
        <v>#DIV/0!</v>
      </c>
      <c r="J130" s="47">
        <f t="shared" si="9"/>
        <v>149115.45600000001</v>
      </c>
      <c r="K130" s="47"/>
      <c r="L130" s="47"/>
      <c r="M130" s="15" t="e">
        <f t="shared" si="10"/>
        <v>#DIV/0!</v>
      </c>
    </row>
    <row r="131" spans="1:13" ht="14.25" hidden="1" customHeight="1" x14ac:dyDescent="0.25">
      <c r="A131" s="205"/>
      <c r="B131" s="205"/>
      <c r="C131" s="205"/>
      <c r="D131" s="205"/>
      <c r="E131" s="47">
        <v>9544</v>
      </c>
      <c r="F131" s="83">
        <v>1</v>
      </c>
      <c r="G131" s="65"/>
      <c r="H131" s="54">
        <f>H6</f>
        <v>0</v>
      </c>
      <c r="I131" s="47" t="e">
        <f t="shared" si="8"/>
        <v>#DIV/0!</v>
      </c>
      <c r="J131" s="47">
        <f t="shared" si="9"/>
        <v>149115.45600000001</v>
      </c>
      <c r="K131" s="66"/>
      <c r="L131" s="66"/>
      <c r="M131" s="15" t="e">
        <f t="shared" si="10"/>
        <v>#DIV/0!</v>
      </c>
    </row>
    <row r="132" spans="1:13" ht="15.75" hidden="1" thickBot="1" x14ac:dyDescent="0.3">
      <c r="A132" s="196"/>
      <c r="B132" s="197"/>
      <c r="C132" s="197"/>
      <c r="D132" s="197"/>
      <c r="E132" s="47">
        <v>9544</v>
      </c>
      <c r="F132" s="47"/>
      <c r="G132" s="65"/>
      <c r="H132" s="54">
        <f>H6</f>
        <v>0</v>
      </c>
      <c r="I132" s="47" t="e">
        <f t="shared" si="8"/>
        <v>#DIV/0!</v>
      </c>
      <c r="J132" s="47">
        <f t="shared" si="9"/>
        <v>0</v>
      </c>
      <c r="K132" s="66"/>
      <c r="L132" s="66"/>
      <c r="M132" s="15" t="e">
        <f t="shared" si="10"/>
        <v>#DIV/0!</v>
      </c>
    </row>
    <row r="133" spans="1:13" ht="15.75" hidden="1" thickBot="1" x14ac:dyDescent="0.3">
      <c r="A133" s="196"/>
      <c r="B133" s="197"/>
      <c r="C133" s="197"/>
      <c r="D133" s="197"/>
      <c r="E133" s="47">
        <v>9544</v>
      </c>
      <c r="F133" s="86">
        <v>0.25</v>
      </c>
      <c r="G133" s="65"/>
      <c r="H133" s="54">
        <f>H6</f>
        <v>0</v>
      </c>
      <c r="I133" s="47" t="e">
        <f t="shared" si="8"/>
        <v>#DIV/0!</v>
      </c>
      <c r="J133" s="47">
        <f t="shared" si="9"/>
        <v>37278.864000000001</v>
      </c>
      <c r="K133" s="66"/>
      <c r="L133" s="66"/>
      <c r="M133" s="15" t="e">
        <f t="shared" si="10"/>
        <v>#DIV/0!</v>
      </c>
    </row>
    <row r="134" spans="1:13" ht="15.75" hidden="1" thickBot="1" x14ac:dyDescent="0.3">
      <c r="A134" s="196"/>
      <c r="B134" s="197"/>
      <c r="C134" s="197"/>
      <c r="D134" s="197"/>
      <c r="E134" s="47">
        <v>9544</v>
      </c>
      <c r="F134" s="47"/>
      <c r="G134" s="65"/>
      <c r="H134" s="54">
        <f>H6</f>
        <v>0</v>
      </c>
      <c r="I134" s="47" t="e">
        <f t="shared" si="8"/>
        <v>#DIV/0!</v>
      </c>
      <c r="J134" s="47">
        <f t="shared" si="9"/>
        <v>0</v>
      </c>
      <c r="K134" s="66"/>
      <c r="L134" s="66"/>
      <c r="M134" s="15" t="e">
        <f t="shared" si="10"/>
        <v>#DIV/0!</v>
      </c>
    </row>
    <row r="135" spans="1:13" ht="15.75" hidden="1" thickBot="1" x14ac:dyDescent="0.3">
      <c r="A135" s="196"/>
      <c r="B135" s="197"/>
      <c r="C135" s="197"/>
      <c r="D135" s="197"/>
      <c r="E135" s="47">
        <v>9544</v>
      </c>
      <c r="F135" s="85">
        <v>0.5</v>
      </c>
      <c r="G135" s="65"/>
      <c r="H135" s="54">
        <f>H6</f>
        <v>0</v>
      </c>
      <c r="I135" s="47" t="e">
        <f t="shared" si="8"/>
        <v>#DIV/0!</v>
      </c>
      <c r="J135" s="47">
        <f t="shared" si="9"/>
        <v>74557.728000000003</v>
      </c>
      <c r="K135" s="66"/>
      <c r="L135" s="66"/>
      <c r="M135" s="15" t="e">
        <f t="shared" si="10"/>
        <v>#DIV/0!</v>
      </c>
    </row>
    <row r="136" spans="1:13" ht="15.75" hidden="1" customHeight="1" x14ac:dyDescent="0.25">
      <c r="A136" s="196"/>
      <c r="B136" s="197"/>
      <c r="C136" s="197"/>
      <c r="D136" s="197"/>
      <c r="E136" s="47">
        <v>9544</v>
      </c>
      <c r="F136" s="83">
        <v>1</v>
      </c>
      <c r="G136" s="65"/>
      <c r="H136" s="54">
        <f>H6</f>
        <v>0</v>
      </c>
      <c r="I136" s="47" t="e">
        <f t="shared" si="8"/>
        <v>#DIV/0!</v>
      </c>
      <c r="J136" s="47">
        <f t="shared" si="9"/>
        <v>149115.45600000001</v>
      </c>
      <c r="K136" s="66"/>
      <c r="L136" s="66"/>
      <c r="M136" s="15" t="e">
        <f t="shared" si="10"/>
        <v>#DIV/0!</v>
      </c>
    </row>
    <row r="137" spans="1:13" ht="15" hidden="1" customHeight="1" x14ac:dyDescent="0.25">
      <c r="A137" s="205"/>
      <c r="B137" s="205"/>
      <c r="C137" s="205"/>
      <c r="D137" s="205"/>
      <c r="E137" s="47">
        <v>9544</v>
      </c>
      <c r="F137" s="83">
        <v>1</v>
      </c>
      <c r="G137" s="65"/>
      <c r="H137" s="54">
        <f>H6</f>
        <v>0</v>
      </c>
      <c r="I137" s="47" t="e">
        <f t="shared" si="8"/>
        <v>#DIV/0!</v>
      </c>
      <c r="J137" s="47">
        <f t="shared" si="9"/>
        <v>149115.45600000001</v>
      </c>
      <c r="K137" s="66"/>
      <c r="L137" s="66"/>
      <c r="M137" s="15" t="e">
        <f t="shared" si="10"/>
        <v>#DIV/0!</v>
      </c>
    </row>
    <row r="138" spans="1:13" ht="15" hidden="1" customHeight="1" x14ac:dyDescent="0.25">
      <c r="A138" s="205"/>
      <c r="B138" s="205"/>
      <c r="C138" s="205"/>
      <c r="D138" s="205"/>
      <c r="E138" s="47">
        <v>9544</v>
      </c>
      <c r="F138" s="85">
        <v>5.5</v>
      </c>
      <c r="G138" s="65"/>
      <c r="H138" s="54">
        <f>H6</f>
        <v>0</v>
      </c>
      <c r="I138" s="47" t="e">
        <f t="shared" si="8"/>
        <v>#DIV/0!</v>
      </c>
      <c r="J138" s="47">
        <f t="shared" si="9"/>
        <v>820135.00800000003</v>
      </c>
      <c r="K138" s="66"/>
      <c r="L138" s="66"/>
      <c r="M138" s="15" t="e">
        <f t="shared" si="10"/>
        <v>#DIV/0!</v>
      </c>
    </row>
    <row r="139" spans="1:13" ht="15" hidden="1" customHeight="1" thickBot="1" x14ac:dyDescent="0.3">
      <c r="A139" s="205"/>
      <c r="B139" s="205"/>
      <c r="C139" s="205"/>
      <c r="D139" s="205"/>
      <c r="E139" s="47">
        <v>9544</v>
      </c>
      <c r="F139" s="83">
        <v>1</v>
      </c>
      <c r="G139" s="65"/>
      <c r="H139" s="54">
        <f>H6</f>
        <v>0</v>
      </c>
      <c r="I139" s="47" t="e">
        <f t="shared" si="8"/>
        <v>#DIV/0!</v>
      </c>
      <c r="J139" s="47">
        <f t="shared" si="9"/>
        <v>149115.45600000001</v>
      </c>
      <c r="K139" s="66"/>
      <c r="L139" s="66"/>
      <c r="M139" s="15" t="e">
        <f t="shared" si="10"/>
        <v>#DIV/0!</v>
      </c>
    </row>
    <row r="140" spans="1:13" ht="15" hidden="1" customHeight="1" x14ac:dyDescent="0.25">
      <c r="A140" s="205"/>
      <c r="B140" s="205"/>
      <c r="C140" s="205"/>
      <c r="D140" s="205"/>
      <c r="E140" s="47">
        <v>9544</v>
      </c>
      <c r="F140" s="85">
        <v>0.5</v>
      </c>
      <c r="G140" s="65"/>
      <c r="H140" s="54">
        <f>H6</f>
        <v>0</v>
      </c>
      <c r="I140" s="47" t="e">
        <f t="shared" si="8"/>
        <v>#DIV/0!</v>
      </c>
      <c r="J140" s="47">
        <f t="shared" si="9"/>
        <v>74557.728000000003</v>
      </c>
      <c r="K140" s="66"/>
      <c r="L140" s="66"/>
      <c r="M140" s="15" t="e">
        <f t="shared" si="10"/>
        <v>#DIV/0!</v>
      </c>
    </row>
    <row r="141" spans="1:13" ht="15" hidden="1" customHeight="1" x14ac:dyDescent="0.25">
      <c r="A141" s="205"/>
      <c r="B141" s="205"/>
      <c r="C141" s="205"/>
      <c r="D141" s="205"/>
      <c r="E141" s="47">
        <v>9544</v>
      </c>
      <c r="F141" s="85">
        <v>0.5</v>
      </c>
      <c r="G141" s="65"/>
      <c r="H141" s="54">
        <f>H6</f>
        <v>0</v>
      </c>
      <c r="I141" s="47" t="e">
        <f t="shared" si="8"/>
        <v>#DIV/0!</v>
      </c>
      <c r="J141" s="47">
        <f t="shared" si="9"/>
        <v>74557.728000000003</v>
      </c>
      <c r="K141" s="66"/>
      <c r="L141" s="66"/>
      <c r="M141" s="15" t="e">
        <f t="shared" si="10"/>
        <v>#DIV/0!</v>
      </c>
    </row>
    <row r="142" spans="1:13" ht="15.75" hidden="1" thickBot="1" x14ac:dyDescent="0.3">
      <c r="A142" s="205"/>
      <c r="B142" s="205"/>
      <c r="C142" s="205"/>
      <c r="D142" s="205"/>
      <c r="E142" s="47">
        <v>9544</v>
      </c>
      <c r="F142" s="83">
        <v>1</v>
      </c>
      <c r="G142" s="65"/>
      <c r="H142" s="54">
        <f>H6</f>
        <v>0</v>
      </c>
      <c r="I142" s="47" t="e">
        <f t="shared" si="8"/>
        <v>#DIV/0!</v>
      </c>
      <c r="J142" s="47">
        <f t="shared" si="9"/>
        <v>149115.45600000001</v>
      </c>
      <c r="K142" s="66"/>
      <c r="L142" s="66"/>
      <c r="M142" s="15" t="e">
        <f t="shared" si="10"/>
        <v>#DIV/0!</v>
      </c>
    </row>
    <row r="143" spans="1:13" ht="15.75" hidden="1" customHeight="1" x14ac:dyDescent="0.25">
      <c r="A143" s="205"/>
      <c r="B143" s="205"/>
      <c r="C143" s="205"/>
      <c r="D143" s="205"/>
      <c r="E143" s="47">
        <v>9544</v>
      </c>
      <c r="F143" s="83">
        <v>4</v>
      </c>
      <c r="G143" s="65"/>
      <c r="H143" s="54">
        <f>H6</f>
        <v>0</v>
      </c>
      <c r="I143" s="47" t="e">
        <f t="shared" si="8"/>
        <v>#DIV/0!</v>
      </c>
      <c r="J143" s="47">
        <f t="shared" si="9"/>
        <v>596461.82400000002</v>
      </c>
      <c r="K143" s="66"/>
      <c r="L143" s="66"/>
      <c r="M143" s="15" t="e">
        <f t="shared" si="10"/>
        <v>#DIV/0!</v>
      </c>
    </row>
    <row r="144" spans="1:13" ht="16.5" hidden="1" customHeight="1" x14ac:dyDescent="0.25">
      <c r="A144" s="196"/>
      <c r="B144" s="197"/>
      <c r="C144" s="197"/>
      <c r="D144" s="197"/>
      <c r="E144" s="47">
        <v>9544</v>
      </c>
      <c r="F144" s="83">
        <v>1</v>
      </c>
      <c r="G144" s="65"/>
      <c r="H144" s="54">
        <f>H6</f>
        <v>0</v>
      </c>
      <c r="I144" s="47" t="e">
        <f t="shared" si="8"/>
        <v>#DIV/0!</v>
      </c>
      <c r="J144" s="47">
        <f t="shared" si="9"/>
        <v>149115.45600000001</v>
      </c>
      <c r="K144" s="66"/>
      <c r="L144" s="66"/>
      <c r="M144" s="15" t="e">
        <f t="shared" si="10"/>
        <v>#DIV/0!</v>
      </c>
    </row>
    <row r="145" spans="1:13" ht="16.5" hidden="1" customHeight="1" thickBot="1" x14ac:dyDescent="0.3">
      <c r="A145" s="196"/>
      <c r="B145" s="197"/>
      <c r="C145" s="197"/>
      <c r="D145" s="197"/>
      <c r="E145" s="47">
        <v>9544</v>
      </c>
      <c r="F145" s="86">
        <v>1.75</v>
      </c>
      <c r="G145" s="65"/>
      <c r="H145" s="54">
        <f>H6</f>
        <v>0</v>
      </c>
      <c r="I145" s="47" t="e">
        <f t="shared" si="8"/>
        <v>#DIV/0!</v>
      </c>
      <c r="J145" s="47">
        <f t="shared" si="9"/>
        <v>260952.04800000001</v>
      </c>
      <c r="K145" s="66"/>
      <c r="L145" s="66"/>
      <c r="M145" s="15" t="e">
        <f t="shared" si="10"/>
        <v>#DIV/0!</v>
      </c>
    </row>
    <row r="146" spans="1:13" ht="16.5" hidden="1" customHeight="1" thickBot="1" x14ac:dyDescent="0.3">
      <c r="A146" s="196"/>
      <c r="B146" s="197"/>
      <c r="C146" s="197"/>
      <c r="D146" s="197"/>
      <c r="E146" s="47">
        <v>9544</v>
      </c>
      <c r="F146" s="54"/>
      <c r="G146" s="65"/>
      <c r="H146" s="54">
        <f>H6</f>
        <v>0</v>
      </c>
      <c r="I146" s="47" t="e">
        <f t="shared" si="8"/>
        <v>#DIV/0!</v>
      </c>
      <c r="J146" s="47">
        <f t="shared" si="9"/>
        <v>0</v>
      </c>
      <c r="K146" s="66"/>
      <c r="L146" s="66"/>
      <c r="M146" s="15" t="e">
        <f t="shared" si="10"/>
        <v>#DIV/0!</v>
      </c>
    </row>
    <row r="147" spans="1:13" ht="16.5" hidden="1" customHeight="1" thickBot="1" x14ac:dyDescent="0.3">
      <c r="A147" s="196"/>
      <c r="B147" s="197"/>
      <c r="C147" s="197"/>
      <c r="D147" s="197"/>
      <c r="E147" s="47">
        <v>9544</v>
      </c>
      <c r="F147" s="85">
        <v>0.5</v>
      </c>
      <c r="G147" s="65"/>
      <c r="H147" s="54">
        <f>H6</f>
        <v>0</v>
      </c>
      <c r="I147" s="47" t="e">
        <f t="shared" si="8"/>
        <v>#DIV/0!</v>
      </c>
      <c r="J147" s="47">
        <f t="shared" si="9"/>
        <v>74557.728000000003</v>
      </c>
      <c r="K147" s="66"/>
      <c r="L147" s="66"/>
      <c r="M147" s="15" t="e">
        <f t="shared" si="10"/>
        <v>#DIV/0!</v>
      </c>
    </row>
    <row r="148" spans="1:13" ht="15" hidden="1" customHeight="1" x14ac:dyDescent="0.25">
      <c r="A148" s="196"/>
      <c r="B148" s="197"/>
      <c r="C148" s="197"/>
      <c r="D148" s="197"/>
      <c r="E148" s="47"/>
      <c r="F148" s="47"/>
      <c r="G148" s="47"/>
      <c r="H148" s="47"/>
      <c r="I148" s="47"/>
      <c r="J148" s="47"/>
      <c r="K148" s="66"/>
      <c r="L148" s="66"/>
      <c r="M148" s="15">
        <f t="shared" si="10"/>
        <v>0</v>
      </c>
    </row>
    <row r="149" spans="1:13" ht="15.75" hidden="1" customHeight="1" thickBot="1" x14ac:dyDescent="0.3">
      <c r="A149" s="196"/>
      <c r="B149" s="197"/>
      <c r="C149" s="197"/>
      <c r="D149" s="197"/>
      <c r="E149" s="47"/>
      <c r="F149" s="47"/>
      <c r="G149" s="47"/>
      <c r="H149" s="47"/>
      <c r="I149" s="47"/>
      <c r="J149" s="47"/>
      <c r="K149" s="66"/>
      <c r="L149" s="66"/>
      <c r="M149" s="15">
        <f t="shared" si="10"/>
        <v>0</v>
      </c>
    </row>
    <row r="150" spans="1:13" ht="14.25" hidden="1" customHeight="1" thickBot="1" x14ac:dyDescent="0.3">
      <c r="A150" s="196"/>
      <c r="B150" s="197"/>
      <c r="C150" s="197"/>
      <c r="D150" s="197"/>
      <c r="E150" s="47"/>
      <c r="F150" s="47"/>
      <c r="G150" s="47"/>
      <c r="H150" s="47"/>
      <c r="I150" s="65">
        <v>105</v>
      </c>
      <c r="J150" s="67">
        <f>H150/I150</f>
        <v>0</v>
      </c>
      <c r="K150" s="66"/>
      <c r="L150" s="66"/>
      <c r="M150" s="36">
        <f t="shared" si="10"/>
        <v>0</v>
      </c>
    </row>
    <row r="151" spans="1:13" ht="15.75" thickBot="1" x14ac:dyDescent="0.3">
      <c r="A151" s="226" t="s">
        <v>67</v>
      </c>
      <c r="B151" s="226"/>
      <c r="C151" s="226"/>
      <c r="D151" s="226"/>
      <c r="E151" s="87"/>
      <c r="F151" s="147"/>
      <c r="G151" s="147"/>
      <c r="H151" s="92">
        <f>H125</f>
        <v>2779776.0001367996</v>
      </c>
      <c r="I151" s="68"/>
      <c r="J151" s="88">
        <f>J125</f>
        <v>13112.150944041508</v>
      </c>
      <c r="K151" s="66"/>
      <c r="L151" s="66"/>
      <c r="M151" s="18"/>
    </row>
    <row r="152" spans="1:13" ht="12" customHeigh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9"/>
      <c r="L152" s="19"/>
      <c r="M152" s="19"/>
    </row>
    <row r="153" spans="1:13" ht="15.75" x14ac:dyDescent="0.25">
      <c r="A153" s="217" t="s">
        <v>92</v>
      </c>
      <c r="B153" s="217"/>
      <c r="C153" s="217"/>
      <c r="D153" s="217"/>
      <c r="E153" s="217"/>
      <c r="F153" s="217"/>
      <c r="G153" s="217"/>
      <c r="H153" s="217"/>
      <c r="I153" s="217"/>
      <c r="J153" s="217"/>
      <c r="K153" s="217"/>
      <c r="L153" s="217"/>
      <c r="M153" s="217"/>
    </row>
    <row r="154" spans="1:13" ht="75" x14ac:dyDescent="0.25">
      <c r="A154" s="218" t="s">
        <v>3</v>
      </c>
      <c r="B154" s="218"/>
      <c r="C154" s="218"/>
      <c r="D154" s="218"/>
      <c r="E154" s="9" t="s">
        <v>4</v>
      </c>
      <c r="F154" s="10" t="s">
        <v>0</v>
      </c>
      <c r="G154" s="42" t="s">
        <v>72</v>
      </c>
      <c r="H154" s="42" t="s">
        <v>63</v>
      </c>
      <c r="I154" s="9" t="s">
        <v>86</v>
      </c>
      <c r="J154" s="9" t="s">
        <v>93</v>
      </c>
      <c r="K154" s="9" t="s">
        <v>66</v>
      </c>
      <c r="L154" s="32"/>
      <c r="M154" s="32"/>
    </row>
    <row r="155" spans="1:13" x14ac:dyDescent="0.25">
      <c r="A155" s="227">
        <v>1</v>
      </c>
      <c r="B155" s="228"/>
      <c r="C155" s="228"/>
      <c r="D155" s="228"/>
      <c r="E155" s="30">
        <v>2</v>
      </c>
      <c r="F155" s="12">
        <v>3</v>
      </c>
      <c r="G155" s="30">
        <v>4</v>
      </c>
      <c r="H155" s="30">
        <v>5</v>
      </c>
      <c r="I155" s="31">
        <v>6</v>
      </c>
      <c r="J155" s="45">
        <v>7</v>
      </c>
      <c r="K155" s="46">
        <v>8</v>
      </c>
      <c r="L155" s="316"/>
      <c r="M155" s="32"/>
    </row>
    <row r="156" spans="1:13" ht="15.75" thickBot="1" x14ac:dyDescent="0.3">
      <c r="A156" s="205" t="s">
        <v>91</v>
      </c>
      <c r="B156" s="205"/>
      <c r="C156" s="205"/>
      <c r="D156" s="205"/>
      <c r="E156" s="47">
        <f>18861400/12/55.25</f>
        <v>28448.567119155352</v>
      </c>
      <c r="F156" s="47">
        <f>55.25*0.304</f>
        <v>16.795999999999999</v>
      </c>
      <c r="G156" s="47">
        <f>14486482.34*0.304</f>
        <v>4403890.63136</v>
      </c>
      <c r="H156" s="47">
        <f>G156*1.302</f>
        <v>5733865.6020307206</v>
      </c>
      <c r="I156" s="65">
        <v>212</v>
      </c>
      <c r="J156" s="47">
        <f>H156/I156</f>
        <v>27046.535858635474</v>
      </c>
      <c r="K156" s="82">
        <f>H156/(8696900+23460820)*100</f>
        <v>17.830448184854898</v>
      </c>
      <c r="L156" s="317"/>
      <c r="M156" s="18"/>
    </row>
    <row r="157" spans="1:13" ht="15.75" hidden="1" thickBot="1" x14ac:dyDescent="0.3">
      <c r="A157" s="212"/>
      <c r="B157" s="213"/>
      <c r="C157" s="213"/>
      <c r="D157" s="213"/>
      <c r="E157" s="47">
        <v>17865.98</v>
      </c>
      <c r="F157" s="83">
        <v>4</v>
      </c>
      <c r="G157" s="65"/>
      <c r="H157" s="54">
        <f>H39</f>
        <v>0</v>
      </c>
      <c r="I157" s="47" t="e">
        <f t="shared" ref="I157:I178" si="11">F157/G157*H157</f>
        <v>#DIV/0!</v>
      </c>
      <c r="J157" s="47">
        <f t="shared" ref="J157:J178" si="12">E157*F157*12*1.302</f>
        <v>1116552.28608</v>
      </c>
      <c r="K157" s="84" t="s">
        <v>50</v>
      </c>
      <c r="L157" s="318"/>
      <c r="M157" s="38" t="e">
        <f t="shared" ref="M157:M181" si="13">I157*J157</f>
        <v>#DIV/0!</v>
      </c>
    </row>
    <row r="158" spans="1:13" ht="15.75" hidden="1" thickBot="1" x14ac:dyDescent="0.3">
      <c r="A158" s="209"/>
      <c r="B158" s="209"/>
      <c r="C158" s="209"/>
      <c r="D158" s="209"/>
      <c r="E158" s="47">
        <v>9544</v>
      </c>
      <c r="F158" s="83">
        <v>1</v>
      </c>
      <c r="G158" s="65"/>
      <c r="H158" s="54">
        <f>H39</f>
        <v>0</v>
      </c>
      <c r="I158" s="47" t="e">
        <f t="shared" si="11"/>
        <v>#DIV/0!</v>
      </c>
      <c r="J158" s="47">
        <f t="shared" si="12"/>
        <v>149115.45600000001</v>
      </c>
      <c r="K158" s="54">
        <f>H158/11277167.39*100</f>
        <v>0</v>
      </c>
      <c r="L158" s="54"/>
      <c r="M158" s="15" t="e">
        <f t="shared" si="13"/>
        <v>#DIV/0!</v>
      </c>
    </row>
    <row r="159" spans="1:13" ht="15" hidden="1" customHeight="1" x14ac:dyDescent="0.25">
      <c r="A159" s="210"/>
      <c r="B159" s="211"/>
      <c r="C159" s="211"/>
      <c r="D159" s="211"/>
      <c r="E159" s="47">
        <v>11560</v>
      </c>
      <c r="F159" s="83">
        <v>1</v>
      </c>
      <c r="G159" s="65"/>
      <c r="H159" s="54">
        <f>H39</f>
        <v>0</v>
      </c>
      <c r="I159" s="47" t="e">
        <f t="shared" si="11"/>
        <v>#DIV/0!</v>
      </c>
      <c r="J159" s="47">
        <f t="shared" si="12"/>
        <v>180613.44</v>
      </c>
      <c r="K159" s="34"/>
      <c r="L159" s="34"/>
      <c r="M159" s="15" t="e">
        <f t="shared" si="13"/>
        <v>#DIV/0!</v>
      </c>
    </row>
    <row r="160" spans="1:13" ht="15.75" hidden="1" thickBot="1" x14ac:dyDescent="0.3">
      <c r="A160" s="205"/>
      <c r="B160" s="205"/>
      <c r="C160" s="205"/>
      <c r="D160" s="205"/>
      <c r="E160" s="47">
        <v>9544</v>
      </c>
      <c r="F160" s="85">
        <v>0.5</v>
      </c>
      <c r="G160" s="65"/>
      <c r="H160" s="54">
        <f>H39</f>
        <v>0</v>
      </c>
      <c r="I160" s="47" t="e">
        <f t="shared" si="11"/>
        <v>#DIV/0!</v>
      </c>
      <c r="J160" s="47">
        <f t="shared" si="12"/>
        <v>74557.728000000003</v>
      </c>
      <c r="K160" s="34"/>
      <c r="L160" s="34"/>
      <c r="M160" s="15" t="e">
        <f t="shared" si="13"/>
        <v>#DIV/0!</v>
      </c>
    </row>
    <row r="161" spans="1:13" ht="15.75" hidden="1" thickBot="1" x14ac:dyDescent="0.3">
      <c r="A161" s="205"/>
      <c r="B161" s="205"/>
      <c r="C161" s="205"/>
      <c r="D161" s="205"/>
      <c r="E161" s="47">
        <v>9544</v>
      </c>
      <c r="F161" s="83">
        <v>1</v>
      </c>
      <c r="G161" s="65"/>
      <c r="H161" s="54">
        <f>H39</f>
        <v>0</v>
      </c>
      <c r="I161" s="47" t="e">
        <f t="shared" si="11"/>
        <v>#DIV/0!</v>
      </c>
      <c r="J161" s="47">
        <f t="shared" si="12"/>
        <v>149115.45600000001</v>
      </c>
      <c r="K161" s="47"/>
      <c r="L161" s="47"/>
      <c r="M161" s="15" t="e">
        <f t="shared" si="13"/>
        <v>#DIV/0!</v>
      </c>
    </row>
    <row r="162" spans="1:13" ht="14.25" hidden="1" customHeight="1" x14ac:dyDescent="0.25">
      <c r="A162" s="205"/>
      <c r="B162" s="205"/>
      <c r="C162" s="205"/>
      <c r="D162" s="205"/>
      <c r="E162" s="47">
        <v>9544</v>
      </c>
      <c r="F162" s="83">
        <v>1</v>
      </c>
      <c r="G162" s="65"/>
      <c r="H162" s="54">
        <f>H39</f>
        <v>0</v>
      </c>
      <c r="I162" s="47" t="e">
        <f t="shared" si="11"/>
        <v>#DIV/0!</v>
      </c>
      <c r="J162" s="47">
        <f t="shared" si="12"/>
        <v>149115.45600000001</v>
      </c>
      <c r="K162" s="66"/>
      <c r="L162" s="66"/>
      <c r="M162" s="15" t="e">
        <f t="shared" si="13"/>
        <v>#DIV/0!</v>
      </c>
    </row>
    <row r="163" spans="1:13" ht="15.75" hidden="1" thickBot="1" x14ac:dyDescent="0.3">
      <c r="A163" s="196"/>
      <c r="B163" s="197"/>
      <c r="C163" s="197"/>
      <c r="D163" s="197"/>
      <c r="E163" s="47">
        <v>9544</v>
      </c>
      <c r="F163" s="47"/>
      <c r="G163" s="65"/>
      <c r="H163" s="54">
        <f>H39</f>
        <v>0</v>
      </c>
      <c r="I163" s="47" t="e">
        <f t="shared" si="11"/>
        <v>#DIV/0!</v>
      </c>
      <c r="J163" s="47">
        <f t="shared" si="12"/>
        <v>0</v>
      </c>
      <c r="K163" s="66"/>
      <c r="L163" s="66"/>
      <c r="M163" s="15" t="e">
        <f t="shared" si="13"/>
        <v>#DIV/0!</v>
      </c>
    </row>
    <row r="164" spans="1:13" ht="15.75" hidden="1" thickBot="1" x14ac:dyDescent="0.3">
      <c r="A164" s="196"/>
      <c r="B164" s="197"/>
      <c r="C164" s="197"/>
      <c r="D164" s="197"/>
      <c r="E164" s="47">
        <v>9544</v>
      </c>
      <c r="F164" s="86">
        <v>0.25</v>
      </c>
      <c r="G164" s="65"/>
      <c r="H164" s="54">
        <f>H39</f>
        <v>0</v>
      </c>
      <c r="I164" s="47" t="e">
        <f t="shared" si="11"/>
        <v>#DIV/0!</v>
      </c>
      <c r="J164" s="47">
        <f t="shared" si="12"/>
        <v>37278.864000000001</v>
      </c>
      <c r="K164" s="66"/>
      <c r="L164" s="66"/>
      <c r="M164" s="15" t="e">
        <f t="shared" si="13"/>
        <v>#DIV/0!</v>
      </c>
    </row>
    <row r="165" spans="1:13" ht="15.75" hidden="1" thickBot="1" x14ac:dyDescent="0.3">
      <c r="A165" s="196"/>
      <c r="B165" s="197"/>
      <c r="C165" s="197"/>
      <c r="D165" s="197"/>
      <c r="E165" s="47">
        <v>9544</v>
      </c>
      <c r="F165" s="47"/>
      <c r="G165" s="65"/>
      <c r="H165" s="54">
        <f>H39</f>
        <v>0</v>
      </c>
      <c r="I165" s="47" t="e">
        <f t="shared" si="11"/>
        <v>#DIV/0!</v>
      </c>
      <c r="J165" s="47">
        <f t="shared" si="12"/>
        <v>0</v>
      </c>
      <c r="K165" s="66"/>
      <c r="L165" s="66"/>
      <c r="M165" s="15" t="e">
        <f t="shared" si="13"/>
        <v>#DIV/0!</v>
      </c>
    </row>
    <row r="166" spans="1:13" ht="15.75" hidden="1" thickBot="1" x14ac:dyDescent="0.3">
      <c r="A166" s="196"/>
      <c r="B166" s="197"/>
      <c r="C166" s="197"/>
      <c r="D166" s="197"/>
      <c r="E166" s="47">
        <v>9544</v>
      </c>
      <c r="F166" s="85">
        <v>0.5</v>
      </c>
      <c r="G166" s="65"/>
      <c r="H166" s="54">
        <f>H39</f>
        <v>0</v>
      </c>
      <c r="I166" s="47" t="e">
        <f t="shared" si="11"/>
        <v>#DIV/0!</v>
      </c>
      <c r="J166" s="47">
        <f t="shared" si="12"/>
        <v>74557.728000000003</v>
      </c>
      <c r="K166" s="66"/>
      <c r="L166" s="66"/>
      <c r="M166" s="15" t="e">
        <f t="shared" si="13"/>
        <v>#DIV/0!</v>
      </c>
    </row>
    <row r="167" spans="1:13" ht="15.75" hidden="1" customHeight="1" x14ac:dyDescent="0.25">
      <c r="A167" s="196"/>
      <c r="B167" s="197"/>
      <c r="C167" s="197"/>
      <c r="D167" s="197"/>
      <c r="E167" s="47">
        <v>9544</v>
      </c>
      <c r="F167" s="83">
        <v>1</v>
      </c>
      <c r="G167" s="65"/>
      <c r="H167" s="54">
        <f>H39</f>
        <v>0</v>
      </c>
      <c r="I167" s="47" t="e">
        <f t="shared" si="11"/>
        <v>#DIV/0!</v>
      </c>
      <c r="J167" s="47">
        <f t="shared" si="12"/>
        <v>149115.45600000001</v>
      </c>
      <c r="K167" s="66"/>
      <c r="L167" s="66"/>
      <c r="M167" s="15" t="e">
        <f t="shared" si="13"/>
        <v>#DIV/0!</v>
      </c>
    </row>
    <row r="168" spans="1:13" ht="15" hidden="1" customHeight="1" x14ac:dyDescent="0.25">
      <c r="A168" s="205"/>
      <c r="B168" s="205"/>
      <c r="C168" s="205"/>
      <c r="D168" s="205"/>
      <c r="E168" s="47">
        <v>9544</v>
      </c>
      <c r="F168" s="83">
        <v>1</v>
      </c>
      <c r="G168" s="65"/>
      <c r="H168" s="54">
        <f>H39</f>
        <v>0</v>
      </c>
      <c r="I168" s="47" t="e">
        <f t="shared" si="11"/>
        <v>#DIV/0!</v>
      </c>
      <c r="J168" s="47">
        <f t="shared" si="12"/>
        <v>149115.45600000001</v>
      </c>
      <c r="K168" s="66"/>
      <c r="L168" s="66"/>
      <c r="M168" s="15" t="e">
        <f t="shared" si="13"/>
        <v>#DIV/0!</v>
      </c>
    </row>
    <row r="169" spans="1:13" ht="15" hidden="1" customHeight="1" thickBot="1" x14ac:dyDescent="0.3">
      <c r="A169" s="205"/>
      <c r="B169" s="205"/>
      <c r="C169" s="205"/>
      <c r="D169" s="205"/>
      <c r="E169" s="47">
        <v>9544</v>
      </c>
      <c r="F169" s="85">
        <v>5.5</v>
      </c>
      <c r="G169" s="65"/>
      <c r="H169" s="54">
        <f>H39</f>
        <v>0</v>
      </c>
      <c r="I169" s="47" t="e">
        <f t="shared" si="11"/>
        <v>#DIV/0!</v>
      </c>
      <c r="J169" s="47">
        <f t="shared" si="12"/>
        <v>820135.00800000003</v>
      </c>
      <c r="K169" s="66"/>
      <c r="L169" s="66"/>
      <c r="M169" s="15" t="e">
        <f t="shared" si="13"/>
        <v>#DIV/0!</v>
      </c>
    </row>
    <row r="170" spans="1:13" ht="15" hidden="1" customHeight="1" x14ac:dyDescent="0.25">
      <c r="A170" s="205"/>
      <c r="B170" s="205"/>
      <c r="C170" s="205"/>
      <c r="D170" s="205"/>
      <c r="E170" s="47">
        <v>9544</v>
      </c>
      <c r="F170" s="83">
        <v>1</v>
      </c>
      <c r="G170" s="65"/>
      <c r="H170" s="54">
        <f>H39</f>
        <v>0</v>
      </c>
      <c r="I170" s="47" t="e">
        <f t="shared" si="11"/>
        <v>#DIV/0!</v>
      </c>
      <c r="J170" s="47">
        <f t="shared" si="12"/>
        <v>149115.45600000001</v>
      </c>
      <c r="K170" s="66"/>
      <c r="L170" s="66"/>
      <c r="M170" s="15" t="e">
        <f t="shared" si="13"/>
        <v>#DIV/0!</v>
      </c>
    </row>
    <row r="171" spans="1:13" ht="15" hidden="1" customHeight="1" x14ac:dyDescent="0.25">
      <c r="A171" s="205"/>
      <c r="B171" s="205"/>
      <c r="C171" s="205"/>
      <c r="D171" s="205"/>
      <c r="E171" s="47">
        <v>9544</v>
      </c>
      <c r="F171" s="85">
        <v>0.5</v>
      </c>
      <c r="G171" s="65"/>
      <c r="H171" s="54">
        <f>H39</f>
        <v>0</v>
      </c>
      <c r="I171" s="47" t="e">
        <f t="shared" si="11"/>
        <v>#DIV/0!</v>
      </c>
      <c r="J171" s="47">
        <f t="shared" si="12"/>
        <v>74557.728000000003</v>
      </c>
      <c r="K171" s="66"/>
      <c r="L171" s="66"/>
      <c r="M171" s="15" t="e">
        <f t="shared" si="13"/>
        <v>#DIV/0!</v>
      </c>
    </row>
    <row r="172" spans="1:13" ht="15" hidden="1" customHeight="1" x14ac:dyDescent="0.25">
      <c r="A172" s="205"/>
      <c r="B172" s="205"/>
      <c r="C172" s="205"/>
      <c r="D172" s="205"/>
      <c r="E172" s="47">
        <v>9544</v>
      </c>
      <c r="F172" s="85">
        <v>0.5</v>
      </c>
      <c r="G172" s="65"/>
      <c r="H172" s="54">
        <f>H39</f>
        <v>0</v>
      </c>
      <c r="I172" s="47" t="e">
        <f t="shared" si="11"/>
        <v>#DIV/0!</v>
      </c>
      <c r="J172" s="47">
        <f t="shared" si="12"/>
        <v>74557.728000000003</v>
      </c>
      <c r="K172" s="66"/>
      <c r="L172" s="66"/>
      <c r="M172" s="15" t="e">
        <f t="shared" si="13"/>
        <v>#DIV/0!</v>
      </c>
    </row>
    <row r="173" spans="1:13" ht="15.75" hidden="1" thickBot="1" x14ac:dyDescent="0.3">
      <c r="A173" s="205"/>
      <c r="B173" s="205"/>
      <c r="C173" s="205"/>
      <c r="D173" s="205"/>
      <c r="E173" s="47">
        <v>9544</v>
      </c>
      <c r="F173" s="83">
        <v>1</v>
      </c>
      <c r="G173" s="65"/>
      <c r="H173" s="54">
        <f>H39</f>
        <v>0</v>
      </c>
      <c r="I173" s="47" t="e">
        <f t="shared" si="11"/>
        <v>#DIV/0!</v>
      </c>
      <c r="J173" s="47">
        <f t="shared" si="12"/>
        <v>149115.45600000001</v>
      </c>
      <c r="K173" s="66"/>
      <c r="L173" s="66"/>
      <c r="M173" s="15" t="e">
        <f t="shared" si="13"/>
        <v>#DIV/0!</v>
      </c>
    </row>
    <row r="174" spans="1:13" ht="15.75" hidden="1" customHeight="1" x14ac:dyDescent="0.25">
      <c r="A174" s="205"/>
      <c r="B174" s="205"/>
      <c r="C174" s="205"/>
      <c r="D174" s="205"/>
      <c r="E174" s="47">
        <v>9544</v>
      </c>
      <c r="F174" s="83">
        <v>4</v>
      </c>
      <c r="G174" s="65"/>
      <c r="H174" s="54">
        <f>H39</f>
        <v>0</v>
      </c>
      <c r="I174" s="47" t="e">
        <f t="shared" si="11"/>
        <v>#DIV/0!</v>
      </c>
      <c r="J174" s="47">
        <f t="shared" si="12"/>
        <v>596461.82400000002</v>
      </c>
      <c r="K174" s="66"/>
      <c r="L174" s="66"/>
      <c r="M174" s="15" t="e">
        <f t="shared" si="13"/>
        <v>#DIV/0!</v>
      </c>
    </row>
    <row r="175" spans="1:13" ht="16.5" hidden="1" customHeight="1" x14ac:dyDescent="0.25">
      <c r="A175" s="196"/>
      <c r="B175" s="197"/>
      <c r="C175" s="197"/>
      <c r="D175" s="197"/>
      <c r="E175" s="47">
        <v>9544</v>
      </c>
      <c r="F175" s="83">
        <v>1</v>
      </c>
      <c r="G175" s="65"/>
      <c r="H175" s="54">
        <f>H39</f>
        <v>0</v>
      </c>
      <c r="I175" s="47" t="e">
        <f t="shared" si="11"/>
        <v>#DIV/0!</v>
      </c>
      <c r="J175" s="47">
        <f t="shared" si="12"/>
        <v>149115.45600000001</v>
      </c>
      <c r="K175" s="66"/>
      <c r="L175" s="66"/>
      <c r="M175" s="15" t="e">
        <f t="shared" si="13"/>
        <v>#DIV/0!</v>
      </c>
    </row>
    <row r="176" spans="1:13" ht="16.5" hidden="1" customHeight="1" thickBot="1" x14ac:dyDescent="0.3">
      <c r="A176" s="196"/>
      <c r="B176" s="197"/>
      <c r="C176" s="197"/>
      <c r="D176" s="197"/>
      <c r="E176" s="47">
        <v>9544</v>
      </c>
      <c r="F176" s="86">
        <v>1.75</v>
      </c>
      <c r="G176" s="65"/>
      <c r="H176" s="54">
        <f>H39</f>
        <v>0</v>
      </c>
      <c r="I176" s="47" t="e">
        <f t="shared" si="11"/>
        <v>#DIV/0!</v>
      </c>
      <c r="J176" s="47">
        <f t="shared" si="12"/>
        <v>260952.04800000001</v>
      </c>
      <c r="K176" s="66"/>
      <c r="L176" s="66"/>
      <c r="M176" s="15" t="e">
        <f t="shared" si="13"/>
        <v>#DIV/0!</v>
      </c>
    </row>
    <row r="177" spans="1:13" ht="16.5" hidden="1" customHeight="1" thickBot="1" x14ac:dyDescent="0.3">
      <c r="A177" s="196"/>
      <c r="B177" s="197"/>
      <c r="C177" s="197"/>
      <c r="D177" s="197"/>
      <c r="E177" s="47">
        <v>9544</v>
      </c>
      <c r="F177" s="54"/>
      <c r="G177" s="65"/>
      <c r="H177" s="54">
        <f>H39</f>
        <v>0</v>
      </c>
      <c r="I177" s="47" t="e">
        <f t="shared" si="11"/>
        <v>#DIV/0!</v>
      </c>
      <c r="J177" s="47">
        <f t="shared" si="12"/>
        <v>0</v>
      </c>
      <c r="K177" s="66"/>
      <c r="L177" s="66"/>
      <c r="M177" s="15" t="e">
        <f t="shared" si="13"/>
        <v>#DIV/0!</v>
      </c>
    </row>
    <row r="178" spans="1:13" ht="16.5" hidden="1" customHeight="1" thickBot="1" x14ac:dyDescent="0.3">
      <c r="A178" s="196"/>
      <c r="B178" s="197"/>
      <c r="C178" s="197"/>
      <c r="D178" s="197"/>
      <c r="E178" s="47">
        <v>9544</v>
      </c>
      <c r="F178" s="85">
        <v>0.5</v>
      </c>
      <c r="G178" s="65"/>
      <c r="H178" s="54">
        <f>H39</f>
        <v>0</v>
      </c>
      <c r="I178" s="47" t="e">
        <f t="shared" si="11"/>
        <v>#DIV/0!</v>
      </c>
      <c r="J178" s="47">
        <f t="shared" si="12"/>
        <v>74557.728000000003</v>
      </c>
      <c r="K178" s="66"/>
      <c r="L178" s="66"/>
      <c r="M178" s="15" t="e">
        <f t="shared" si="13"/>
        <v>#DIV/0!</v>
      </c>
    </row>
    <row r="179" spans="1:13" ht="15" hidden="1" customHeight="1" x14ac:dyDescent="0.25">
      <c r="A179" s="196"/>
      <c r="B179" s="197"/>
      <c r="C179" s="197"/>
      <c r="D179" s="197"/>
      <c r="E179" s="47"/>
      <c r="F179" s="47"/>
      <c r="G179" s="47"/>
      <c r="H179" s="47"/>
      <c r="I179" s="47"/>
      <c r="J179" s="47"/>
      <c r="K179" s="66"/>
      <c r="L179" s="66"/>
      <c r="M179" s="15">
        <f t="shared" si="13"/>
        <v>0</v>
      </c>
    </row>
    <row r="180" spans="1:13" ht="15.75" hidden="1" customHeight="1" thickBot="1" x14ac:dyDescent="0.3">
      <c r="A180" s="196"/>
      <c r="B180" s="197"/>
      <c r="C180" s="197"/>
      <c r="D180" s="197"/>
      <c r="E180" s="47"/>
      <c r="F180" s="47"/>
      <c r="G180" s="47"/>
      <c r="H180" s="47"/>
      <c r="I180" s="47"/>
      <c r="J180" s="47"/>
      <c r="K180" s="66"/>
      <c r="L180" s="66"/>
      <c r="M180" s="15">
        <f t="shared" si="13"/>
        <v>0</v>
      </c>
    </row>
    <row r="181" spans="1:13" ht="14.25" hidden="1" customHeight="1" thickBot="1" x14ac:dyDescent="0.3">
      <c r="A181" s="196"/>
      <c r="B181" s="197"/>
      <c r="C181" s="197"/>
      <c r="D181" s="197"/>
      <c r="E181" s="47"/>
      <c r="F181" s="47"/>
      <c r="G181" s="47"/>
      <c r="H181" s="47"/>
      <c r="I181" s="65">
        <v>105</v>
      </c>
      <c r="J181" s="67">
        <f>H181/I181</f>
        <v>0</v>
      </c>
      <c r="K181" s="66"/>
      <c r="L181" s="66"/>
      <c r="M181" s="36">
        <f t="shared" si="13"/>
        <v>0</v>
      </c>
    </row>
    <row r="182" spans="1:13" ht="15.75" thickBot="1" x14ac:dyDescent="0.3">
      <c r="A182" s="226" t="s">
        <v>67</v>
      </c>
      <c r="B182" s="226"/>
      <c r="C182" s="226"/>
      <c r="D182" s="226"/>
      <c r="E182" s="87"/>
      <c r="F182" s="147"/>
      <c r="G182" s="147"/>
      <c r="H182" s="92">
        <f>H156</f>
        <v>5733865.6020307206</v>
      </c>
      <c r="I182" s="68"/>
      <c r="J182" s="88">
        <f>J156</f>
        <v>27046.535858635474</v>
      </c>
      <c r="K182" s="66"/>
      <c r="L182" s="66"/>
      <c r="M182" s="18"/>
    </row>
    <row r="183" spans="1:13" x14ac:dyDescent="0.25">
      <c r="A183" s="11"/>
      <c r="B183" s="11"/>
      <c r="C183" s="11"/>
      <c r="D183" s="11"/>
      <c r="E183" s="11"/>
      <c r="F183" s="11"/>
      <c r="G183" s="11"/>
      <c r="H183" s="13"/>
      <c r="I183" s="13"/>
      <c r="J183" s="13"/>
      <c r="K183" s="11"/>
      <c r="L183" s="11"/>
      <c r="M183" s="11"/>
    </row>
    <row r="184" spans="1:13" x14ac:dyDescent="0.25">
      <c r="A184" s="220" t="s">
        <v>84</v>
      </c>
      <c r="B184" s="220"/>
      <c r="C184" s="220"/>
      <c r="D184" s="220"/>
      <c r="E184" s="220"/>
      <c r="F184" s="220"/>
      <c r="G184" s="220"/>
      <c r="H184" s="220"/>
      <c r="I184" s="220"/>
      <c r="J184" s="220"/>
      <c r="K184" s="220"/>
      <c r="L184" s="187"/>
      <c r="M184" s="11"/>
    </row>
    <row r="185" spans="1:13" ht="60" x14ac:dyDescent="0.25">
      <c r="A185" s="193" t="s">
        <v>85</v>
      </c>
      <c r="B185" s="194"/>
      <c r="C185" s="194"/>
      <c r="D185" s="195"/>
      <c r="E185" s="146" t="s">
        <v>7</v>
      </c>
      <c r="F185" s="146" t="s">
        <v>75</v>
      </c>
      <c r="G185" s="146" t="s">
        <v>60</v>
      </c>
      <c r="H185" s="146" t="s">
        <v>68</v>
      </c>
      <c r="I185" s="9" t="s">
        <v>86</v>
      </c>
      <c r="J185" s="9" t="s">
        <v>93</v>
      </c>
      <c r="K185" s="58"/>
      <c r="L185" s="32"/>
      <c r="M185" s="11"/>
    </row>
    <row r="186" spans="1:13" ht="36.75" customHeight="1" x14ac:dyDescent="0.25">
      <c r="A186" s="196" t="s">
        <v>173</v>
      </c>
      <c r="B186" s="197"/>
      <c r="C186" s="197"/>
      <c r="D186" s="198"/>
      <c r="E186" s="146"/>
      <c r="F186" s="146"/>
      <c r="G186" s="146"/>
      <c r="H186" s="127">
        <f>300000*0.304</f>
        <v>91200</v>
      </c>
      <c r="I186" s="65">
        <v>212</v>
      </c>
      <c r="J186" s="141">
        <f>H186/I186</f>
        <v>430.18867924528303</v>
      </c>
      <c r="K186" s="58"/>
      <c r="L186" s="32"/>
      <c r="M186" s="11"/>
    </row>
    <row r="187" spans="1:13" ht="34.5" customHeight="1" thickBot="1" x14ac:dyDescent="0.3">
      <c r="A187" s="196" t="s">
        <v>174</v>
      </c>
      <c r="B187" s="197"/>
      <c r="C187" s="197"/>
      <c r="D187" s="198"/>
      <c r="E187" s="146"/>
      <c r="F187" s="146"/>
      <c r="G187" s="146"/>
      <c r="H187" s="127">
        <f>140000*0.304</f>
        <v>42560</v>
      </c>
      <c r="I187" s="65">
        <v>212</v>
      </c>
      <c r="J187" s="141">
        <f t="shared" ref="J187" si="14">H187/I187</f>
        <v>200.75471698113208</v>
      </c>
      <c r="K187" s="58"/>
      <c r="L187" s="32"/>
      <c r="M187" s="11"/>
    </row>
    <row r="188" spans="1:13" ht="15.75" thickBot="1" x14ac:dyDescent="0.3">
      <c r="A188" s="199" t="s">
        <v>79</v>
      </c>
      <c r="B188" s="200"/>
      <c r="C188" s="200"/>
      <c r="D188" s="200"/>
      <c r="E188" s="200"/>
      <c r="F188" s="200"/>
      <c r="G188" s="201"/>
      <c r="H188" s="81">
        <f>H187+H186</f>
        <v>133760</v>
      </c>
      <c r="I188" s="77"/>
      <c r="J188" s="39">
        <f>SUM(J186:J187)</f>
        <v>630.94339622641508</v>
      </c>
      <c r="K188" s="11"/>
      <c r="L188" s="11"/>
      <c r="M188" s="11"/>
    </row>
    <row r="189" spans="1:13" ht="6.75" customHeight="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60" x14ac:dyDescent="0.25">
      <c r="A190" s="193" t="s">
        <v>85</v>
      </c>
      <c r="B190" s="194"/>
      <c r="C190" s="194"/>
      <c r="D190" s="195"/>
      <c r="E190" s="146" t="s">
        <v>175</v>
      </c>
      <c r="F190" s="146" t="s">
        <v>75</v>
      </c>
      <c r="G190" s="146" t="s">
        <v>60</v>
      </c>
      <c r="H190" s="146" t="s">
        <v>68</v>
      </c>
      <c r="I190" s="9" t="s">
        <v>86</v>
      </c>
      <c r="J190" s="9" t="s">
        <v>93</v>
      </c>
      <c r="K190" s="58"/>
      <c r="L190" s="32"/>
      <c r="M190" s="11"/>
    </row>
    <row r="191" spans="1:13" x14ac:dyDescent="0.25">
      <c r="A191" s="196" t="s">
        <v>108</v>
      </c>
      <c r="B191" s="197"/>
      <c r="C191" s="197"/>
      <c r="D191" s="198"/>
      <c r="E191" s="146">
        <v>120</v>
      </c>
      <c r="F191" s="146"/>
      <c r="G191" s="146"/>
      <c r="H191" s="127">
        <f>129600*0.304</f>
        <v>39398.400000000001</v>
      </c>
      <c r="I191" s="65">
        <v>212</v>
      </c>
      <c r="J191" s="141">
        <f>H191/I191</f>
        <v>185.84150943396227</v>
      </c>
      <c r="K191" s="58"/>
      <c r="L191" s="32"/>
      <c r="M191" s="11"/>
    </row>
    <row r="192" spans="1:13" x14ac:dyDescent="0.25">
      <c r="A192" s="196" t="s">
        <v>109</v>
      </c>
      <c r="B192" s="197"/>
      <c r="C192" s="197"/>
      <c r="D192" s="198"/>
      <c r="E192" s="146">
        <v>640</v>
      </c>
      <c r="F192" s="146"/>
      <c r="G192" s="146"/>
      <c r="H192" s="127">
        <f>10800*0.304</f>
        <v>3283.2</v>
      </c>
      <c r="I192" s="65">
        <v>212</v>
      </c>
      <c r="J192" s="141">
        <f t="shared" ref="J192:J193" si="15">H192/I192</f>
        <v>15.486792452830187</v>
      </c>
      <c r="K192" s="58"/>
      <c r="L192" s="32"/>
      <c r="M192" s="11"/>
    </row>
    <row r="193" spans="1:17" ht="18" customHeight="1" thickBot="1" x14ac:dyDescent="0.3">
      <c r="A193" s="196" t="s">
        <v>110</v>
      </c>
      <c r="B193" s="197"/>
      <c r="C193" s="197"/>
      <c r="D193" s="198"/>
      <c r="E193" s="146">
        <v>200</v>
      </c>
      <c r="F193" s="146"/>
      <c r="G193" s="146"/>
      <c r="H193" s="127">
        <f>15000*0.304</f>
        <v>4560</v>
      </c>
      <c r="I193" s="65">
        <v>212</v>
      </c>
      <c r="J193" s="141">
        <f t="shared" si="15"/>
        <v>21.509433962264151</v>
      </c>
      <c r="K193" s="58"/>
      <c r="L193" s="32"/>
      <c r="M193" s="11"/>
    </row>
    <row r="194" spans="1:17" ht="15.75" thickBot="1" x14ac:dyDescent="0.3">
      <c r="A194" s="199" t="s">
        <v>79</v>
      </c>
      <c r="B194" s="200"/>
      <c r="C194" s="200"/>
      <c r="D194" s="200"/>
      <c r="E194" s="200"/>
      <c r="F194" s="200"/>
      <c r="G194" s="201"/>
      <c r="H194" s="81">
        <f>SUM(H191:H193)</f>
        <v>47241.599999999999</v>
      </c>
      <c r="I194" s="77"/>
      <c r="J194" s="39">
        <f>SUM(J191:J193)</f>
        <v>222.83773584905663</v>
      </c>
      <c r="K194" s="11"/>
      <c r="L194" s="11"/>
      <c r="M194" s="11"/>
    </row>
    <row r="195" spans="1:17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7" x14ac:dyDescent="0.25">
      <c r="A196" s="202" t="s">
        <v>41</v>
      </c>
      <c r="B196" s="202"/>
      <c r="C196" s="202"/>
      <c r="D196" s="202"/>
      <c r="E196" s="202"/>
      <c r="F196" s="202"/>
      <c r="G196" s="202"/>
      <c r="H196" s="202"/>
      <c r="I196" s="202"/>
      <c r="J196" s="202"/>
      <c r="K196" s="202"/>
      <c r="L196" s="202"/>
      <c r="M196" s="202"/>
    </row>
    <row r="197" spans="1:17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17" ht="47.25" customHeight="1" x14ac:dyDescent="0.25">
      <c r="A198" s="206" t="s">
        <v>42</v>
      </c>
      <c r="B198" s="207"/>
      <c r="C198" s="208"/>
      <c r="D198" s="193" t="s">
        <v>43</v>
      </c>
      <c r="E198" s="203"/>
      <c r="F198" s="203"/>
      <c r="G198" s="203"/>
      <c r="H198" s="203"/>
      <c r="I198" s="203"/>
      <c r="J198" s="204"/>
      <c r="K198" s="191" t="s">
        <v>47</v>
      </c>
      <c r="L198" s="319"/>
    </row>
    <row r="199" spans="1:17" ht="24" customHeight="1" x14ac:dyDescent="0.25">
      <c r="A199" s="10" t="s">
        <v>44</v>
      </c>
      <c r="B199" s="164" t="s">
        <v>45</v>
      </c>
      <c r="C199" s="10" t="s">
        <v>46</v>
      </c>
      <c r="D199" s="9" t="s">
        <v>181</v>
      </c>
      <c r="E199" s="9" t="s">
        <v>182</v>
      </c>
      <c r="F199" s="9" t="s">
        <v>183</v>
      </c>
      <c r="G199" s="9" t="s">
        <v>184</v>
      </c>
      <c r="H199" s="9" t="s">
        <v>185</v>
      </c>
      <c r="I199" s="42" t="s">
        <v>186</v>
      </c>
      <c r="J199" s="159" t="s">
        <v>184</v>
      </c>
      <c r="K199" s="192"/>
      <c r="L199" s="319"/>
    </row>
    <row r="200" spans="1:17" ht="15.75" thickBot="1" x14ac:dyDescent="0.3">
      <c r="A200" s="15">
        <f>J151</f>
        <v>13112.150944041508</v>
      </c>
      <c r="B200" s="15"/>
      <c r="C200" s="15"/>
      <c r="D200" s="15">
        <f>J72</f>
        <v>123.52150943396227</v>
      </c>
      <c r="E200" s="15">
        <f>J81</f>
        <v>3434.6264150943398</v>
      </c>
      <c r="F200" s="15">
        <f>I96</f>
        <v>683.42641509433963</v>
      </c>
      <c r="G200" s="15">
        <f>I111</f>
        <v>441.45962264150944</v>
      </c>
      <c r="H200" s="15">
        <f>H120</f>
        <v>14.339622641509434</v>
      </c>
      <c r="I200" s="143">
        <f>J182</f>
        <v>27046.535858635474</v>
      </c>
      <c r="J200" s="142">
        <f>J188+J194</f>
        <v>853.78113207547176</v>
      </c>
      <c r="K200" s="142">
        <f>SUM(D200:J200)+A200</f>
        <v>45709.841519658119</v>
      </c>
      <c r="L200" s="320"/>
    </row>
    <row r="201" spans="1:17" ht="15.75" thickBot="1" x14ac:dyDescent="0.3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Q201" s="128">
        <f>K200*212</f>
        <v>9690486.4021675214</v>
      </c>
    </row>
    <row r="202" spans="1:17" ht="15.75" thickBot="1" x14ac:dyDescent="0.3">
      <c r="A202" s="14" t="s">
        <v>88</v>
      </c>
      <c r="B202" s="14"/>
      <c r="C202" s="14"/>
      <c r="D202" s="11"/>
      <c r="E202" s="11"/>
      <c r="F202" s="11"/>
      <c r="G202" s="11"/>
      <c r="H202" s="11"/>
      <c r="I202" s="11"/>
      <c r="J202" s="91">
        <f>H72+H81+G96+G111+F120+H151+H182+H188+H194</f>
        <v>9690486.4021675196</v>
      </c>
      <c r="K202" s="11"/>
      <c r="L202" s="11"/>
      <c r="M202" s="11"/>
    </row>
    <row r="203" spans="1:17" ht="26.25" customHeight="1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7" ht="17.25" customHeight="1" x14ac:dyDescent="0.3">
      <c r="A204" s="3" t="s">
        <v>176</v>
      </c>
      <c r="B204" s="3"/>
      <c r="C204" s="3"/>
      <c r="I204" s="3" t="s">
        <v>177</v>
      </c>
    </row>
    <row r="205" spans="1:17" ht="9.75" customHeight="1" x14ac:dyDescent="0.25"/>
    <row r="206" spans="1:17" ht="15.75" x14ac:dyDescent="0.25">
      <c r="A206" s="157" t="s">
        <v>61</v>
      </c>
      <c r="B206" s="7"/>
    </row>
    <row r="207" spans="1:17" ht="15.75" x14ac:dyDescent="0.25">
      <c r="A207" s="157" t="s">
        <v>111</v>
      </c>
      <c r="B207" s="7"/>
    </row>
    <row r="208" spans="1:17" ht="15.75" x14ac:dyDescent="0.25">
      <c r="A208" s="157" t="s">
        <v>112</v>
      </c>
      <c r="C208" s="7"/>
    </row>
    <row r="209" spans="1:3" ht="15.75" x14ac:dyDescent="0.25">
      <c r="A209" s="2"/>
      <c r="B209" s="2"/>
      <c r="C209" s="2"/>
    </row>
  </sheetData>
  <mergeCells count="201">
    <mergeCell ref="A184:K184"/>
    <mergeCell ref="A7:M7"/>
    <mergeCell ref="A8:M8"/>
    <mergeCell ref="A100:D100"/>
    <mergeCell ref="A101:D101"/>
    <mergeCell ref="A102:D102"/>
    <mergeCell ref="A103:D103"/>
    <mergeCell ref="A99:D99"/>
    <mergeCell ref="A181:D181"/>
    <mergeCell ref="A182:D182"/>
    <mergeCell ref="A175:D175"/>
    <mergeCell ref="A176:D176"/>
    <mergeCell ref="A177:D177"/>
    <mergeCell ref="A178:D178"/>
    <mergeCell ref="A179:D179"/>
    <mergeCell ref="A180:D180"/>
    <mergeCell ref="A111:D111"/>
    <mergeCell ref="A110:D110"/>
    <mergeCell ref="A104:D104"/>
    <mergeCell ref="A105:D105"/>
    <mergeCell ref="A106:D106"/>
    <mergeCell ref="A114:D114"/>
    <mergeCell ref="G34:K34"/>
    <mergeCell ref="G35:K35"/>
    <mergeCell ref="G36:K36"/>
    <mergeCell ref="G37:K37"/>
    <mergeCell ref="G38:K38"/>
    <mergeCell ref="G39:K39"/>
    <mergeCell ref="A49:D49"/>
    <mergeCell ref="A50:D50"/>
    <mergeCell ref="A51:D51"/>
    <mergeCell ref="A67:M67"/>
    <mergeCell ref="A68:D68"/>
    <mergeCell ref="A63:D63"/>
    <mergeCell ref="A46:D46"/>
    <mergeCell ref="A47:D47"/>
    <mergeCell ref="A48:D48"/>
    <mergeCell ref="A69:D69"/>
    <mergeCell ref="A70:D70"/>
    <mergeCell ref="A71:D71"/>
    <mergeCell ref="A72:D72"/>
    <mergeCell ref="A84:D84"/>
    <mergeCell ref="A89:D89"/>
    <mergeCell ref="A90:D90"/>
    <mergeCell ref="A94:D94"/>
    <mergeCell ref="A77:D77"/>
    <mergeCell ref="A78:D78"/>
    <mergeCell ref="A79:D79"/>
    <mergeCell ref="A80:D80"/>
    <mergeCell ref="A81:D81"/>
    <mergeCell ref="A22:E22"/>
    <mergeCell ref="G22:K22"/>
    <mergeCell ref="A23:E23"/>
    <mergeCell ref="G23:K23"/>
    <mergeCell ref="A24:E24"/>
    <mergeCell ref="G24:K24"/>
    <mergeCell ref="A20:E20"/>
    <mergeCell ref="G20:K20"/>
    <mergeCell ref="A113:M113"/>
    <mergeCell ref="A83:M83"/>
    <mergeCell ref="A25:E25"/>
    <mergeCell ref="G40:K40"/>
    <mergeCell ref="A85:D85"/>
    <mergeCell ref="A86:D86"/>
    <mergeCell ref="A87:D87"/>
    <mergeCell ref="A88:D88"/>
    <mergeCell ref="A91:D91"/>
    <mergeCell ref="A40:E40"/>
    <mergeCell ref="A52:D52"/>
    <mergeCell ref="A53:D53"/>
    <mergeCell ref="A54:D54"/>
    <mergeCell ref="A55:D55"/>
    <mergeCell ref="A56:D56"/>
    <mergeCell ref="A57:D57"/>
    <mergeCell ref="G17:K17"/>
    <mergeCell ref="A18:E18"/>
    <mergeCell ref="G18:K18"/>
    <mergeCell ref="A19:E19"/>
    <mergeCell ref="G19:K19"/>
    <mergeCell ref="A12:M12"/>
    <mergeCell ref="H4:K4"/>
    <mergeCell ref="A21:E21"/>
    <mergeCell ref="G21:K21"/>
    <mergeCell ref="A124:D124"/>
    <mergeCell ref="A125:D125"/>
    <mergeCell ref="A135:D135"/>
    <mergeCell ref="A136:D136"/>
    <mergeCell ref="A34:E34"/>
    <mergeCell ref="A2:D2"/>
    <mergeCell ref="E2:G2"/>
    <mergeCell ref="A3:B3"/>
    <mergeCell ref="A4:C4"/>
    <mergeCell ref="E4:F4"/>
    <mergeCell ref="A29:E29"/>
    <mergeCell ref="G29:K29"/>
    <mergeCell ref="A30:E30"/>
    <mergeCell ref="G30:K30"/>
    <mergeCell ref="G25:K25"/>
    <mergeCell ref="A26:E26"/>
    <mergeCell ref="G26:K26"/>
    <mergeCell ref="A27:E27"/>
    <mergeCell ref="G27:K27"/>
    <mergeCell ref="A28:E28"/>
    <mergeCell ref="G28:K28"/>
    <mergeCell ref="A16:E16"/>
    <mergeCell ref="G16:K16"/>
    <mergeCell ref="A17:E17"/>
    <mergeCell ref="A141:D141"/>
    <mergeCell ref="A142:D142"/>
    <mergeCell ref="A153:M153"/>
    <mergeCell ref="A143:D143"/>
    <mergeCell ref="A144:D144"/>
    <mergeCell ref="A145:D145"/>
    <mergeCell ref="A146:D146"/>
    <mergeCell ref="A147:D147"/>
    <mergeCell ref="A148:D148"/>
    <mergeCell ref="A149:D149"/>
    <mergeCell ref="A164:D164"/>
    <mergeCell ref="A165:D165"/>
    <mergeCell ref="A166:D166"/>
    <mergeCell ref="A151:D151"/>
    <mergeCell ref="A154:D154"/>
    <mergeCell ref="A155:D155"/>
    <mergeCell ref="A156:D156"/>
    <mergeCell ref="A157:D157"/>
    <mergeCell ref="A31:E31"/>
    <mergeCell ref="A35:E35"/>
    <mergeCell ref="A36:E36"/>
    <mergeCell ref="A37:E37"/>
    <mergeCell ref="A38:E38"/>
    <mergeCell ref="A39:E39"/>
    <mergeCell ref="A64:D64"/>
    <mergeCell ref="A65:K65"/>
    <mergeCell ref="A74:M74"/>
    <mergeCell ref="A75:D75"/>
    <mergeCell ref="A76:D76"/>
    <mergeCell ref="A58:D58"/>
    <mergeCell ref="A59:D59"/>
    <mergeCell ref="A60:D60"/>
    <mergeCell ref="A61:D61"/>
    <mergeCell ref="A62:D62"/>
    <mergeCell ref="A126:D126"/>
    <mergeCell ref="A131:D131"/>
    <mergeCell ref="A127:D127"/>
    <mergeCell ref="A128:D128"/>
    <mergeCell ref="A129:D129"/>
    <mergeCell ref="A109:D109"/>
    <mergeCell ref="A115:D115"/>
    <mergeCell ref="A118:D118"/>
    <mergeCell ref="G31:K31"/>
    <mergeCell ref="A32:E32"/>
    <mergeCell ref="G32:K32"/>
    <mergeCell ref="A33:E33"/>
    <mergeCell ref="G33:K33"/>
    <mergeCell ref="A119:D119"/>
    <mergeCell ref="A120:D120"/>
    <mergeCell ref="A122:M122"/>
    <mergeCell ref="A123:D123"/>
    <mergeCell ref="A95:D95"/>
    <mergeCell ref="A98:M98"/>
    <mergeCell ref="A42:M42"/>
    <mergeCell ref="A44:D44"/>
    <mergeCell ref="A45:D45"/>
    <mergeCell ref="A41:D41"/>
    <mergeCell ref="G41:M41"/>
    <mergeCell ref="A140:D140"/>
    <mergeCell ref="A130:D130"/>
    <mergeCell ref="A170:D170"/>
    <mergeCell ref="A171:D171"/>
    <mergeCell ref="A172:D172"/>
    <mergeCell ref="A173:D173"/>
    <mergeCell ref="A174:D174"/>
    <mergeCell ref="A198:C198"/>
    <mergeCell ref="A167:D167"/>
    <mergeCell ref="A168:D168"/>
    <mergeCell ref="A169:D169"/>
    <mergeCell ref="A133:D133"/>
    <mergeCell ref="A134:D134"/>
    <mergeCell ref="A137:D137"/>
    <mergeCell ref="A138:D138"/>
    <mergeCell ref="A139:D139"/>
    <mergeCell ref="A158:D158"/>
    <mergeCell ref="A159:D159"/>
    <mergeCell ref="A150:D150"/>
    <mergeCell ref="A160:D160"/>
    <mergeCell ref="A161:D161"/>
    <mergeCell ref="A162:D162"/>
    <mergeCell ref="A163:D163"/>
    <mergeCell ref="A132:D132"/>
    <mergeCell ref="K198:K199"/>
    <mergeCell ref="A185:D185"/>
    <mergeCell ref="A186:D186"/>
    <mergeCell ref="A188:G188"/>
    <mergeCell ref="A190:D190"/>
    <mergeCell ref="A191:D191"/>
    <mergeCell ref="A192:D192"/>
    <mergeCell ref="A193:D193"/>
    <mergeCell ref="A194:G194"/>
    <mergeCell ref="A196:M196"/>
    <mergeCell ref="A187:D187"/>
    <mergeCell ref="D198:J198"/>
  </mergeCells>
  <pageMargins left="0.70866141732283472" right="0.70866141732283472" top="0.55118110236220474" bottom="0.59055118110236227" header="0.15748031496062992" footer="0.15748031496062992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topLeftCell="A22" zoomScale="90" zoomScaleNormal="90" workbookViewId="0">
      <selection activeCell="Q23" sqref="Q23"/>
    </sheetView>
  </sheetViews>
  <sheetFormatPr defaultRowHeight="15" x14ac:dyDescent="0.25"/>
  <cols>
    <col min="1" max="1" width="9.140625" customWidth="1"/>
    <col min="2" max="3" width="5.7109375" customWidth="1"/>
    <col min="4" max="4" width="15.5703125" customWidth="1"/>
    <col min="5" max="5" width="13" customWidth="1"/>
    <col min="6" max="6" width="9.28515625" customWidth="1"/>
    <col min="7" max="7" width="11.7109375" customWidth="1"/>
    <col min="8" max="8" width="16" customWidth="1"/>
    <col min="9" max="9" width="15.140625" customWidth="1"/>
    <col min="10" max="10" width="13.85546875" customWidth="1"/>
    <col min="11" max="11" width="10.28515625" customWidth="1"/>
    <col min="12" max="12" width="10.28515625" hidden="1" customWidth="1"/>
    <col min="13" max="13" width="11.140625" customWidth="1"/>
    <col min="17" max="17" width="15.7109375" customWidth="1"/>
  </cols>
  <sheetData>
    <row r="1" spans="1:13" hidden="1" x14ac:dyDescent="0.25"/>
    <row r="2" spans="1:13" ht="15.75" hidden="1" x14ac:dyDescent="0.25">
      <c r="A2" s="240"/>
      <c r="B2" s="240"/>
      <c r="C2" s="240"/>
      <c r="D2" s="240"/>
      <c r="E2" s="240"/>
      <c r="F2" s="240"/>
      <c r="G2" s="240"/>
    </row>
    <row r="3" spans="1:13" ht="15.75" hidden="1" customHeight="1" x14ac:dyDescent="0.25">
      <c r="A3" s="240"/>
      <c r="B3" s="240"/>
      <c r="C3" s="62"/>
      <c r="D3" s="62"/>
      <c r="E3" s="123"/>
      <c r="F3" s="62"/>
      <c r="G3" s="62"/>
    </row>
    <row r="4" spans="1:13" ht="27.75" customHeight="1" x14ac:dyDescent="0.25">
      <c r="A4" s="241"/>
      <c r="B4" s="241"/>
      <c r="C4" s="241"/>
      <c r="D4" s="158"/>
      <c r="E4" s="241"/>
      <c r="F4" s="241"/>
      <c r="G4" s="64"/>
      <c r="H4" s="257" t="s">
        <v>180</v>
      </c>
      <c r="I4" s="258"/>
      <c r="J4" s="258"/>
      <c r="K4" s="258"/>
      <c r="L4" s="188"/>
    </row>
    <row r="5" spans="1:13" ht="15.75" x14ac:dyDescent="0.25">
      <c r="A5" s="4"/>
      <c r="B5" s="4"/>
      <c r="C5" s="4"/>
      <c r="D5" s="122"/>
      <c r="E5" s="4"/>
      <c r="F5" s="4"/>
      <c r="G5" s="122"/>
    </row>
    <row r="6" spans="1:13" x14ac:dyDescent="0.25">
      <c r="A6" s="124"/>
      <c r="B6" s="124"/>
      <c r="C6" s="124"/>
      <c r="D6" s="124"/>
      <c r="E6" s="124"/>
      <c r="F6" s="124"/>
      <c r="G6" s="124"/>
    </row>
    <row r="7" spans="1:13" ht="15.75" x14ac:dyDescent="0.25">
      <c r="A7" s="275" t="s">
        <v>178</v>
      </c>
      <c r="B7" s="276"/>
      <c r="C7" s="276"/>
      <c r="D7" s="276"/>
      <c r="E7" s="276"/>
      <c r="F7" s="276"/>
      <c r="G7" s="258"/>
      <c r="H7" s="258"/>
      <c r="I7" s="258"/>
      <c r="J7" s="258"/>
      <c r="K7" s="258"/>
      <c r="L7" s="258"/>
      <c r="M7" s="258"/>
    </row>
    <row r="8" spans="1:13" ht="15.75" x14ac:dyDescent="0.25">
      <c r="A8" s="275" t="s">
        <v>179</v>
      </c>
      <c r="B8" s="276"/>
      <c r="C8" s="276"/>
      <c r="D8" s="276"/>
      <c r="E8" s="276"/>
      <c r="F8" s="276"/>
      <c r="G8" s="258"/>
      <c r="H8" s="258"/>
      <c r="I8" s="258"/>
      <c r="J8" s="258"/>
      <c r="K8" s="258"/>
      <c r="L8" s="258"/>
      <c r="M8" s="258"/>
    </row>
    <row r="10" spans="1:13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75" x14ac:dyDescent="0.25">
      <c r="A11" s="8" t="s">
        <v>218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17.25" customHeight="1" x14ac:dyDescent="0.25">
      <c r="A12" s="255" t="s">
        <v>113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</row>
    <row r="13" spans="1:13" ht="15.75" x14ac:dyDescent="0.25">
      <c r="A13" s="8" t="s">
        <v>81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75" x14ac:dyDescent="0.25">
      <c r="A14" s="8" t="s">
        <v>148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75" x14ac:dyDescent="0.25">
      <c r="A15" s="8" t="s">
        <v>147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51.75" customHeight="1" x14ac:dyDescent="0.25">
      <c r="A16" s="252" t="s">
        <v>90</v>
      </c>
      <c r="B16" s="252"/>
      <c r="C16" s="252"/>
      <c r="D16" s="252"/>
      <c r="E16" s="252"/>
      <c r="F16" s="9" t="s">
        <v>89</v>
      </c>
      <c r="G16" s="252" t="s">
        <v>91</v>
      </c>
      <c r="H16" s="252"/>
      <c r="I16" s="252"/>
      <c r="J16" s="252"/>
      <c r="K16" s="252"/>
      <c r="L16" s="189"/>
      <c r="M16" s="9" t="s">
        <v>89</v>
      </c>
    </row>
    <row r="17" spans="1:13" x14ac:dyDescent="0.25">
      <c r="A17" s="253" t="s">
        <v>127</v>
      </c>
      <c r="B17" s="253"/>
      <c r="C17" s="253"/>
      <c r="D17" s="253"/>
      <c r="E17" s="253"/>
      <c r="F17" s="315">
        <f>4.92*0.055</f>
        <v>0.27060000000000001</v>
      </c>
      <c r="G17" s="254" t="s">
        <v>1</v>
      </c>
      <c r="H17" s="254"/>
      <c r="I17" s="254"/>
      <c r="J17" s="254"/>
      <c r="K17" s="254"/>
      <c r="L17" s="151">
        <v>1</v>
      </c>
      <c r="M17" s="151">
        <f>L17*0.055</f>
        <v>5.5E-2</v>
      </c>
    </row>
    <row r="18" spans="1:13" x14ac:dyDescent="0.25">
      <c r="A18" s="253" t="s">
        <v>128</v>
      </c>
      <c r="B18" s="253"/>
      <c r="C18" s="253"/>
      <c r="D18" s="253"/>
      <c r="E18" s="253"/>
      <c r="F18" s="315">
        <f>8.83*0.055</f>
        <v>0.48565000000000003</v>
      </c>
      <c r="G18" s="246" t="s">
        <v>129</v>
      </c>
      <c r="H18" s="247"/>
      <c r="I18" s="247"/>
      <c r="J18" s="247"/>
      <c r="K18" s="248"/>
      <c r="L18" s="151">
        <v>4</v>
      </c>
      <c r="M18" s="315">
        <f t="shared" ref="M18:M40" si="0">L18*0.055</f>
        <v>0.22</v>
      </c>
    </row>
    <row r="19" spans="1:13" x14ac:dyDescent="0.25">
      <c r="A19" s="253"/>
      <c r="B19" s="253"/>
      <c r="C19" s="253"/>
      <c r="D19" s="253"/>
      <c r="E19" s="253"/>
      <c r="F19" s="315"/>
      <c r="G19" s="253" t="s">
        <v>130</v>
      </c>
      <c r="H19" s="253"/>
      <c r="I19" s="253"/>
      <c r="J19" s="253"/>
      <c r="K19" s="253"/>
      <c r="L19" s="151">
        <v>1</v>
      </c>
      <c r="M19" s="315">
        <f t="shared" si="0"/>
        <v>5.5E-2</v>
      </c>
    </row>
    <row r="20" spans="1:13" x14ac:dyDescent="0.25">
      <c r="A20" s="253"/>
      <c r="B20" s="253"/>
      <c r="C20" s="253"/>
      <c r="D20" s="253"/>
      <c r="E20" s="253"/>
      <c r="F20" s="315"/>
      <c r="G20" s="259" t="s">
        <v>97</v>
      </c>
      <c r="H20" s="260"/>
      <c r="I20" s="260"/>
      <c r="J20" s="260"/>
      <c r="K20" s="261"/>
      <c r="L20" s="151">
        <v>1</v>
      </c>
      <c r="M20" s="315">
        <f t="shared" si="0"/>
        <v>5.5E-2</v>
      </c>
    </row>
    <row r="21" spans="1:13" ht="15" customHeight="1" x14ac:dyDescent="0.25">
      <c r="A21" s="253"/>
      <c r="B21" s="253"/>
      <c r="C21" s="253"/>
      <c r="D21" s="253"/>
      <c r="E21" s="253"/>
      <c r="F21" s="315"/>
      <c r="G21" s="254" t="s">
        <v>131</v>
      </c>
      <c r="H21" s="254"/>
      <c r="I21" s="254"/>
      <c r="J21" s="254"/>
      <c r="K21" s="254"/>
      <c r="L21" s="151">
        <v>0.5</v>
      </c>
      <c r="M21" s="315">
        <f t="shared" si="0"/>
        <v>2.75E-2</v>
      </c>
    </row>
    <row r="22" spans="1:13" ht="15" customHeight="1" x14ac:dyDescent="0.25">
      <c r="A22" s="253"/>
      <c r="B22" s="253"/>
      <c r="C22" s="253"/>
      <c r="D22" s="253"/>
      <c r="E22" s="253"/>
      <c r="F22" s="315"/>
      <c r="G22" s="254" t="s">
        <v>95</v>
      </c>
      <c r="H22" s="254"/>
      <c r="I22" s="254"/>
      <c r="J22" s="254"/>
      <c r="K22" s="254"/>
      <c r="L22" s="152">
        <v>1</v>
      </c>
      <c r="M22" s="315">
        <f t="shared" si="0"/>
        <v>5.5E-2</v>
      </c>
    </row>
    <row r="23" spans="1:13" ht="15.75" customHeight="1" x14ac:dyDescent="0.25">
      <c r="A23" s="253"/>
      <c r="B23" s="253"/>
      <c r="C23" s="253"/>
      <c r="D23" s="253"/>
      <c r="E23" s="253"/>
      <c r="F23" s="315"/>
      <c r="G23" s="205" t="s">
        <v>132</v>
      </c>
      <c r="H23" s="205"/>
      <c r="I23" s="205"/>
      <c r="J23" s="205"/>
      <c r="K23" s="205"/>
      <c r="L23" s="152">
        <v>0.5</v>
      </c>
      <c r="M23" s="315">
        <f t="shared" si="0"/>
        <v>2.75E-2</v>
      </c>
    </row>
    <row r="24" spans="1:13" ht="15.75" hidden="1" customHeight="1" x14ac:dyDescent="0.25">
      <c r="A24" s="246"/>
      <c r="B24" s="247"/>
      <c r="C24" s="247"/>
      <c r="D24" s="247"/>
      <c r="E24" s="248"/>
      <c r="F24" s="315"/>
      <c r="G24" s="243"/>
      <c r="H24" s="244"/>
      <c r="I24" s="244"/>
      <c r="J24" s="244"/>
      <c r="K24" s="245"/>
      <c r="L24" s="152"/>
      <c r="M24" s="315">
        <f t="shared" si="0"/>
        <v>0</v>
      </c>
    </row>
    <row r="25" spans="1:13" ht="15.75" customHeight="1" x14ac:dyDescent="0.25">
      <c r="A25" s="246"/>
      <c r="B25" s="247"/>
      <c r="C25" s="247"/>
      <c r="D25" s="247"/>
      <c r="E25" s="248"/>
      <c r="F25" s="315"/>
      <c r="G25" s="243" t="s">
        <v>133</v>
      </c>
      <c r="H25" s="244"/>
      <c r="I25" s="244"/>
      <c r="J25" s="244"/>
      <c r="K25" s="245"/>
      <c r="L25" s="152">
        <v>1</v>
      </c>
      <c r="M25" s="315">
        <f t="shared" si="0"/>
        <v>5.5E-2</v>
      </c>
    </row>
    <row r="26" spans="1:13" ht="15.75" hidden="1" customHeight="1" x14ac:dyDescent="0.25">
      <c r="A26" s="246"/>
      <c r="B26" s="247"/>
      <c r="C26" s="247"/>
      <c r="D26" s="247"/>
      <c r="E26" s="248"/>
      <c r="F26" s="322"/>
      <c r="G26" s="243"/>
      <c r="H26" s="244"/>
      <c r="I26" s="244"/>
      <c r="J26" s="244"/>
      <c r="K26" s="245"/>
      <c r="L26" s="154"/>
      <c r="M26" s="315">
        <f t="shared" si="0"/>
        <v>0</v>
      </c>
    </row>
    <row r="27" spans="1:13" ht="15.75" customHeight="1" x14ac:dyDescent="0.25">
      <c r="A27" s="246"/>
      <c r="B27" s="247"/>
      <c r="C27" s="247"/>
      <c r="D27" s="247"/>
      <c r="E27" s="248"/>
      <c r="F27" s="322"/>
      <c r="G27" s="249" t="s">
        <v>134</v>
      </c>
      <c r="H27" s="250"/>
      <c r="I27" s="250"/>
      <c r="J27" s="250"/>
      <c r="K27" s="251"/>
      <c r="L27" s="154">
        <v>2</v>
      </c>
      <c r="M27" s="315">
        <f t="shared" si="0"/>
        <v>0.11</v>
      </c>
    </row>
    <row r="28" spans="1:13" ht="15.75" customHeight="1" x14ac:dyDescent="0.25">
      <c r="A28" s="246"/>
      <c r="B28" s="247"/>
      <c r="C28" s="247"/>
      <c r="D28" s="247"/>
      <c r="E28" s="248"/>
      <c r="F28" s="322"/>
      <c r="G28" s="243" t="s">
        <v>96</v>
      </c>
      <c r="H28" s="244"/>
      <c r="I28" s="244"/>
      <c r="J28" s="244"/>
      <c r="K28" s="245"/>
      <c r="L28" s="154">
        <v>1</v>
      </c>
      <c r="M28" s="315">
        <f t="shared" si="0"/>
        <v>5.5E-2</v>
      </c>
    </row>
    <row r="29" spans="1:13" ht="15" customHeight="1" x14ac:dyDescent="0.25">
      <c r="A29" s="242"/>
      <c r="B29" s="242"/>
      <c r="C29" s="242"/>
      <c r="D29" s="242"/>
      <c r="E29" s="242"/>
      <c r="F29" s="322"/>
      <c r="G29" s="205" t="s">
        <v>135</v>
      </c>
      <c r="H29" s="205"/>
      <c r="I29" s="205"/>
      <c r="J29" s="205"/>
      <c r="K29" s="205"/>
      <c r="L29" s="154">
        <v>4.75</v>
      </c>
      <c r="M29" s="315">
        <f t="shared" si="0"/>
        <v>0.26124999999999998</v>
      </c>
    </row>
    <row r="30" spans="1:13" ht="15.75" customHeight="1" x14ac:dyDescent="0.25">
      <c r="A30" s="242"/>
      <c r="B30" s="242"/>
      <c r="C30" s="242"/>
      <c r="D30" s="242"/>
      <c r="E30" s="242"/>
      <c r="F30" s="322"/>
      <c r="G30" s="205" t="s">
        <v>136</v>
      </c>
      <c r="H30" s="205"/>
      <c r="I30" s="205"/>
      <c r="J30" s="205"/>
      <c r="K30" s="205"/>
      <c r="L30" s="154">
        <v>3.5</v>
      </c>
      <c r="M30" s="315">
        <f t="shared" si="0"/>
        <v>0.1925</v>
      </c>
    </row>
    <row r="31" spans="1:13" x14ac:dyDescent="0.25">
      <c r="A31" s="214"/>
      <c r="B31" s="214"/>
      <c r="C31" s="214"/>
      <c r="D31" s="214"/>
      <c r="E31" s="214"/>
      <c r="F31" s="323"/>
      <c r="G31" s="205" t="s">
        <v>137</v>
      </c>
      <c r="H31" s="205"/>
      <c r="I31" s="205"/>
      <c r="J31" s="205"/>
      <c r="K31" s="205"/>
      <c r="L31" s="154">
        <v>2</v>
      </c>
      <c r="M31" s="315">
        <f t="shared" si="0"/>
        <v>0.11</v>
      </c>
    </row>
    <row r="32" spans="1:13" ht="27.75" customHeight="1" x14ac:dyDescent="0.25">
      <c r="A32" s="214"/>
      <c r="B32" s="214"/>
      <c r="C32" s="214"/>
      <c r="D32" s="214"/>
      <c r="E32" s="214"/>
      <c r="F32" s="323"/>
      <c r="G32" s="205" t="s">
        <v>138</v>
      </c>
      <c r="H32" s="205"/>
      <c r="I32" s="205"/>
      <c r="J32" s="205"/>
      <c r="K32" s="205"/>
      <c r="L32" s="154">
        <v>1</v>
      </c>
      <c r="M32" s="315">
        <f t="shared" si="0"/>
        <v>5.5E-2</v>
      </c>
    </row>
    <row r="33" spans="1:15" x14ac:dyDescent="0.25">
      <c r="A33" s="214"/>
      <c r="B33" s="214"/>
      <c r="C33" s="214"/>
      <c r="D33" s="214"/>
      <c r="E33" s="214"/>
      <c r="F33" s="323"/>
      <c r="G33" s="205" t="s">
        <v>139</v>
      </c>
      <c r="H33" s="205"/>
      <c r="I33" s="205"/>
      <c r="J33" s="205"/>
      <c r="K33" s="205"/>
      <c r="L33" s="154">
        <v>0.5</v>
      </c>
      <c r="M33" s="315">
        <f t="shared" si="0"/>
        <v>2.75E-2</v>
      </c>
    </row>
    <row r="34" spans="1:15" ht="12.75" customHeight="1" x14ac:dyDescent="0.25">
      <c r="A34" s="214"/>
      <c r="B34" s="214"/>
      <c r="C34" s="214"/>
      <c r="D34" s="214"/>
      <c r="E34" s="214"/>
      <c r="F34" s="323"/>
      <c r="G34" s="196" t="s">
        <v>140</v>
      </c>
      <c r="H34" s="197"/>
      <c r="I34" s="197"/>
      <c r="J34" s="197"/>
      <c r="K34" s="198"/>
      <c r="L34" s="154">
        <v>0.5</v>
      </c>
      <c r="M34" s="315">
        <f t="shared" si="0"/>
        <v>2.75E-2</v>
      </c>
    </row>
    <row r="35" spans="1:15" ht="15" customHeight="1" x14ac:dyDescent="0.25">
      <c r="A35" s="214"/>
      <c r="B35" s="214"/>
      <c r="C35" s="214"/>
      <c r="D35" s="214"/>
      <c r="E35" s="214"/>
      <c r="F35" s="323"/>
      <c r="G35" s="196" t="s">
        <v>141</v>
      </c>
      <c r="H35" s="197"/>
      <c r="I35" s="197"/>
      <c r="J35" s="197"/>
      <c r="K35" s="198"/>
      <c r="L35" s="154">
        <v>16</v>
      </c>
      <c r="M35" s="315">
        <f t="shared" si="0"/>
        <v>0.88</v>
      </c>
    </row>
    <row r="36" spans="1:15" x14ac:dyDescent="0.25">
      <c r="A36" s="229"/>
      <c r="B36" s="230"/>
      <c r="C36" s="230"/>
      <c r="D36" s="230"/>
      <c r="E36" s="231"/>
      <c r="F36" s="323"/>
      <c r="G36" s="246" t="s">
        <v>142</v>
      </c>
      <c r="H36" s="247"/>
      <c r="I36" s="247"/>
      <c r="J36" s="247"/>
      <c r="K36" s="273"/>
      <c r="L36" s="151">
        <v>2</v>
      </c>
      <c r="M36" s="315">
        <f t="shared" si="0"/>
        <v>0.11</v>
      </c>
    </row>
    <row r="37" spans="1:15" ht="15" customHeight="1" x14ac:dyDescent="0.25">
      <c r="A37" s="229"/>
      <c r="B37" s="230"/>
      <c r="C37" s="230"/>
      <c r="D37" s="230"/>
      <c r="E37" s="231"/>
      <c r="F37" s="323"/>
      <c r="G37" s="246" t="s">
        <v>143</v>
      </c>
      <c r="H37" s="247"/>
      <c r="I37" s="247"/>
      <c r="J37" s="247"/>
      <c r="K37" s="273"/>
      <c r="L37" s="151">
        <v>1</v>
      </c>
      <c r="M37" s="315">
        <f t="shared" si="0"/>
        <v>5.5E-2</v>
      </c>
    </row>
    <row r="38" spans="1:15" ht="15" customHeight="1" x14ac:dyDescent="0.25">
      <c r="A38" s="229"/>
      <c r="B38" s="230"/>
      <c r="C38" s="230"/>
      <c r="D38" s="230"/>
      <c r="E38" s="231"/>
      <c r="F38" s="323"/>
      <c r="G38" s="246" t="s">
        <v>144</v>
      </c>
      <c r="H38" s="247"/>
      <c r="I38" s="247"/>
      <c r="J38" s="247"/>
      <c r="K38" s="273"/>
      <c r="L38" s="151">
        <v>1</v>
      </c>
      <c r="M38" s="315">
        <f t="shared" si="0"/>
        <v>5.5E-2</v>
      </c>
    </row>
    <row r="39" spans="1:15" ht="15" customHeight="1" x14ac:dyDescent="0.25">
      <c r="A39" s="229"/>
      <c r="B39" s="230"/>
      <c r="C39" s="230"/>
      <c r="D39" s="230"/>
      <c r="E39" s="231"/>
      <c r="F39" s="323"/>
      <c r="G39" s="246" t="s">
        <v>145</v>
      </c>
      <c r="H39" s="247"/>
      <c r="I39" s="247"/>
      <c r="J39" s="247"/>
      <c r="K39" s="273"/>
      <c r="L39" s="154">
        <v>10</v>
      </c>
      <c r="M39" s="315">
        <f t="shared" si="0"/>
        <v>0.55000000000000004</v>
      </c>
    </row>
    <row r="40" spans="1:15" ht="15" customHeight="1" x14ac:dyDescent="0.25">
      <c r="A40" s="224" t="s">
        <v>2</v>
      </c>
      <c r="B40" s="224"/>
      <c r="C40" s="224"/>
      <c r="D40" s="224"/>
      <c r="E40" s="224"/>
      <c r="F40" s="324">
        <f>SUM(F17:F35)</f>
        <v>0.75625000000000009</v>
      </c>
      <c r="G40" s="262" t="s">
        <v>2</v>
      </c>
      <c r="H40" s="262"/>
      <c r="I40" s="262"/>
      <c r="J40" s="262"/>
      <c r="K40" s="262"/>
      <c r="L40" s="156">
        <f>SUM(L17:L39)</f>
        <v>55.25</v>
      </c>
      <c r="M40" s="324">
        <f t="shared" si="0"/>
        <v>3.0387499999999998</v>
      </c>
    </row>
    <row r="41" spans="1:15" ht="98.25" hidden="1" customHeight="1" thickBot="1" x14ac:dyDescent="0.3">
      <c r="A41" s="224" t="s">
        <v>2</v>
      </c>
      <c r="B41" s="224"/>
      <c r="C41" s="224"/>
      <c r="D41" s="224"/>
      <c r="E41" s="100">
        <f>SUM(E17:E29)</f>
        <v>0</v>
      </c>
      <c r="F41" s="125"/>
      <c r="G41" s="225" t="s">
        <v>2</v>
      </c>
      <c r="H41" s="225"/>
      <c r="I41" s="225"/>
      <c r="J41" s="225"/>
      <c r="K41" s="225"/>
      <c r="L41" s="225"/>
      <c r="M41" s="225"/>
      <c r="N41" s="225"/>
      <c r="O41" s="125" t="e">
        <f>SUM(#REF!)</f>
        <v>#REF!</v>
      </c>
    </row>
    <row r="42" spans="1:15" hidden="1" x14ac:dyDescent="0.25">
      <c r="A42" s="220" t="s">
        <v>15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5" hidden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5" ht="80.25" hidden="1" customHeight="1" x14ac:dyDescent="0.25">
      <c r="A44" s="221" t="s">
        <v>6</v>
      </c>
      <c r="B44" s="221"/>
      <c r="C44" s="221"/>
      <c r="D44" s="221"/>
      <c r="E44" s="21" t="s">
        <v>7</v>
      </c>
      <c r="F44" s="21" t="s">
        <v>8</v>
      </c>
      <c r="G44" s="21" t="s">
        <v>9</v>
      </c>
      <c r="H44" s="21" t="s">
        <v>10</v>
      </c>
      <c r="I44" s="21"/>
      <c r="J44" s="21" t="s">
        <v>11</v>
      </c>
      <c r="K44" s="21" t="s">
        <v>12</v>
      </c>
      <c r="L44" s="21"/>
      <c r="M44" s="21" t="s">
        <v>5</v>
      </c>
    </row>
    <row r="45" spans="1:15" ht="15" hidden="1" customHeight="1" x14ac:dyDescent="0.25">
      <c r="A45" s="222">
        <v>1</v>
      </c>
      <c r="B45" s="223"/>
      <c r="C45" s="223"/>
      <c r="D45" s="223"/>
      <c r="E45" s="21">
        <v>2</v>
      </c>
      <c r="F45" s="21">
        <v>3</v>
      </c>
      <c r="G45" s="21">
        <v>4</v>
      </c>
      <c r="H45" s="21" t="s">
        <v>48</v>
      </c>
      <c r="I45" s="21"/>
      <c r="J45" s="21">
        <v>6</v>
      </c>
      <c r="K45" s="21">
        <v>7</v>
      </c>
      <c r="L45" s="21"/>
      <c r="M45" s="21" t="s">
        <v>49</v>
      </c>
    </row>
    <row r="46" spans="1:15" ht="15" hidden="1" customHeight="1" x14ac:dyDescent="0.25">
      <c r="A46" s="274" t="s">
        <v>51</v>
      </c>
      <c r="B46" s="274"/>
      <c r="C46" s="274"/>
      <c r="D46" s="274"/>
      <c r="E46" s="22" t="s">
        <v>13</v>
      </c>
      <c r="F46" s="21">
        <v>7</v>
      </c>
      <c r="G46" s="22">
        <v>10</v>
      </c>
      <c r="H46" s="23">
        <f>F46/G46</f>
        <v>0.7</v>
      </c>
      <c r="I46" s="23"/>
      <c r="J46" s="21">
        <v>20</v>
      </c>
      <c r="K46" s="24">
        <v>7100</v>
      </c>
      <c r="L46" s="24"/>
      <c r="M46" s="24">
        <f>H46*K46</f>
        <v>4970</v>
      </c>
    </row>
    <row r="47" spans="1:15" ht="15" hidden="1" customHeight="1" x14ac:dyDescent="0.25">
      <c r="A47" s="274" t="s">
        <v>52</v>
      </c>
      <c r="B47" s="274"/>
      <c r="C47" s="274"/>
      <c r="D47" s="274"/>
      <c r="E47" s="22" t="s">
        <v>13</v>
      </c>
      <c r="F47" s="21">
        <v>1</v>
      </c>
      <c r="G47" s="22">
        <v>10</v>
      </c>
      <c r="H47" s="23">
        <f t="shared" ref="H47:H63" si="1">F47/G47</f>
        <v>0.1</v>
      </c>
      <c r="I47" s="23"/>
      <c r="J47" s="21">
        <v>20</v>
      </c>
      <c r="K47" s="24">
        <v>538700</v>
      </c>
      <c r="L47" s="24"/>
      <c r="M47" s="24">
        <f t="shared" ref="M47:M64" si="2">H47*K47</f>
        <v>53870</v>
      </c>
    </row>
    <row r="48" spans="1:15" ht="15" hidden="1" customHeight="1" x14ac:dyDescent="0.25">
      <c r="A48" s="274" t="s">
        <v>53</v>
      </c>
      <c r="B48" s="274"/>
      <c r="C48" s="274"/>
      <c r="D48" s="274"/>
      <c r="E48" s="22" t="s">
        <v>13</v>
      </c>
      <c r="F48" s="21">
        <v>1</v>
      </c>
      <c r="G48" s="22">
        <v>10</v>
      </c>
      <c r="H48" s="23">
        <f t="shared" si="1"/>
        <v>0.1</v>
      </c>
      <c r="I48" s="23"/>
      <c r="J48" s="21">
        <v>20</v>
      </c>
      <c r="K48" s="24">
        <v>380000</v>
      </c>
      <c r="L48" s="24"/>
      <c r="M48" s="24">
        <f t="shared" si="2"/>
        <v>38000</v>
      </c>
    </row>
    <row r="49" spans="1:13" ht="12.75" hidden="1" customHeight="1" x14ac:dyDescent="0.25">
      <c r="A49" s="274"/>
      <c r="B49" s="274"/>
      <c r="C49" s="274"/>
      <c r="D49" s="274"/>
      <c r="E49" s="22" t="s">
        <v>13</v>
      </c>
      <c r="F49" s="21"/>
      <c r="G49" s="22">
        <v>10</v>
      </c>
      <c r="H49" s="23">
        <f t="shared" si="1"/>
        <v>0</v>
      </c>
      <c r="I49" s="23"/>
      <c r="J49" s="21"/>
      <c r="K49" s="24"/>
      <c r="L49" s="24"/>
      <c r="M49" s="24">
        <f t="shared" si="2"/>
        <v>0</v>
      </c>
    </row>
    <row r="50" spans="1:13" ht="15" hidden="1" customHeight="1" x14ac:dyDescent="0.25">
      <c r="A50" s="274"/>
      <c r="B50" s="274"/>
      <c r="C50" s="274"/>
      <c r="D50" s="274"/>
      <c r="E50" s="22" t="s">
        <v>13</v>
      </c>
      <c r="F50" s="21"/>
      <c r="G50" s="22">
        <v>10</v>
      </c>
      <c r="H50" s="23">
        <f t="shared" si="1"/>
        <v>0</v>
      </c>
      <c r="I50" s="23"/>
      <c r="J50" s="21"/>
      <c r="K50" s="24"/>
      <c r="L50" s="24"/>
      <c r="M50" s="24">
        <f t="shared" si="2"/>
        <v>0</v>
      </c>
    </row>
    <row r="51" spans="1:13" ht="15" hidden="1" customHeight="1" x14ac:dyDescent="0.25">
      <c r="A51" s="266"/>
      <c r="B51" s="267"/>
      <c r="C51" s="267"/>
      <c r="D51" s="267"/>
      <c r="E51" s="22" t="s">
        <v>13</v>
      </c>
      <c r="F51" s="21"/>
      <c r="G51" s="22">
        <v>10</v>
      </c>
      <c r="H51" s="23">
        <f t="shared" si="1"/>
        <v>0</v>
      </c>
      <c r="I51" s="23"/>
      <c r="J51" s="21"/>
      <c r="K51" s="24"/>
      <c r="L51" s="24"/>
      <c r="M51" s="24">
        <f t="shared" si="2"/>
        <v>0</v>
      </c>
    </row>
    <row r="52" spans="1:13" ht="15" hidden="1" customHeight="1" x14ac:dyDescent="0.25">
      <c r="A52" s="266"/>
      <c r="B52" s="267"/>
      <c r="C52" s="267"/>
      <c r="D52" s="267"/>
      <c r="E52" s="22" t="s">
        <v>13</v>
      </c>
      <c r="F52" s="21"/>
      <c r="G52" s="22">
        <v>10</v>
      </c>
      <c r="H52" s="23">
        <f t="shared" si="1"/>
        <v>0</v>
      </c>
      <c r="I52" s="23"/>
      <c r="J52" s="21"/>
      <c r="K52" s="24"/>
      <c r="L52" s="24"/>
      <c r="M52" s="24">
        <f t="shared" si="2"/>
        <v>0</v>
      </c>
    </row>
    <row r="53" spans="1:13" ht="15" hidden="1" customHeight="1" x14ac:dyDescent="0.25">
      <c r="A53" s="266"/>
      <c r="B53" s="267"/>
      <c r="C53" s="267"/>
      <c r="D53" s="267"/>
      <c r="E53" s="22" t="s">
        <v>13</v>
      </c>
      <c r="F53" s="21"/>
      <c r="G53" s="22">
        <v>10</v>
      </c>
      <c r="H53" s="23">
        <f t="shared" si="1"/>
        <v>0</v>
      </c>
      <c r="I53" s="23"/>
      <c r="J53" s="21"/>
      <c r="K53" s="24"/>
      <c r="L53" s="24"/>
      <c r="M53" s="24">
        <f t="shared" si="2"/>
        <v>0</v>
      </c>
    </row>
    <row r="54" spans="1:13" ht="15" hidden="1" customHeight="1" x14ac:dyDescent="0.25">
      <c r="A54" s="266"/>
      <c r="B54" s="267"/>
      <c r="C54" s="267"/>
      <c r="D54" s="267"/>
      <c r="E54" s="22" t="s">
        <v>13</v>
      </c>
      <c r="F54" s="21"/>
      <c r="G54" s="22">
        <v>10</v>
      </c>
      <c r="H54" s="23">
        <f t="shared" si="1"/>
        <v>0</v>
      </c>
      <c r="I54" s="23"/>
      <c r="J54" s="21"/>
      <c r="K54" s="24"/>
      <c r="L54" s="24"/>
      <c r="M54" s="24">
        <f t="shared" si="2"/>
        <v>0</v>
      </c>
    </row>
    <row r="55" spans="1:13" ht="15" hidden="1" customHeight="1" x14ac:dyDescent="0.25">
      <c r="A55" s="266"/>
      <c r="B55" s="267"/>
      <c r="C55" s="267"/>
      <c r="D55" s="267"/>
      <c r="E55" s="22" t="s">
        <v>13</v>
      </c>
      <c r="F55" s="21"/>
      <c r="G55" s="22">
        <v>10</v>
      </c>
      <c r="H55" s="23">
        <f t="shared" si="1"/>
        <v>0</v>
      </c>
      <c r="I55" s="23"/>
      <c r="J55" s="21"/>
      <c r="K55" s="24"/>
      <c r="L55" s="24"/>
      <c r="M55" s="24">
        <f t="shared" si="2"/>
        <v>0</v>
      </c>
    </row>
    <row r="56" spans="1:13" hidden="1" x14ac:dyDescent="0.25">
      <c r="A56" s="238"/>
      <c r="B56" s="239"/>
      <c r="C56" s="239"/>
      <c r="D56" s="239"/>
      <c r="E56" s="22" t="s">
        <v>13</v>
      </c>
      <c r="F56" s="22"/>
      <c r="G56" s="22">
        <v>10</v>
      </c>
      <c r="H56" s="23">
        <f t="shared" si="1"/>
        <v>0</v>
      </c>
      <c r="I56" s="23"/>
      <c r="J56" s="22"/>
      <c r="K56" s="25"/>
      <c r="L56" s="25"/>
      <c r="M56" s="24">
        <f t="shared" si="2"/>
        <v>0</v>
      </c>
    </row>
    <row r="57" spans="1:13" hidden="1" x14ac:dyDescent="0.25">
      <c r="A57" s="238"/>
      <c r="B57" s="239"/>
      <c r="C57" s="239"/>
      <c r="D57" s="239"/>
      <c r="E57" s="22" t="s">
        <v>13</v>
      </c>
      <c r="F57" s="22"/>
      <c r="G57" s="22">
        <v>10</v>
      </c>
      <c r="H57" s="23">
        <f t="shared" si="1"/>
        <v>0</v>
      </c>
      <c r="I57" s="23"/>
      <c r="J57" s="22"/>
      <c r="K57" s="25"/>
      <c r="L57" s="25"/>
      <c r="M57" s="24">
        <f t="shared" si="2"/>
        <v>0</v>
      </c>
    </row>
    <row r="58" spans="1:13" hidden="1" x14ac:dyDescent="0.25">
      <c r="A58" s="238"/>
      <c r="B58" s="239"/>
      <c r="C58" s="239"/>
      <c r="D58" s="239"/>
      <c r="E58" s="22" t="s">
        <v>13</v>
      </c>
      <c r="F58" s="22"/>
      <c r="G58" s="22">
        <v>10</v>
      </c>
      <c r="H58" s="23">
        <f t="shared" si="1"/>
        <v>0</v>
      </c>
      <c r="I58" s="23"/>
      <c r="J58" s="22"/>
      <c r="K58" s="25"/>
      <c r="L58" s="25"/>
      <c r="M58" s="24">
        <f t="shared" si="2"/>
        <v>0</v>
      </c>
    </row>
    <row r="59" spans="1:13" hidden="1" x14ac:dyDescent="0.25">
      <c r="A59" s="238"/>
      <c r="B59" s="239"/>
      <c r="C59" s="239"/>
      <c r="D59" s="239"/>
      <c r="E59" s="22" t="s">
        <v>13</v>
      </c>
      <c r="F59" s="22"/>
      <c r="G59" s="22">
        <v>10</v>
      </c>
      <c r="H59" s="23">
        <f t="shared" si="1"/>
        <v>0</v>
      </c>
      <c r="I59" s="23"/>
      <c r="J59" s="22"/>
      <c r="K59" s="25"/>
      <c r="L59" s="25"/>
      <c r="M59" s="24">
        <f t="shared" si="2"/>
        <v>0</v>
      </c>
    </row>
    <row r="60" spans="1:13" hidden="1" x14ac:dyDescent="0.25">
      <c r="A60" s="238"/>
      <c r="B60" s="239"/>
      <c r="C60" s="239"/>
      <c r="D60" s="239"/>
      <c r="E60" s="22" t="s">
        <v>13</v>
      </c>
      <c r="F60" s="22"/>
      <c r="G60" s="22">
        <v>10</v>
      </c>
      <c r="H60" s="23">
        <f t="shared" si="1"/>
        <v>0</v>
      </c>
      <c r="I60" s="23"/>
      <c r="J60" s="22"/>
      <c r="K60" s="25"/>
      <c r="L60" s="25"/>
      <c r="M60" s="24">
        <f t="shared" si="2"/>
        <v>0</v>
      </c>
    </row>
    <row r="61" spans="1:13" hidden="1" x14ac:dyDescent="0.25">
      <c r="A61" s="238"/>
      <c r="B61" s="239"/>
      <c r="C61" s="239"/>
      <c r="D61" s="239"/>
      <c r="E61" s="22" t="s">
        <v>13</v>
      </c>
      <c r="F61" s="22"/>
      <c r="G61" s="22">
        <v>10</v>
      </c>
      <c r="H61" s="23">
        <f t="shared" si="1"/>
        <v>0</v>
      </c>
      <c r="I61" s="23"/>
      <c r="J61" s="22"/>
      <c r="K61" s="25"/>
      <c r="L61" s="25"/>
      <c r="M61" s="24">
        <f t="shared" si="2"/>
        <v>0</v>
      </c>
    </row>
    <row r="62" spans="1:13" hidden="1" x14ac:dyDescent="0.25">
      <c r="A62" s="238"/>
      <c r="B62" s="239"/>
      <c r="C62" s="239"/>
      <c r="D62" s="239"/>
      <c r="E62" s="22" t="s">
        <v>13</v>
      </c>
      <c r="F62" s="22"/>
      <c r="G62" s="22">
        <v>10</v>
      </c>
      <c r="H62" s="23">
        <f t="shared" si="1"/>
        <v>0</v>
      </c>
      <c r="I62" s="23"/>
      <c r="J62" s="22"/>
      <c r="K62" s="25"/>
      <c r="L62" s="25"/>
      <c r="M62" s="24">
        <f t="shared" si="2"/>
        <v>0</v>
      </c>
    </row>
    <row r="63" spans="1:13" hidden="1" x14ac:dyDescent="0.25">
      <c r="A63" s="238"/>
      <c r="B63" s="239"/>
      <c r="C63" s="239"/>
      <c r="D63" s="239"/>
      <c r="E63" s="22" t="s">
        <v>13</v>
      </c>
      <c r="F63" s="22"/>
      <c r="G63" s="22">
        <v>10</v>
      </c>
      <c r="H63" s="23">
        <f t="shared" si="1"/>
        <v>0</v>
      </c>
      <c r="I63" s="23"/>
      <c r="J63" s="22"/>
      <c r="K63" s="25"/>
      <c r="L63" s="25"/>
      <c r="M63" s="24">
        <f t="shared" si="2"/>
        <v>0</v>
      </c>
    </row>
    <row r="64" spans="1:13" hidden="1" x14ac:dyDescent="0.25">
      <c r="A64" s="232" t="s">
        <v>82</v>
      </c>
      <c r="B64" s="232"/>
      <c r="C64" s="232"/>
      <c r="D64" s="232"/>
      <c r="E64" s="22"/>
      <c r="F64" s="22"/>
      <c r="G64" s="22"/>
      <c r="H64" s="26"/>
      <c r="I64" s="26"/>
      <c r="J64" s="22"/>
      <c r="K64" s="25"/>
      <c r="L64" s="25"/>
      <c r="M64" s="25">
        <f t="shared" si="2"/>
        <v>0</v>
      </c>
    </row>
    <row r="65" spans="1:13" ht="9" hidden="1" customHeight="1" x14ac:dyDescent="0.25">
      <c r="A65" s="233" t="s">
        <v>14</v>
      </c>
      <c r="B65" s="234"/>
      <c r="C65" s="234"/>
      <c r="D65" s="234"/>
      <c r="E65" s="234"/>
      <c r="F65" s="234"/>
      <c r="G65" s="234"/>
      <c r="H65" s="234"/>
      <c r="I65" s="234"/>
      <c r="J65" s="234"/>
      <c r="K65" s="235"/>
      <c r="L65" s="190"/>
      <c r="M65" s="25">
        <f>M64+M48+M47+M46</f>
        <v>96840</v>
      </c>
    </row>
    <row r="66" spans="1:13" ht="28.5" customHeigh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25">
      <c r="A67" s="202" t="s">
        <v>117</v>
      </c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</row>
    <row r="68" spans="1:13" ht="73.5" customHeight="1" x14ac:dyDescent="0.25">
      <c r="A68" s="218" t="s">
        <v>17</v>
      </c>
      <c r="B68" s="218"/>
      <c r="C68" s="218"/>
      <c r="D68" s="218"/>
      <c r="E68" s="9" t="s">
        <v>106</v>
      </c>
      <c r="F68" s="29" t="s">
        <v>75</v>
      </c>
      <c r="G68" s="9" t="s">
        <v>60</v>
      </c>
      <c r="H68" s="9" t="s">
        <v>68</v>
      </c>
      <c r="I68" s="9" t="s">
        <v>86</v>
      </c>
      <c r="J68" s="9" t="s">
        <v>93</v>
      </c>
      <c r="K68" s="11"/>
      <c r="L68" s="11"/>
      <c r="M68" s="11"/>
    </row>
    <row r="69" spans="1:13" ht="18.75" customHeight="1" x14ac:dyDescent="0.25">
      <c r="A69" s="236">
        <v>1</v>
      </c>
      <c r="B69" s="237"/>
      <c r="C69" s="237"/>
      <c r="D69" s="237"/>
      <c r="E69" s="9">
        <v>2</v>
      </c>
      <c r="F69" s="9">
        <v>3</v>
      </c>
      <c r="G69" s="30">
        <v>4</v>
      </c>
      <c r="H69" s="30">
        <v>5</v>
      </c>
      <c r="I69" s="31">
        <v>6</v>
      </c>
      <c r="J69" s="31" t="s">
        <v>65</v>
      </c>
      <c r="K69" s="11"/>
      <c r="L69" s="11"/>
      <c r="M69" s="32"/>
    </row>
    <row r="70" spans="1:13" x14ac:dyDescent="0.25">
      <c r="A70" s="268" t="s">
        <v>71</v>
      </c>
      <c r="B70" s="268"/>
      <c r="C70" s="268"/>
      <c r="D70" s="268"/>
      <c r="E70" s="34">
        <v>5</v>
      </c>
      <c r="F70" s="33">
        <v>12</v>
      </c>
      <c r="G70" s="47">
        <v>687.02</v>
      </c>
      <c r="H70" s="47">
        <f>41221.2*0.055</f>
        <v>2267.1659999999997</v>
      </c>
      <c r="I70" s="65">
        <v>38</v>
      </c>
      <c r="J70" s="47">
        <f>H70/I70</f>
        <v>59.662263157894728</v>
      </c>
      <c r="K70" s="11"/>
      <c r="L70" s="11"/>
      <c r="M70" s="19"/>
    </row>
    <row r="71" spans="1:13" ht="15.75" thickBot="1" x14ac:dyDescent="0.3">
      <c r="A71" s="268" t="s">
        <v>83</v>
      </c>
      <c r="B71" s="268"/>
      <c r="C71" s="268"/>
      <c r="D71" s="268"/>
      <c r="E71" s="34">
        <v>1</v>
      </c>
      <c r="F71" s="34">
        <v>12</v>
      </c>
      <c r="G71" s="47">
        <v>3743.23</v>
      </c>
      <c r="H71" s="47">
        <f>44918.8*0.055</f>
        <v>2470.5340000000001</v>
      </c>
      <c r="I71" s="65">
        <v>38</v>
      </c>
      <c r="J71" s="47">
        <f>H71/I71</f>
        <v>65.014052631578949</v>
      </c>
      <c r="K71" s="11"/>
      <c r="L71" s="11"/>
      <c r="M71" s="11"/>
    </row>
    <row r="72" spans="1:13" ht="15.75" thickBot="1" x14ac:dyDescent="0.3">
      <c r="A72" s="269" t="s">
        <v>29</v>
      </c>
      <c r="B72" s="270"/>
      <c r="C72" s="270"/>
      <c r="D72" s="270"/>
      <c r="E72" s="75"/>
      <c r="F72" s="75"/>
      <c r="G72" s="75"/>
      <c r="H72" s="92">
        <f>SUM(H70:H71)</f>
        <v>4737.7</v>
      </c>
      <c r="I72" s="68"/>
      <c r="J72" s="76">
        <f>SUM(J70:J71)</f>
        <v>124.67631578947368</v>
      </c>
      <c r="K72" s="11"/>
      <c r="L72" s="11"/>
      <c r="M72" s="11"/>
    </row>
    <row r="73" spans="1:13" ht="20.25" customHeight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x14ac:dyDescent="0.25">
      <c r="A74" s="202" t="s">
        <v>16</v>
      </c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</row>
    <row r="75" spans="1:13" ht="73.5" customHeight="1" x14ac:dyDescent="0.25">
      <c r="A75" s="218" t="s">
        <v>17</v>
      </c>
      <c r="B75" s="218"/>
      <c r="C75" s="218"/>
      <c r="D75" s="218"/>
      <c r="E75" s="9" t="s">
        <v>7</v>
      </c>
      <c r="F75" s="29" t="s">
        <v>75</v>
      </c>
      <c r="G75" s="9" t="s">
        <v>60</v>
      </c>
      <c r="H75" s="9" t="s">
        <v>68</v>
      </c>
      <c r="I75" s="9" t="s">
        <v>86</v>
      </c>
      <c r="J75" s="9" t="s">
        <v>93</v>
      </c>
      <c r="K75" s="11"/>
      <c r="L75" s="11"/>
      <c r="M75" s="11"/>
    </row>
    <row r="76" spans="1:13" ht="18.75" customHeight="1" x14ac:dyDescent="0.25">
      <c r="A76" s="236">
        <v>1</v>
      </c>
      <c r="B76" s="237"/>
      <c r="C76" s="237"/>
      <c r="D76" s="237"/>
      <c r="E76" s="9">
        <v>2</v>
      </c>
      <c r="F76" s="9">
        <v>3</v>
      </c>
      <c r="G76" s="30">
        <v>4</v>
      </c>
      <c r="H76" s="30">
        <v>5</v>
      </c>
      <c r="I76" s="31">
        <v>6</v>
      </c>
      <c r="J76" s="31" t="s">
        <v>65</v>
      </c>
      <c r="K76" s="11"/>
      <c r="L76" s="11"/>
      <c r="M76" s="32"/>
    </row>
    <row r="77" spans="1:13" x14ac:dyDescent="0.25">
      <c r="A77" s="268" t="s">
        <v>23</v>
      </c>
      <c r="B77" s="268"/>
      <c r="C77" s="268"/>
      <c r="D77" s="268"/>
      <c r="E77" s="34" t="s">
        <v>26</v>
      </c>
      <c r="F77" s="33">
        <v>123860</v>
      </c>
      <c r="G77" s="47">
        <v>6.62</v>
      </c>
      <c r="H77" s="47">
        <f>820000*0.055</f>
        <v>45100</v>
      </c>
      <c r="I77" s="65">
        <v>38</v>
      </c>
      <c r="J77" s="47">
        <f>H77/I77</f>
        <v>1186.8421052631579</v>
      </c>
      <c r="K77" s="11"/>
      <c r="L77" s="11"/>
      <c r="M77" s="19"/>
    </row>
    <row r="78" spans="1:13" x14ac:dyDescent="0.25">
      <c r="A78" s="268" t="s">
        <v>24</v>
      </c>
      <c r="B78" s="268"/>
      <c r="C78" s="268"/>
      <c r="D78" s="268"/>
      <c r="E78" s="34" t="s">
        <v>27</v>
      </c>
      <c r="F78" s="34">
        <v>660</v>
      </c>
      <c r="G78" s="47">
        <v>1618.59</v>
      </c>
      <c r="H78" s="47">
        <f>1259700*0.055</f>
        <v>69283.5</v>
      </c>
      <c r="I78" s="65">
        <v>38</v>
      </c>
      <c r="J78" s="47">
        <f>H78/I78</f>
        <v>1823.25</v>
      </c>
      <c r="K78" s="11"/>
      <c r="L78" s="11"/>
      <c r="M78" s="11"/>
    </row>
    <row r="79" spans="1:13" x14ac:dyDescent="0.25">
      <c r="A79" s="268" t="s">
        <v>69</v>
      </c>
      <c r="B79" s="268"/>
      <c r="C79" s="268"/>
      <c r="D79" s="268"/>
      <c r="E79" s="34" t="s">
        <v>28</v>
      </c>
      <c r="F79" s="34">
        <v>2600</v>
      </c>
      <c r="G79" s="47">
        <v>39.22</v>
      </c>
      <c r="H79" s="47">
        <f>150000*0.055</f>
        <v>8250</v>
      </c>
      <c r="I79" s="65">
        <v>38</v>
      </c>
      <c r="J79" s="47">
        <f>H79/I79</f>
        <v>217.10526315789474</v>
      </c>
      <c r="K79" s="11"/>
      <c r="L79" s="11"/>
      <c r="M79" s="11"/>
    </row>
    <row r="80" spans="1:13" ht="15.75" thickBot="1" x14ac:dyDescent="0.3">
      <c r="A80" s="272" t="s">
        <v>25</v>
      </c>
      <c r="B80" s="272"/>
      <c r="C80" s="272"/>
      <c r="D80" s="272"/>
      <c r="E80" s="74" t="s">
        <v>28</v>
      </c>
      <c r="F80" s="34">
        <v>2800</v>
      </c>
      <c r="G80" s="67">
        <v>53.32</v>
      </c>
      <c r="H80" s="67">
        <f>165500*0.055</f>
        <v>9102.5</v>
      </c>
      <c r="I80" s="65">
        <v>38</v>
      </c>
      <c r="J80" s="67">
        <f>H80/I80</f>
        <v>239.53947368421052</v>
      </c>
      <c r="K80" s="11"/>
      <c r="L80" s="11"/>
      <c r="M80" s="11"/>
    </row>
    <row r="81" spans="1:13" ht="15.75" thickBot="1" x14ac:dyDescent="0.3">
      <c r="A81" s="269" t="s">
        <v>29</v>
      </c>
      <c r="B81" s="270"/>
      <c r="C81" s="270"/>
      <c r="D81" s="270"/>
      <c r="E81" s="75"/>
      <c r="F81" s="75"/>
      <c r="G81" s="75"/>
      <c r="H81" s="92">
        <f>SUM(H77:H80)</f>
        <v>131736</v>
      </c>
      <c r="I81" s="68"/>
      <c r="J81" s="76">
        <f>SUM(J77:J80)</f>
        <v>3466.7368421052629</v>
      </c>
      <c r="K81" s="11"/>
      <c r="L81" s="11"/>
      <c r="M81" s="11"/>
    </row>
    <row r="82" spans="1:13" ht="10.5" customHeight="1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11"/>
      <c r="L82" s="11"/>
      <c r="M82" s="11"/>
    </row>
    <row r="83" spans="1:13" x14ac:dyDescent="0.25">
      <c r="A83" s="202" t="s">
        <v>30</v>
      </c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</row>
    <row r="84" spans="1:13" ht="60" x14ac:dyDescent="0.25">
      <c r="A84" s="271" t="s">
        <v>32</v>
      </c>
      <c r="B84" s="271"/>
      <c r="C84" s="271"/>
      <c r="D84" s="271"/>
      <c r="E84" s="30" t="s">
        <v>7</v>
      </c>
      <c r="F84" s="30" t="s">
        <v>18</v>
      </c>
      <c r="G84" s="9" t="s">
        <v>68</v>
      </c>
      <c r="H84" s="9" t="s">
        <v>103</v>
      </c>
      <c r="I84" s="9" t="s">
        <v>93</v>
      </c>
      <c r="J84" s="11"/>
      <c r="K84" s="11"/>
      <c r="L84" s="11"/>
    </row>
    <row r="85" spans="1:13" ht="15" customHeight="1" x14ac:dyDescent="0.25">
      <c r="A85" s="263" t="s">
        <v>155</v>
      </c>
      <c r="B85" s="264"/>
      <c r="C85" s="264"/>
      <c r="D85" s="265"/>
      <c r="E85" s="71" t="s">
        <v>31</v>
      </c>
      <c r="F85" s="30">
        <v>1</v>
      </c>
      <c r="G85" s="9">
        <f>38400*0.055</f>
        <v>2112</v>
      </c>
      <c r="H85" s="65">
        <v>38</v>
      </c>
      <c r="I85" s="139">
        <f>G85/H85</f>
        <v>55.578947368421055</v>
      </c>
      <c r="J85" s="11"/>
      <c r="K85" s="11"/>
      <c r="L85" s="11"/>
    </row>
    <row r="86" spans="1:13" ht="15" customHeight="1" x14ac:dyDescent="0.25">
      <c r="A86" s="263" t="s">
        <v>156</v>
      </c>
      <c r="B86" s="264"/>
      <c r="C86" s="264"/>
      <c r="D86" s="265"/>
      <c r="E86" s="71" t="s">
        <v>31</v>
      </c>
      <c r="F86" s="71">
        <v>1</v>
      </c>
      <c r="G86" s="104">
        <f>160000*0.055</f>
        <v>8800</v>
      </c>
      <c r="H86" s="65">
        <v>38</v>
      </c>
      <c r="I86" s="139">
        <f>G86/H86</f>
        <v>231.57894736842104</v>
      </c>
      <c r="J86" s="11"/>
      <c r="K86" s="11"/>
      <c r="L86" s="11"/>
    </row>
    <row r="87" spans="1:13" ht="15" customHeight="1" x14ac:dyDescent="0.25">
      <c r="A87" s="263" t="s">
        <v>157</v>
      </c>
      <c r="B87" s="264"/>
      <c r="C87" s="264"/>
      <c r="D87" s="265"/>
      <c r="E87" s="71" t="s">
        <v>31</v>
      </c>
      <c r="F87" s="71">
        <v>1</v>
      </c>
      <c r="G87" s="104">
        <f>99000*0.055</f>
        <v>5445</v>
      </c>
      <c r="H87" s="65">
        <v>38</v>
      </c>
      <c r="I87" s="139">
        <f t="shared" ref="I87:I95" si="3">G87/H87</f>
        <v>143.28947368421052</v>
      </c>
      <c r="J87" s="11"/>
      <c r="K87" s="11"/>
      <c r="L87" s="11"/>
    </row>
    <row r="88" spans="1:13" ht="15" customHeight="1" x14ac:dyDescent="0.25">
      <c r="A88" s="263" t="s">
        <v>158</v>
      </c>
      <c r="B88" s="264"/>
      <c r="C88" s="264"/>
      <c r="D88" s="265"/>
      <c r="E88" s="71" t="s">
        <v>31</v>
      </c>
      <c r="F88" s="71">
        <v>1</v>
      </c>
      <c r="G88" s="104">
        <f>9600*0.055</f>
        <v>528</v>
      </c>
      <c r="H88" s="65">
        <v>38</v>
      </c>
      <c r="I88" s="139">
        <f t="shared" si="3"/>
        <v>13.894736842105264</v>
      </c>
      <c r="J88" s="11"/>
      <c r="K88" s="11"/>
      <c r="L88" s="11"/>
    </row>
    <row r="89" spans="1:13" ht="15" customHeight="1" x14ac:dyDescent="0.25">
      <c r="A89" s="263" t="s">
        <v>102</v>
      </c>
      <c r="B89" s="264"/>
      <c r="C89" s="264"/>
      <c r="D89" s="265"/>
      <c r="E89" s="71" t="s">
        <v>31</v>
      </c>
      <c r="F89" s="71">
        <v>1</v>
      </c>
      <c r="G89" s="104">
        <f>3300*0.055</f>
        <v>181.5</v>
      </c>
      <c r="H89" s="65">
        <v>38</v>
      </c>
      <c r="I89" s="139">
        <f t="shared" si="3"/>
        <v>4.7763157894736841</v>
      </c>
      <c r="J89" s="11"/>
      <c r="K89" s="11"/>
      <c r="L89" s="11"/>
    </row>
    <row r="90" spans="1:13" ht="15" customHeight="1" x14ac:dyDescent="0.25">
      <c r="A90" s="210" t="s">
        <v>159</v>
      </c>
      <c r="B90" s="211"/>
      <c r="C90" s="211"/>
      <c r="D90" s="219"/>
      <c r="E90" s="71" t="s">
        <v>31</v>
      </c>
      <c r="F90" s="71">
        <v>1</v>
      </c>
      <c r="G90" s="47">
        <f>32500*0.055</f>
        <v>1787.5</v>
      </c>
      <c r="H90" s="65">
        <v>38</v>
      </c>
      <c r="I90" s="139">
        <f t="shared" si="3"/>
        <v>47.039473684210527</v>
      </c>
      <c r="J90" s="11"/>
      <c r="K90" s="11"/>
      <c r="L90" s="11"/>
    </row>
    <row r="91" spans="1:13" ht="28.5" customHeight="1" x14ac:dyDescent="0.25">
      <c r="A91" s="263" t="s">
        <v>160</v>
      </c>
      <c r="B91" s="264"/>
      <c r="C91" s="264"/>
      <c r="D91" s="265"/>
      <c r="E91" s="71" t="s">
        <v>31</v>
      </c>
      <c r="F91" s="71">
        <v>1</v>
      </c>
      <c r="G91" s="89">
        <f>51600*0.055</f>
        <v>2838</v>
      </c>
      <c r="H91" s="65">
        <v>38</v>
      </c>
      <c r="I91" s="139">
        <f t="shared" si="3"/>
        <v>74.684210526315795</v>
      </c>
      <c r="J91" s="11"/>
      <c r="K91" s="18"/>
      <c r="L91" s="18"/>
    </row>
    <row r="92" spans="1:13" ht="16.5" customHeight="1" x14ac:dyDescent="0.25">
      <c r="A92" s="102" t="s">
        <v>161</v>
      </c>
      <c r="B92" s="103"/>
      <c r="C92" s="103"/>
      <c r="D92" s="103"/>
      <c r="E92" s="71" t="s">
        <v>31</v>
      </c>
      <c r="F92" s="71">
        <v>1</v>
      </c>
      <c r="G92" s="47">
        <f>3200*0.055</f>
        <v>176</v>
      </c>
      <c r="H92" s="65">
        <v>38</v>
      </c>
      <c r="I92" s="139">
        <f t="shared" si="3"/>
        <v>4.6315789473684212</v>
      </c>
      <c r="J92" s="11"/>
      <c r="K92" s="11"/>
      <c r="L92" s="11"/>
    </row>
    <row r="93" spans="1:13" ht="15" customHeight="1" x14ac:dyDescent="0.25">
      <c r="A93" s="102" t="s">
        <v>162</v>
      </c>
      <c r="B93" s="103"/>
      <c r="C93" s="103"/>
      <c r="D93" s="103"/>
      <c r="E93" s="71" t="s">
        <v>31</v>
      </c>
      <c r="F93" s="71">
        <v>1</v>
      </c>
      <c r="G93" s="47">
        <f>30000*0.055</f>
        <v>1650</v>
      </c>
      <c r="H93" s="65">
        <v>38</v>
      </c>
      <c r="I93" s="139">
        <f t="shared" si="3"/>
        <v>43.421052631578945</v>
      </c>
      <c r="J93" s="11"/>
      <c r="K93" s="11"/>
      <c r="L93" s="11"/>
    </row>
    <row r="94" spans="1:13" ht="15" customHeight="1" x14ac:dyDescent="0.25">
      <c r="A94" s="210" t="s">
        <v>163</v>
      </c>
      <c r="B94" s="211"/>
      <c r="C94" s="211"/>
      <c r="D94" s="219"/>
      <c r="E94" s="71" t="s">
        <v>31</v>
      </c>
      <c r="F94" s="71">
        <v>1</v>
      </c>
      <c r="G94" s="67">
        <f>24000*0.055</f>
        <v>1320</v>
      </c>
      <c r="H94" s="65">
        <v>38</v>
      </c>
      <c r="I94" s="139">
        <f t="shared" si="3"/>
        <v>34.736842105263158</v>
      </c>
      <c r="J94" s="11"/>
      <c r="K94" s="11"/>
      <c r="L94" s="11"/>
    </row>
    <row r="95" spans="1:13" s="1" customFormat="1" ht="15" customHeight="1" thickBot="1" x14ac:dyDescent="0.3">
      <c r="A95" s="210" t="s">
        <v>164</v>
      </c>
      <c r="B95" s="211"/>
      <c r="C95" s="211"/>
      <c r="D95" s="219"/>
      <c r="E95" s="71" t="s">
        <v>31</v>
      </c>
      <c r="F95" s="71">
        <v>1</v>
      </c>
      <c r="G95" s="67">
        <f>25000*0.055</f>
        <v>1375</v>
      </c>
      <c r="H95" s="65">
        <v>38</v>
      </c>
      <c r="I95" s="139">
        <f t="shared" si="3"/>
        <v>36.184210526315788</v>
      </c>
      <c r="J95" s="13"/>
      <c r="K95" s="13"/>
      <c r="L95" s="13"/>
    </row>
    <row r="96" spans="1:13" ht="15" customHeight="1" thickBot="1" x14ac:dyDescent="0.3">
      <c r="A96" s="149" t="s">
        <v>74</v>
      </c>
      <c r="B96" s="150"/>
      <c r="C96" s="150"/>
      <c r="D96" s="150"/>
      <c r="E96" s="150"/>
      <c r="F96" s="150"/>
      <c r="G96" s="93">
        <f>SUM(G85:G95)</f>
        <v>26213</v>
      </c>
      <c r="I96" s="39">
        <f>SUM(I85:I95)</f>
        <v>689.81578947368428</v>
      </c>
      <c r="K96" s="11"/>
      <c r="L96" s="11"/>
      <c r="M96" s="11"/>
    </row>
    <row r="97" spans="1:13" ht="21.75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ht="15" customHeight="1" x14ac:dyDescent="0.25">
      <c r="A98" s="202" t="s">
        <v>70</v>
      </c>
      <c r="B98" s="202"/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</row>
    <row r="99" spans="1:13" ht="60" x14ac:dyDescent="0.25">
      <c r="A99" s="193" t="s">
        <v>32</v>
      </c>
      <c r="B99" s="194"/>
      <c r="C99" s="194"/>
      <c r="D99" s="194"/>
      <c r="E99" s="30" t="s">
        <v>7</v>
      </c>
      <c r="F99" s="9" t="s">
        <v>77</v>
      </c>
      <c r="G99" s="9" t="s">
        <v>68</v>
      </c>
      <c r="H99" s="9" t="s">
        <v>103</v>
      </c>
      <c r="I99" s="9" t="s">
        <v>93</v>
      </c>
      <c r="J99" s="11"/>
      <c r="K99" s="11"/>
      <c r="L99" s="11"/>
      <c r="M99" s="11"/>
    </row>
    <row r="100" spans="1:13" ht="15" customHeight="1" x14ac:dyDescent="0.25">
      <c r="A100" s="196" t="s">
        <v>166</v>
      </c>
      <c r="B100" s="197"/>
      <c r="C100" s="197"/>
      <c r="D100" s="197"/>
      <c r="E100" s="71" t="s">
        <v>31</v>
      </c>
      <c r="F100" s="71">
        <v>1</v>
      </c>
      <c r="G100" s="104">
        <f>9400*0.055</f>
        <v>517</v>
      </c>
      <c r="H100" s="65">
        <v>38</v>
      </c>
      <c r="I100" s="140">
        <f>G100/H100</f>
        <v>13.605263157894736</v>
      </c>
      <c r="J100" s="11"/>
      <c r="K100" s="11"/>
      <c r="L100" s="11"/>
      <c r="M100" s="11"/>
    </row>
    <row r="101" spans="1:13" ht="15" customHeight="1" x14ac:dyDescent="0.25">
      <c r="A101" s="196" t="s">
        <v>167</v>
      </c>
      <c r="B101" s="197"/>
      <c r="C101" s="197"/>
      <c r="D101" s="197"/>
      <c r="E101" s="71" t="s">
        <v>31</v>
      </c>
      <c r="F101" s="71">
        <v>1</v>
      </c>
      <c r="G101" s="104">
        <f>34580*0.055</f>
        <v>1901.9</v>
      </c>
      <c r="H101" s="65">
        <v>38</v>
      </c>
      <c r="I101" s="140">
        <f t="shared" ref="I101:I106" si="4">G101/H101</f>
        <v>50.050000000000004</v>
      </c>
      <c r="J101" s="11"/>
      <c r="K101" s="11"/>
      <c r="L101" s="11"/>
      <c r="M101" s="11"/>
    </row>
    <row r="102" spans="1:13" ht="15" customHeight="1" x14ac:dyDescent="0.25">
      <c r="A102" s="196" t="s">
        <v>168</v>
      </c>
      <c r="B102" s="197"/>
      <c r="C102" s="197"/>
      <c r="D102" s="197"/>
      <c r="E102" s="71" t="s">
        <v>31</v>
      </c>
      <c r="F102" s="71">
        <v>1</v>
      </c>
      <c r="G102" s="104">
        <f>110960*0.055</f>
        <v>6102.8</v>
      </c>
      <c r="H102" s="65">
        <v>38</v>
      </c>
      <c r="I102" s="140">
        <f t="shared" si="4"/>
        <v>160.6</v>
      </c>
      <c r="J102" s="11"/>
      <c r="K102" s="11"/>
      <c r="L102" s="11"/>
      <c r="M102" s="11"/>
    </row>
    <row r="103" spans="1:13" ht="15" customHeight="1" x14ac:dyDescent="0.25">
      <c r="A103" s="196" t="s">
        <v>169</v>
      </c>
      <c r="B103" s="197"/>
      <c r="C103" s="197"/>
      <c r="D103" s="197"/>
      <c r="E103" s="71" t="s">
        <v>31</v>
      </c>
      <c r="F103" s="71">
        <v>1</v>
      </c>
      <c r="G103" s="104">
        <f>10120*0.055</f>
        <v>556.6</v>
      </c>
      <c r="H103" s="65">
        <v>38</v>
      </c>
      <c r="I103" s="140">
        <f t="shared" si="4"/>
        <v>14.647368421052633</v>
      </c>
      <c r="J103" s="11"/>
      <c r="K103" s="11"/>
      <c r="L103" s="11"/>
      <c r="M103" s="11"/>
    </row>
    <row r="104" spans="1:13" ht="15" customHeight="1" x14ac:dyDescent="0.25">
      <c r="A104" s="196" t="s">
        <v>170</v>
      </c>
      <c r="B104" s="197"/>
      <c r="C104" s="197"/>
      <c r="D104" s="197"/>
      <c r="E104" s="71" t="s">
        <v>31</v>
      </c>
      <c r="F104" s="71">
        <v>1</v>
      </c>
      <c r="G104" s="104">
        <f>113400*0.055</f>
        <v>6237</v>
      </c>
      <c r="H104" s="65">
        <v>38</v>
      </c>
      <c r="I104" s="140">
        <f t="shared" si="4"/>
        <v>164.13157894736841</v>
      </c>
      <c r="J104" s="11"/>
      <c r="K104" s="11"/>
      <c r="L104" s="11"/>
      <c r="M104" s="11"/>
    </row>
    <row r="105" spans="1:13" ht="18" customHeight="1" x14ac:dyDescent="0.25">
      <c r="A105" s="196" t="s">
        <v>171</v>
      </c>
      <c r="B105" s="197"/>
      <c r="C105" s="197"/>
      <c r="D105" s="197"/>
      <c r="E105" s="71" t="s">
        <v>31</v>
      </c>
      <c r="F105" s="71">
        <v>1</v>
      </c>
      <c r="G105" s="89">
        <f>15000*0.055</f>
        <v>825</v>
      </c>
      <c r="H105" s="65">
        <v>38</v>
      </c>
      <c r="I105" s="140">
        <f t="shared" si="4"/>
        <v>21.710526315789473</v>
      </c>
      <c r="J105" s="11"/>
      <c r="K105" s="11"/>
      <c r="L105" s="11"/>
      <c r="M105" s="11"/>
    </row>
    <row r="106" spans="1:13" ht="28.5" customHeight="1" thickBot="1" x14ac:dyDescent="0.3">
      <c r="A106" s="196" t="s">
        <v>172</v>
      </c>
      <c r="B106" s="197"/>
      <c r="C106" s="197"/>
      <c r="D106" s="197"/>
      <c r="E106" s="71" t="s">
        <v>31</v>
      </c>
      <c r="F106" s="71">
        <v>1</v>
      </c>
      <c r="G106" s="89">
        <f>14400*0.055</f>
        <v>792</v>
      </c>
      <c r="H106" s="65">
        <v>38</v>
      </c>
      <c r="I106" s="140">
        <f t="shared" si="4"/>
        <v>20.842105263157894</v>
      </c>
      <c r="J106" s="11"/>
      <c r="K106" s="11"/>
      <c r="L106" s="11"/>
      <c r="M106" s="11"/>
    </row>
    <row r="107" spans="1:13" ht="15.75" hidden="1" customHeight="1" thickBot="1" x14ac:dyDescent="0.3">
      <c r="F107" s="95"/>
      <c r="H107" s="65">
        <v>5231</v>
      </c>
      <c r="I107" s="96"/>
      <c r="J107" s="11"/>
      <c r="K107" s="11"/>
      <c r="L107" s="11"/>
      <c r="M107" s="11"/>
    </row>
    <row r="108" spans="1:13" ht="14.25" hidden="1" customHeight="1" x14ac:dyDescent="0.25">
      <c r="F108" s="29"/>
      <c r="G108" s="80"/>
      <c r="H108" s="65"/>
      <c r="I108" s="72"/>
      <c r="J108" s="11"/>
      <c r="K108" s="11"/>
      <c r="L108" s="11"/>
      <c r="M108" s="11"/>
    </row>
    <row r="109" spans="1:13" ht="16.5" hidden="1" customHeight="1" x14ac:dyDescent="0.25">
      <c r="A109" s="196"/>
      <c r="B109" s="197"/>
      <c r="C109" s="197"/>
      <c r="D109" s="197"/>
      <c r="E109" s="148"/>
      <c r="F109" s="29"/>
      <c r="G109" s="78"/>
      <c r="H109" s="65">
        <v>3260</v>
      </c>
      <c r="I109" s="72">
        <f t="shared" ref="I109:I110" si="5">G109/H109</f>
        <v>0</v>
      </c>
      <c r="J109" s="11"/>
      <c r="K109" s="11"/>
      <c r="L109" s="11"/>
      <c r="M109" s="11"/>
    </row>
    <row r="110" spans="1:13" ht="17.25" hidden="1" customHeight="1" x14ac:dyDescent="0.25">
      <c r="A110" s="196"/>
      <c r="B110" s="197"/>
      <c r="C110" s="197"/>
      <c r="D110" s="197"/>
      <c r="E110" s="148"/>
      <c r="F110" s="79"/>
      <c r="G110" s="47"/>
      <c r="H110" s="65">
        <v>3260</v>
      </c>
      <c r="I110" s="72">
        <f t="shared" si="5"/>
        <v>0</v>
      </c>
      <c r="J110" s="11"/>
      <c r="K110" s="11"/>
      <c r="L110" s="11"/>
      <c r="M110" s="11"/>
    </row>
    <row r="111" spans="1:13" ht="20.25" customHeight="1" thickBot="1" x14ac:dyDescent="0.3">
      <c r="A111" s="215" t="s">
        <v>73</v>
      </c>
      <c r="B111" s="216"/>
      <c r="C111" s="216"/>
      <c r="D111" s="216"/>
      <c r="E111" s="126"/>
      <c r="F111" s="70"/>
      <c r="G111" s="92">
        <f>SUM(G100:G110)</f>
        <v>16932.300000000003</v>
      </c>
      <c r="H111" s="66"/>
      <c r="I111" s="39">
        <f>SUM(I100:I110)</f>
        <v>445.58684210526314</v>
      </c>
      <c r="J111" s="11"/>
      <c r="K111" s="41"/>
      <c r="L111" s="41"/>
      <c r="M111" s="11"/>
    </row>
    <row r="112" spans="1:13" s="113" customFormat="1" ht="15" customHeight="1" x14ac:dyDescent="0.25">
      <c r="A112" s="105"/>
      <c r="B112" s="106"/>
      <c r="C112" s="106"/>
      <c r="D112" s="106"/>
      <c r="E112" s="107"/>
      <c r="F112" s="108"/>
      <c r="G112" s="109"/>
      <c r="H112" s="110"/>
      <c r="I112" s="111"/>
      <c r="J112" s="112"/>
      <c r="K112" s="111"/>
      <c r="L112" s="111"/>
    </row>
    <row r="113" spans="1:13" ht="15" customHeight="1" x14ac:dyDescent="0.25">
      <c r="A113" s="202" t="s">
        <v>122</v>
      </c>
      <c r="B113" s="202"/>
      <c r="C113" s="202"/>
      <c r="D113" s="202"/>
      <c r="E113" s="202"/>
      <c r="F113" s="202"/>
      <c r="G113" s="202"/>
      <c r="H113" s="202"/>
      <c r="I113" s="202"/>
      <c r="J113" s="202"/>
      <c r="K113" s="202"/>
      <c r="L113" s="202"/>
      <c r="M113" s="202"/>
    </row>
    <row r="114" spans="1:13" ht="45" x14ac:dyDescent="0.25">
      <c r="A114" s="193" t="s">
        <v>32</v>
      </c>
      <c r="B114" s="194"/>
      <c r="C114" s="194"/>
      <c r="D114" s="194"/>
      <c r="E114" s="9" t="s">
        <v>104</v>
      </c>
      <c r="F114" s="9" t="s">
        <v>68</v>
      </c>
      <c r="G114" s="9" t="s">
        <v>103</v>
      </c>
      <c r="H114" s="9" t="s">
        <v>93</v>
      </c>
      <c r="I114" s="11"/>
      <c r="J114" s="11"/>
      <c r="K114" s="11"/>
      <c r="L114" s="11"/>
    </row>
    <row r="115" spans="1:13" ht="15.75" thickBot="1" x14ac:dyDescent="0.3">
      <c r="A115" s="196" t="s">
        <v>107</v>
      </c>
      <c r="B115" s="197"/>
      <c r="C115" s="197"/>
      <c r="D115" s="197"/>
      <c r="E115" s="71" t="s">
        <v>31</v>
      </c>
      <c r="F115" s="104">
        <f>(10000)*0.055</f>
        <v>550</v>
      </c>
      <c r="G115" s="65">
        <v>38</v>
      </c>
      <c r="H115" s="140">
        <f t="shared" ref="H115" si="6">F115/G115</f>
        <v>14.473684210526315</v>
      </c>
      <c r="I115" s="11"/>
      <c r="J115" s="11"/>
      <c r="K115" s="11"/>
      <c r="L115" s="11"/>
    </row>
    <row r="116" spans="1:13" ht="15.75" hidden="1" customHeight="1" x14ac:dyDescent="0.25">
      <c r="E116" s="95"/>
      <c r="G116" s="9">
        <v>189</v>
      </c>
      <c r="H116" s="96"/>
      <c r="I116" s="11"/>
      <c r="J116" s="11"/>
      <c r="K116" s="11"/>
      <c r="L116" s="11"/>
    </row>
    <row r="117" spans="1:13" ht="14.25" hidden="1" customHeight="1" x14ac:dyDescent="0.25">
      <c r="E117" s="29"/>
      <c r="F117" s="80"/>
      <c r="G117" s="9">
        <v>189</v>
      </c>
      <c r="H117" s="72"/>
      <c r="I117" s="11"/>
      <c r="J117" s="11"/>
      <c r="K117" s="11"/>
      <c r="L117" s="11"/>
    </row>
    <row r="118" spans="1:13" ht="16.5" hidden="1" customHeight="1" thickBot="1" x14ac:dyDescent="0.3">
      <c r="A118" s="196"/>
      <c r="B118" s="197"/>
      <c r="C118" s="197"/>
      <c r="D118" s="197"/>
      <c r="E118" s="29"/>
      <c r="F118" s="78"/>
      <c r="G118" s="9">
        <v>189</v>
      </c>
      <c r="H118" s="72">
        <f t="shared" ref="H118:H119" si="7">F118/G118</f>
        <v>0</v>
      </c>
      <c r="I118" s="11"/>
      <c r="J118" s="11"/>
      <c r="K118" s="11"/>
      <c r="L118" s="11"/>
    </row>
    <row r="119" spans="1:13" ht="17.25" hidden="1" customHeight="1" thickBot="1" x14ac:dyDescent="0.3">
      <c r="A119" s="196"/>
      <c r="B119" s="197"/>
      <c r="C119" s="197"/>
      <c r="D119" s="197"/>
      <c r="E119" s="79"/>
      <c r="F119" s="47"/>
      <c r="G119" s="9">
        <v>189</v>
      </c>
      <c r="H119" s="72">
        <f t="shared" si="7"/>
        <v>0</v>
      </c>
      <c r="I119" s="11"/>
      <c r="J119" s="11"/>
      <c r="K119" s="11"/>
      <c r="L119" s="11"/>
    </row>
    <row r="120" spans="1:13" ht="20.25" customHeight="1" thickBot="1" x14ac:dyDescent="0.3">
      <c r="A120" s="215" t="s">
        <v>73</v>
      </c>
      <c r="B120" s="216"/>
      <c r="C120" s="216"/>
      <c r="D120" s="216"/>
      <c r="E120" s="70"/>
      <c r="F120" s="92">
        <f>SUM(F115:F119)</f>
        <v>550</v>
      </c>
      <c r="G120" s="66"/>
      <c r="H120" s="73">
        <f>SUM(H115:H115)</f>
        <v>14.473684210526315</v>
      </c>
      <c r="I120" s="11"/>
      <c r="J120" s="41"/>
      <c r="K120" s="11"/>
      <c r="L120" s="11"/>
    </row>
    <row r="121" spans="1:13" ht="14.25" customHeight="1" x14ac:dyDescent="0.25">
      <c r="A121" s="116"/>
      <c r="B121" s="116"/>
      <c r="C121" s="116"/>
      <c r="D121" s="116"/>
      <c r="E121" s="117"/>
      <c r="F121" s="118"/>
      <c r="G121" s="119"/>
      <c r="H121" s="118"/>
      <c r="I121" s="120"/>
      <c r="J121" s="90"/>
      <c r="K121" s="121"/>
      <c r="L121" s="121"/>
      <c r="M121" s="69"/>
    </row>
    <row r="122" spans="1:13" ht="15.75" x14ac:dyDescent="0.25">
      <c r="A122" s="217" t="s">
        <v>105</v>
      </c>
      <c r="B122" s="217"/>
      <c r="C122" s="217"/>
      <c r="D122" s="217"/>
      <c r="E122" s="217"/>
      <c r="F122" s="217"/>
      <c r="G122" s="217"/>
      <c r="H122" s="217"/>
      <c r="I122" s="217"/>
      <c r="J122" s="217"/>
      <c r="K122" s="217"/>
      <c r="L122" s="217"/>
      <c r="M122" s="217"/>
    </row>
    <row r="123" spans="1:13" ht="75" x14ac:dyDescent="0.25">
      <c r="A123" s="218" t="s">
        <v>3</v>
      </c>
      <c r="B123" s="218"/>
      <c r="C123" s="218"/>
      <c r="D123" s="218"/>
      <c r="E123" s="9" t="s">
        <v>4</v>
      </c>
      <c r="F123" s="10" t="s">
        <v>0</v>
      </c>
      <c r="G123" s="42" t="s">
        <v>72</v>
      </c>
      <c r="H123" s="42" t="s">
        <v>63</v>
      </c>
      <c r="I123" s="9" t="s">
        <v>86</v>
      </c>
      <c r="J123" s="9" t="s">
        <v>93</v>
      </c>
      <c r="K123" s="9" t="s">
        <v>66</v>
      </c>
      <c r="L123" s="32"/>
      <c r="M123" s="32"/>
    </row>
    <row r="124" spans="1:13" x14ac:dyDescent="0.25">
      <c r="A124" s="227">
        <v>1</v>
      </c>
      <c r="B124" s="228"/>
      <c r="C124" s="228"/>
      <c r="D124" s="228"/>
      <c r="E124" s="30">
        <v>2</v>
      </c>
      <c r="F124" s="12">
        <v>3</v>
      </c>
      <c r="G124" s="30">
        <v>4</v>
      </c>
      <c r="H124" s="30" t="s">
        <v>165</v>
      </c>
      <c r="I124" s="31">
        <v>6</v>
      </c>
      <c r="J124" s="45">
        <v>7</v>
      </c>
      <c r="K124" s="46">
        <v>8</v>
      </c>
      <c r="L124" s="316"/>
      <c r="M124" s="32"/>
    </row>
    <row r="125" spans="1:13" ht="15.75" thickBot="1" x14ac:dyDescent="0.3">
      <c r="A125" s="205" t="s">
        <v>90</v>
      </c>
      <c r="B125" s="205"/>
      <c r="C125" s="205"/>
      <c r="D125" s="205"/>
      <c r="E125" s="47">
        <f>9144000/12/13.75</f>
        <v>55418.181818181816</v>
      </c>
      <c r="F125" s="47">
        <f>13.75*0.055</f>
        <v>0.75624999999999998</v>
      </c>
      <c r="G125" s="47">
        <f>7023041.475*0.055</f>
        <v>386267.28112499998</v>
      </c>
      <c r="H125" s="47">
        <f>(G125*1.302)</f>
        <v>502920.00002475001</v>
      </c>
      <c r="I125" s="65">
        <v>38</v>
      </c>
      <c r="J125" s="47">
        <f>H125/I125</f>
        <v>13234.73684275658</v>
      </c>
      <c r="K125" s="82">
        <f>H125/(8696900+23460820)*100</f>
        <v>1.5639168449279053</v>
      </c>
      <c r="L125" s="317"/>
      <c r="M125" s="18"/>
    </row>
    <row r="126" spans="1:13" ht="15.75" hidden="1" thickBot="1" x14ac:dyDescent="0.3">
      <c r="A126" s="212"/>
      <c r="B126" s="213"/>
      <c r="C126" s="213"/>
      <c r="D126" s="213"/>
      <c r="E126" s="47">
        <v>17865.98</v>
      </c>
      <c r="F126" s="83">
        <v>4</v>
      </c>
      <c r="G126" s="65"/>
      <c r="H126" s="54">
        <f>H6</f>
        <v>0</v>
      </c>
      <c r="I126" s="47" t="e">
        <f t="shared" ref="I126:I147" si="8">F126/G126*H126</f>
        <v>#DIV/0!</v>
      </c>
      <c r="J126" s="47">
        <f t="shared" ref="J126:J147" si="9">E126*F126*12*1.302</f>
        <v>1116552.28608</v>
      </c>
      <c r="K126" s="84" t="s">
        <v>50</v>
      </c>
      <c r="L126" s="318"/>
      <c r="M126" s="38" t="e">
        <f t="shared" ref="M126:M150" si="10">I126*J126</f>
        <v>#DIV/0!</v>
      </c>
    </row>
    <row r="127" spans="1:13" ht="15.75" hidden="1" thickBot="1" x14ac:dyDescent="0.3">
      <c r="A127" s="209"/>
      <c r="B127" s="209"/>
      <c r="C127" s="209"/>
      <c r="D127" s="209"/>
      <c r="E127" s="47">
        <v>9544</v>
      </c>
      <c r="F127" s="83">
        <v>1</v>
      </c>
      <c r="G127" s="65"/>
      <c r="H127" s="54">
        <f>H6</f>
        <v>0</v>
      </c>
      <c r="I127" s="47" t="e">
        <f t="shared" si="8"/>
        <v>#DIV/0!</v>
      </c>
      <c r="J127" s="47">
        <f t="shared" si="9"/>
        <v>149115.45600000001</v>
      </c>
      <c r="K127" s="54">
        <f>H127/11277167.39*100</f>
        <v>0</v>
      </c>
      <c r="L127" s="54"/>
      <c r="M127" s="15" t="e">
        <f t="shared" si="10"/>
        <v>#DIV/0!</v>
      </c>
    </row>
    <row r="128" spans="1:13" ht="15" hidden="1" customHeight="1" x14ac:dyDescent="0.25">
      <c r="A128" s="210"/>
      <c r="B128" s="211"/>
      <c r="C128" s="211"/>
      <c r="D128" s="211"/>
      <c r="E128" s="47">
        <v>11560</v>
      </c>
      <c r="F128" s="83">
        <v>1</v>
      </c>
      <c r="G128" s="65"/>
      <c r="H128" s="54">
        <f>H6</f>
        <v>0</v>
      </c>
      <c r="I128" s="47" t="e">
        <f t="shared" si="8"/>
        <v>#DIV/0!</v>
      </c>
      <c r="J128" s="47">
        <f t="shared" si="9"/>
        <v>180613.44</v>
      </c>
      <c r="K128" s="34"/>
      <c r="L128" s="34"/>
      <c r="M128" s="15" t="e">
        <f t="shared" si="10"/>
        <v>#DIV/0!</v>
      </c>
    </row>
    <row r="129" spans="1:13" ht="15.75" hidden="1" thickBot="1" x14ac:dyDescent="0.3">
      <c r="A129" s="205"/>
      <c r="B129" s="205"/>
      <c r="C129" s="205"/>
      <c r="D129" s="205"/>
      <c r="E129" s="47">
        <v>9544</v>
      </c>
      <c r="F129" s="85">
        <v>0.5</v>
      </c>
      <c r="G129" s="65"/>
      <c r="H129" s="54">
        <f>H6</f>
        <v>0</v>
      </c>
      <c r="I129" s="47" t="e">
        <f t="shared" si="8"/>
        <v>#DIV/0!</v>
      </c>
      <c r="J129" s="47">
        <f t="shared" si="9"/>
        <v>74557.728000000003</v>
      </c>
      <c r="K129" s="34"/>
      <c r="L129" s="34"/>
      <c r="M129" s="15" t="e">
        <f t="shared" si="10"/>
        <v>#DIV/0!</v>
      </c>
    </row>
    <row r="130" spans="1:13" ht="15.75" hidden="1" thickBot="1" x14ac:dyDescent="0.3">
      <c r="A130" s="205"/>
      <c r="B130" s="205"/>
      <c r="C130" s="205"/>
      <c r="D130" s="205"/>
      <c r="E130" s="47">
        <v>9544</v>
      </c>
      <c r="F130" s="83">
        <v>1</v>
      </c>
      <c r="G130" s="65"/>
      <c r="H130" s="54">
        <f>H6</f>
        <v>0</v>
      </c>
      <c r="I130" s="47" t="e">
        <f t="shared" si="8"/>
        <v>#DIV/0!</v>
      </c>
      <c r="J130" s="47">
        <f t="shared" si="9"/>
        <v>149115.45600000001</v>
      </c>
      <c r="K130" s="47"/>
      <c r="L130" s="47"/>
      <c r="M130" s="15" t="e">
        <f t="shared" si="10"/>
        <v>#DIV/0!</v>
      </c>
    </row>
    <row r="131" spans="1:13" ht="14.25" hidden="1" customHeight="1" x14ac:dyDescent="0.25">
      <c r="A131" s="205"/>
      <c r="B131" s="205"/>
      <c r="C131" s="205"/>
      <c r="D131" s="205"/>
      <c r="E131" s="47">
        <v>9544</v>
      </c>
      <c r="F131" s="83">
        <v>1</v>
      </c>
      <c r="G131" s="65"/>
      <c r="H131" s="54">
        <f>H6</f>
        <v>0</v>
      </c>
      <c r="I131" s="47" t="e">
        <f t="shared" si="8"/>
        <v>#DIV/0!</v>
      </c>
      <c r="J131" s="47">
        <f t="shared" si="9"/>
        <v>149115.45600000001</v>
      </c>
      <c r="K131" s="66"/>
      <c r="L131" s="66"/>
      <c r="M131" s="15" t="e">
        <f t="shared" si="10"/>
        <v>#DIV/0!</v>
      </c>
    </row>
    <row r="132" spans="1:13" ht="15.75" hidden="1" thickBot="1" x14ac:dyDescent="0.3">
      <c r="A132" s="196"/>
      <c r="B132" s="197"/>
      <c r="C132" s="197"/>
      <c r="D132" s="197"/>
      <c r="E132" s="47">
        <v>9544</v>
      </c>
      <c r="F132" s="47"/>
      <c r="G132" s="65"/>
      <c r="H132" s="54">
        <f>H6</f>
        <v>0</v>
      </c>
      <c r="I132" s="47" t="e">
        <f t="shared" si="8"/>
        <v>#DIV/0!</v>
      </c>
      <c r="J132" s="47">
        <f t="shared" si="9"/>
        <v>0</v>
      </c>
      <c r="K132" s="66"/>
      <c r="L132" s="66"/>
      <c r="M132" s="15" t="e">
        <f t="shared" si="10"/>
        <v>#DIV/0!</v>
      </c>
    </row>
    <row r="133" spans="1:13" ht="15.75" hidden="1" thickBot="1" x14ac:dyDescent="0.3">
      <c r="A133" s="196"/>
      <c r="B133" s="197"/>
      <c r="C133" s="197"/>
      <c r="D133" s="197"/>
      <c r="E133" s="47">
        <v>9544</v>
      </c>
      <c r="F133" s="86">
        <v>0.25</v>
      </c>
      <c r="G133" s="65"/>
      <c r="H133" s="54">
        <f>H6</f>
        <v>0</v>
      </c>
      <c r="I133" s="47" t="e">
        <f t="shared" si="8"/>
        <v>#DIV/0!</v>
      </c>
      <c r="J133" s="47">
        <f t="shared" si="9"/>
        <v>37278.864000000001</v>
      </c>
      <c r="K133" s="66"/>
      <c r="L133" s="66"/>
      <c r="M133" s="15" t="e">
        <f t="shared" si="10"/>
        <v>#DIV/0!</v>
      </c>
    </row>
    <row r="134" spans="1:13" ht="15.75" hidden="1" thickBot="1" x14ac:dyDescent="0.3">
      <c r="A134" s="196"/>
      <c r="B134" s="197"/>
      <c r="C134" s="197"/>
      <c r="D134" s="197"/>
      <c r="E134" s="47">
        <v>9544</v>
      </c>
      <c r="F134" s="47"/>
      <c r="G134" s="65"/>
      <c r="H134" s="54">
        <f>H6</f>
        <v>0</v>
      </c>
      <c r="I134" s="47" t="e">
        <f t="shared" si="8"/>
        <v>#DIV/0!</v>
      </c>
      <c r="J134" s="47">
        <f t="shared" si="9"/>
        <v>0</v>
      </c>
      <c r="K134" s="66"/>
      <c r="L134" s="66"/>
      <c r="M134" s="15" t="e">
        <f t="shared" si="10"/>
        <v>#DIV/0!</v>
      </c>
    </row>
    <row r="135" spans="1:13" ht="15.75" hidden="1" thickBot="1" x14ac:dyDescent="0.3">
      <c r="A135" s="196"/>
      <c r="B135" s="197"/>
      <c r="C135" s="197"/>
      <c r="D135" s="197"/>
      <c r="E135" s="47">
        <v>9544</v>
      </c>
      <c r="F135" s="85">
        <v>0.5</v>
      </c>
      <c r="G135" s="65"/>
      <c r="H135" s="54">
        <f>H6</f>
        <v>0</v>
      </c>
      <c r="I135" s="47" t="e">
        <f t="shared" si="8"/>
        <v>#DIV/0!</v>
      </c>
      <c r="J135" s="47">
        <f t="shared" si="9"/>
        <v>74557.728000000003</v>
      </c>
      <c r="K135" s="66"/>
      <c r="L135" s="66"/>
      <c r="M135" s="15" t="e">
        <f t="shared" si="10"/>
        <v>#DIV/0!</v>
      </c>
    </row>
    <row r="136" spans="1:13" ht="15.75" hidden="1" customHeight="1" x14ac:dyDescent="0.25">
      <c r="A136" s="196"/>
      <c r="B136" s="197"/>
      <c r="C136" s="197"/>
      <c r="D136" s="197"/>
      <c r="E136" s="47">
        <v>9544</v>
      </c>
      <c r="F136" s="83">
        <v>1</v>
      </c>
      <c r="G136" s="65"/>
      <c r="H136" s="54">
        <f>H6</f>
        <v>0</v>
      </c>
      <c r="I136" s="47" t="e">
        <f t="shared" si="8"/>
        <v>#DIV/0!</v>
      </c>
      <c r="J136" s="47">
        <f t="shared" si="9"/>
        <v>149115.45600000001</v>
      </c>
      <c r="K136" s="66"/>
      <c r="L136" s="66"/>
      <c r="M136" s="15" t="e">
        <f t="shared" si="10"/>
        <v>#DIV/0!</v>
      </c>
    </row>
    <row r="137" spans="1:13" ht="15" hidden="1" customHeight="1" thickBot="1" x14ac:dyDescent="0.3">
      <c r="A137" s="205"/>
      <c r="B137" s="205"/>
      <c r="C137" s="205"/>
      <c r="D137" s="205"/>
      <c r="E137" s="47">
        <v>9544</v>
      </c>
      <c r="F137" s="83">
        <v>1</v>
      </c>
      <c r="G137" s="65"/>
      <c r="H137" s="54">
        <f>H6</f>
        <v>0</v>
      </c>
      <c r="I137" s="47" t="e">
        <f t="shared" si="8"/>
        <v>#DIV/0!</v>
      </c>
      <c r="J137" s="47">
        <f t="shared" si="9"/>
        <v>149115.45600000001</v>
      </c>
      <c r="K137" s="66"/>
      <c r="L137" s="66"/>
      <c r="M137" s="15" t="e">
        <f t="shared" si="10"/>
        <v>#DIV/0!</v>
      </c>
    </row>
    <row r="138" spans="1:13" ht="15" hidden="1" customHeight="1" x14ac:dyDescent="0.25">
      <c r="A138" s="205"/>
      <c r="B138" s="205"/>
      <c r="C138" s="205"/>
      <c r="D138" s="205"/>
      <c r="E138" s="47">
        <v>9544</v>
      </c>
      <c r="F138" s="85">
        <v>5.5</v>
      </c>
      <c r="G138" s="65"/>
      <c r="H138" s="54">
        <f>H6</f>
        <v>0</v>
      </c>
      <c r="I138" s="47" t="e">
        <f t="shared" si="8"/>
        <v>#DIV/0!</v>
      </c>
      <c r="J138" s="47">
        <f t="shared" si="9"/>
        <v>820135.00800000003</v>
      </c>
      <c r="K138" s="66"/>
      <c r="L138" s="66"/>
      <c r="M138" s="15" t="e">
        <f t="shared" si="10"/>
        <v>#DIV/0!</v>
      </c>
    </row>
    <row r="139" spans="1:13" ht="15" hidden="1" customHeight="1" thickBot="1" x14ac:dyDescent="0.3">
      <c r="A139" s="205"/>
      <c r="B139" s="205"/>
      <c r="C139" s="205"/>
      <c r="D139" s="205"/>
      <c r="E139" s="47">
        <v>9544</v>
      </c>
      <c r="F139" s="83">
        <v>1</v>
      </c>
      <c r="G139" s="65"/>
      <c r="H139" s="54">
        <f>H6</f>
        <v>0</v>
      </c>
      <c r="I139" s="47" t="e">
        <f t="shared" si="8"/>
        <v>#DIV/0!</v>
      </c>
      <c r="J139" s="47">
        <f t="shared" si="9"/>
        <v>149115.45600000001</v>
      </c>
      <c r="K139" s="66"/>
      <c r="L139" s="66"/>
      <c r="M139" s="15" t="e">
        <f t="shared" si="10"/>
        <v>#DIV/0!</v>
      </c>
    </row>
    <row r="140" spans="1:13" ht="15" hidden="1" customHeight="1" x14ac:dyDescent="0.25">
      <c r="A140" s="205"/>
      <c r="B140" s="205"/>
      <c r="C140" s="205"/>
      <c r="D140" s="205"/>
      <c r="E140" s="47">
        <v>9544</v>
      </c>
      <c r="F140" s="85">
        <v>0.5</v>
      </c>
      <c r="G140" s="65"/>
      <c r="H140" s="54">
        <f>H6</f>
        <v>0</v>
      </c>
      <c r="I140" s="47" t="e">
        <f t="shared" si="8"/>
        <v>#DIV/0!</v>
      </c>
      <c r="J140" s="47">
        <f t="shared" si="9"/>
        <v>74557.728000000003</v>
      </c>
      <c r="K140" s="66"/>
      <c r="L140" s="66"/>
      <c r="M140" s="15" t="e">
        <f t="shared" si="10"/>
        <v>#DIV/0!</v>
      </c>
    </row>
    <row r="141" spans="1:13" ht="15" hidden="1" customHeight="1" x14ac:dyDescent="0.25">
      <c r="A141" s="205"/>
      <c r="B141" s="205"/>
      <c r="C141" s="205"/>
      <c r="D141" s="205"/>
      <c r="E141" s="47">
        <v>9544</v>
      </c>
      <c r="F141" s="85">
        <v>0.5</v>
      </c>
      <c r="G141" s="65"/>
      <c r="H141" s="54">
        <f>H6</f>
        <v>0</v>
      </c>
      <c r="I141" s="47" t="e">
        <f t="shared" si="8"/>
        <v>#DIV/0!</v>
      </c>
      <c r="J141" s="47">
        <f t="shared" si="9"/>
        <v>74557.728000000003</v>
      </c>
      <c r="K141" s="66"/>
      <c r="L141" s="66"/>
      <c r="M141" s="15" t="e">
        <f t="shared" si="10"/>
        <v>#DIV/0!</v>
      </c>
    </row>
    <row r="142" spans="1:13" ht="15.75" hidden="1" thickBot="1" x14ac:dyDescent="0.3">
      <c r="A142" s="205"/>
      <c r="B142" s="205"/>
      <c r="C142" s="205"/>
      <c r="D142" s="205"/>
      <c r="E142" s="47">
        <v>9544</v>
      </c>
      <c r="F142" s="83">
        <v>1</v>
      </c>
      <c r="G142" s="65"/>
      <c r="H142" s="54">
        <f>H6</f>
        <v>0</v>
      </c>
      <c r="I142" s="47" t="e">
        <f t="shared" si="8"/>
        <v>#DIV/0!</v>
      </c>
      <c r="J142" s="47">
        <f t="shared" si="9"/>
        <v>149115.45600000001</v>
      </c>
      <c r="K142" s="66"/>
      <c r="L142" s="66"/>
      <c r="M142" s="15" t="e">
        <f t="shared" si="10"/>
        <v>#DIV/0!</v>
      </c>
    </row>
    <row r="143" spans="1:13" ht="15.75" hidden="1" customHeight="1" x14ac:dyDescent="0.25">
      <c r="A143" s="205"/>
      <c r="B143" s="205"/>
      <c r="C143" s="205"/>
      <c r="D143" s="205"/>
      <c r="E143" s="47">
        <v>9544</v>
      </c>
      <c r="F143" s="83">
        <v>4</v>
      </c>
      <c r="G143" s="65"/>
      <c r="H143" s="54">
        <f>H6</f>
        <v>0</v>
      </c>
      <c r="I143" s="47" t="e">
        <f t="shared" si="8"/>
        <v>#DIV/0!</v>
      </c>
      <c r="J143" s="47">
        <f t="shared" si="9"/>
        <v>596461.82400000002</v>
      </c>
      <c r="K143" s="66"/>
      <c r="L143" s="66"/>
      <c r="M143" s="15" t="e">
        <f t="shared" si="10"/>
        <v>#DIV/0!</v>
      </c>
    </row>
    <row r="144" spans="1:13" ht="16.5" hidden="1" customHeight="1" x14ac:dyDescent="0.25">
      <c r="A144" s="196"/>
      <c r="B144" s="197"/>
      <c r="C144" s="197"/>
      <c r="D144" s="197"/>
      <c r="E144" s="47">
        <v>9544</v>
      </c>
      <c r="F144" s="83">
        <v>1</v>
      </c>
      <c r="G144" s="65"/>
      <c r="H144" s="54">
        <f>H6</f>
        <v>0</v>
      </c>
      <c r="I144" s="47" t="e">
        <f t="shared" si="8"/>
        <v>#DIV/0!</v>
      </c>
      <c r="J144" s="47">
        <f t="shared" si="9"/>
        <v>149115.45600000001</v>
      </c>
      <c r="K144" s="66"/>
      <c r="L144" s="66"/>
      <c r="M144" s="15" t="e">
        <f t="shared" si="10"/>
        <v>#DIV/0!</v>
      </c>
    </row>
    <row r="145" spans="1:13" ht="16.5" hidden="1" customHeight="1" thickBot="1" x14ac:dyDescent="0.3">
      <c r="A145" s="196"/>
      <c r="B145" s="197"/>
      <c r="C145" s="197"/>
      <c r="D145" s="197"/>
      <c r="E145" s="47">
        <v>9544</v>
      </c>
      <c r="F145" s="86">
        <v>1.75</v>
      </c>
      <c r="G145" s="65"/>
      <c r="H145" s="54">
        <f>H6</f>
        <v>0</v>
      </c>
      <c r="I145" s="47" t="e">
        <f t="shared" si="8"/>
        <v>#DIV/0!</v>
      </c>
      <c r="J145" s="47">
        <f t="shared" si="9"/>
        <v>260952.04800000001</v>
      </c>
      <c r="K145" s="66"/>
      <c r="L145" s="66"/>
      <c r="M145" s="15" t="e">
        <f t="shared" si="10"/>
        <v>#DIV/0!</v>
      </c>
    </row>
    <row r="146" spans="1:13" ht="16.5" hidden="1" customHeight="1" thickBot="1" x14ac:dyDescent="0.3">
      <c r="A146" s="196"/>
      <c r="B146" s="197"/>
      <c r="C146" s="197"/>
      <c r="D146" s="197"/>
      <c r="E146" s="47">
        <v>9544</v>
      </c>
      <c r="F146" s="54"/>
      <c r="G146" s="65"/>
      <c r="H146" s="54">
        <f>H6</f>
        <v>0</v>
      </c>
      <c r="I146" s="47" t="e">
        <f t="shared" si="8"/>
        <v>#DIV/0!</v>
      </c>
      <c r="J146" s="47">
        <f t="shared" si="9"/>
        <v>0</v>
      </c>
      <c r="K146" s="66"/>
      <c r="L146" s="66"/>
      <c r="M146" s="15" t="e">
        <f t="shared" si="10"/>
        <v>#DIV/0!</v>
      </c>
    </row>
    <row r="147" spans="1:13" ht="16.5" hidden="1" customHeight="1" thickBot="1" x14ac:dyDescent="0.3">
      <c r="A147" s="196"/>
      <c r="B147" s="197"/>
      <c r="C147" s="197"/>
      <c r="D147" s="197"/>
      <c r="E147" s="47">
        <v>9544</v>
      </c>
      <c r="F147" s="85">
        <v>0.5</v>
      </c>
      <c r="G147" s="65"/>
      <c r="H147" s="54">
        <f>H6</f>
        <v>0</v>
      </c>
      <c r="I147" s="47" t="e">
        <f t="shared" si="8"/>
        <v>#DIV/0!</v>
      </c>
      <c r="J147" s="47">
        <f t="shared" si="9"/>
        <v>74557.728000000003</v>
      </c>
      <c r="K147" s="66"/>
      <c r="L147" s="66"/>
      <c r="M147" s="15" t="e">
        <f t="shared" si="10"/>
        <v>#DIV/0!</v>
      </c>
    </row>
    <row r="148" spans="1:13" ht="15" hidden="1" customHeight="1" thickBot="1" x14ac:dyDescent="0.3">
      <c r="A148" s="196"/>
      <c r="B148" s="197"/>
      <c r="C148" s="197"/>
      <c r="D148" s="197"/>
      <c r="E148" s="47"/>
      <c r="F148" s="47"/>
      <c r="G148" s="47"/>
      <c r="H148" s="47"/>
      <c r="I148" s="47"/>
      <c r="J148" s="47"/>
      <c r="K148" s="66"/>
      <c r="L148" s="66"/>
      <c r="M148" s="15">
        <f t="shared" si="10"/>
        <v>0</v>
      </c>
    </row>
    <row r="149" spans="1:13" ht="15.75" hidden="1" customHeight="1" thickBot="1" x14ac:dyDescent="0.3">
      <c r="A149" s="196"/>
      <c r="B149" s="197"/>
      <c r="C149" s="197"/>
      <c r="D149" s="197"/>
      <c r="E149" s="47"/>
      <c r="F149" s="47"/>
      <c r="G149" s="47"/>
      <c r="H149" s="47"/>
      <c r="I149" s="47"/>
      <c r="J149" s="47"/>
      <c r="K149" s="66"/>
      <c r="L149" s="66"/>
      <c r="M149" s="15">
        <f t="shared" si="10"/>
        <v>0</v>
      </c>
    </row>
    <row r="150" spans="1:13" ht="14.25" hidden="1" customHeight="1" thickBot="1" x14ac:dyDescent="0.3">
      <c r="A150" s="196"/>
      <c r="B150" s="197"/>
      <c r="C150" s="197"/>
      <c r="D150" s="197"/>
      <c r="E150" s="47"/>
      <c r="F150" s="47"/>
      <c r="G150" s="47"/>
      <c r="H150" s="47"/>
      <c r="I150" s="65">
        <v>105</v>
      </c>
      <c r="J150" s="67">
        <f>H150/I150</f>
        <v>0</v>
      </c>
      <c r="K150" s="66"/>
      <c r="L150" s="66"/>
      <c r="M150" s="36">
        <f t="shared" si="10"/>
        <v>0</v>
      </c>
    </row>
    <row r="151" spans="1:13" ht="15.75" thickBot="1" x14ac:dyDescent="0.3">
      <c r="A151" s="226" t="s">
        <v>67</v>
      </c>
      <c r="B151" s="226"/>
      <c r="C151" s="226"/>
      <c r="D151" s="226"/>
      <c r="E151" s="87"/>
      <c r="F151" s="147"/>
      <c r="G151" s="147"/>
      <c r="H151" s="92">
        <f>H125</f>
        <v>502920.00002475001</v>
      </c>
      <c r="I151" s="68"/>
      <c r="J151" s="88">
        <f>J125</f>
        <v>13234.73684275658</v>
      </c>
      <c r="K151" s="66"/>
      <c r="L151" s="66"/>
      <c r="M151" s="18"/>
    </row>
    <row r="152" spans="1:13" ht="12" customHeigh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9"/>
      <c r="L152" s="19"/>
      <c r="M152" s="19"/>
    </row>
    <row r="153" spans="1:13" ht="15.75" x14ac:dyDescent="0.25">
      <c r="A153" s="217" t="s">
        <v>92</v>
      </c>
      <c r="B153" s="217"/>
      <c r="C153" s="217"/>
      <c r="D153" s="217"/>
      <c r="E153" s="217"/>
      <c r="F153" s="217"/>
      <c r="G153" s="217"/>
      <c r="H153" s="217"/>
      <c r="I153" s="217"/>
      <c r="J153" s="217"/>
      <c r="K153" s="217"/>
      <c r="L153" s="217"/>
      <c r="M153" s="217"/>
    </row>
    <row r="154" spans="1:13" ht="75" x14ac:dyDescent="0.25">
      <c r="A154" s="218" t="s">
        <v>3</v>
      </c>
      <c r="B154" s="218"/>
      <c r="C154" s="218"/>
      <c r="D154" s="218"/>
      <c r="E154" s="9" t="s">
        <v>4</v>
      </c>
      <c r="F154" s="10" t="s">
        <v>0</v>
      </c>
      <c r="G154" s="42" t="s">
        <v>72</v>
      </c>
      <c r="H154" s="42" t="s">
        <v>63</v>
      </c>
      <c r="I154" s="9" t="s">
        <v>86</v>
      </c>
      <c r="J154" s="9" t="s">
        <v>93</v>
      </c>
      <c r="K154" s="9" t="s">
        <v>66</v>
      </c>
      <c r="L154" s="32"/>
      <c r="M154" s="32"/>
    </row>
    <row r="155" spans="1:13" x14ac:dyDescent="0.25">
      <c r="A155" s="227">
        <v>1</v>
      </c>
      <c r="B155" s="228"/>
      <c r="C155" s="228"/>
      <c r="D155" s="228"/>
      <c r="E155" s="30">
        <v>2</v>
      </c>
      <c r="F155" s="12">
        <v>3</v>
      </c>
      <c r="G155" s="30">
        <v>4</v>
      </c>
      <c r="H155" s="30">
        <v>5</v>
      </c>
      <c r="I155" s="31">
        <v>6</v>
      </c>
      <c r="J155" s="45">
        <v>7</v>
      </c>
      <c r="K155" s="46">
        <v>8</v>
      </c>
      <c r="L155" s="316"/>
      <c r="M155" s="32"/>
    </row>
    <row r="156" spans="1:13" ht="15.75" thickBot="1" x14ac:dyDescent="0.3">
      <c r="A156" s="205" t="s">
        <v>91</v>
      </c>
      <c r="B156" s="205"/>
      <c r="C156" s="205"/>
      <c r="D156" s="205"/>
      <c r="E156" s="47">
        <f>18861400/12/55.25</f>
        <v>28448.567119155352</v>
      </c>
      <c r="F156" s="47">
        <f>55.25*0.055</f>
        <v>3.0387499999999998</v>
      </c>
      <c r="G156" s="47">
        <f>14486482.34*0.055</f>
        <v>796756.52870000002</v>
      </c>
      <c r="H156" s="47">
        <f>G156*1.302</f>
        <v>1037377.0003674001</v>
      </c>
      <c r="I156" s="65">
        <v>38</v>
      </c>
      <c r="J156" s="47">
        <f>H156/I156</f>
        <v>27299.39474651053</v>
      </c>
      <c r="K156" s="82">
        <f>H156/(8696900+23460820)*100</f>
        <v>3.2259034544967742</v>
      </c>
      <c r="L156" s="317"/>
      <c r="M156" s="18"/>
    </row>
    <row r="157" spans="1:13" ht="15.75" hidden="1" thickBot="1" x14ac:dyDescent="0.3">
      <c r="A157" s="212"/>
      <c r="B157" s="213"/>
      <c r="C157" s="213"/>
      <c r="D157" s="213"/>
      <c r="E157" s="47">
        <v>17865.98</v>
      </c>
      <c r="F157" s="83">
        <v>4</v>
      </c>
      <c r="G157" s="65"/>
      <c r="H157" s="54">
        <f>H39</f>
        <v>0</v>
      </c>
      <c r="I157" s="47" t="e">
        <f t="shared" ref="I157:I178" si="11">F157/G157*H157</f>
        <v>#DIV/0!</v>
      </c>
      <c r="J157" s="47">
        <f t="shared" ref="J157:J178" si="12">E157*F157*12*1.302</f>
        <v>1116552.28608</v>
      </c>
      <c r="K157" s="84" t="s">
        <v>50</v>
      </c>
      <c r="L157" s="318"/>
      <c r="M157" s="38" t="e">
        <f t="shared" ref="M157:M181" si="13">I157*J157</f>
        <v>#DIV/0!</v>
      </c>
    </row>
    <row r="158" spans="1:13" ht="15.75" hidden="1" thickBot="1" x14ac:dyDescent="0.3">
      <c r="A158" s="209"/>
      <c r="B158" s="209"/>
      <c r="C158" s="209"/>
      <c r="D158" s="209"/>
      <c r="E158" s="47">
        <v>9544</v>
      </c>
      <c r="F158" s="83">
        <v>1</v>
      </c>
      <c r="G158" s="65"/>
      <c r="H158" s="54">
        <f>H39</f>
        <v>0</v>
      </c>
      <c r="I158" s="47" t="e">
        <f t="shared" si="11"/>
        <v>#DIV/0!</v>
      </c>
      <c r="J158" s="47">
        <f t="shared" si="12"/>
        <v>149115.45600000001</v>
      </c>
      <c r="K158" s="54">
        <f>H158/11277167.39*100</f>
        <v>0</v>
      </c>
      <c r="L158" s="54"/>
      <c r="M158" s="15" t="e">
        <f t="shared" si="13"/>
        <v>#DIV/0!</v>
      </c>
    </row>
    <row r="159" spans="1:13" ht="15" hidden="1" customHeight="1" thickBot="1" x14ac:dyDescent="0.3">
      <c r="A159" s="210"/>
      <c r="B159" s="211"/>
      <c r="C159" s="211"/>
      <c r="D159" s="211"/>
      <c r="E159" s="47">
        <v>11560</v>
      </c>
      <c r="F159" s="83">
        <v>1</v>
      </c>
      <c r="G159" s="65"/>
      <c r="H159" s="54">
        <f>H39</f>
        <v>0</v>
      </c>
      <c r="I159" s="47" t="e">
        <f t="shared" si="11"/>
        <v>#DIV/0!</v>
      </c>
      <c r="J159" s="47">
        <f t="shared" si="12"/>
        <v>180613.44</v>
      </c>
      <c r="K159" s="34"/>
      <c r="L159" s="34"/>
      <c r="M159" s="15" t="e">
        <f t="shared" si="13"/>
        <v>#DIV/0!</v>
      </c>
    </row>
    <row r="160" spans="1:13" ht="15.75" hidden="1" thickBot="1" x14ac:dyDescent="0.3">
      <c r="A160" s="205"/>
      <c r="B160" s="205"/>
      <c r="C160" s="205"/>
      <c r="D160" s="205"/>
      <c r="E160" s="47">
        <v>9544</v>
      </c>
      <c r="F160" s="85">
        <v>0.5</v>
      </c>
      <c r="G160" s="65"/>
      <c r="H160" s="54">
        <f>H39</f>
        <v>0</v>
      </c>
      <c r="I160" s="47" t="e">
        <f t="shared" si="11"/>
        <v>#DIV/0!</v>
      </c>
      <c r="J160" s="47">
        <f t="shared" si="12"/>
        <v>74557.728000000003</v>
      </c>
      <c r="K160" s="34"/>
      <c r="L160" s="34"/>
      <c r="M160" s="15" t="e">
        <f t="shared" si="13"/>
        <v>#DIV/0!</v>
      </c>
    </row>
    <row r="161" spans="1:13" ht="15.75" hidden="1" thickBot="1" x14ac:dyDescent="0.3">
      <c r="A161" s="205"/>
      <c r="B161" s="205"/>
      <c r="C161" s="205"/>
      <c r="D161" s="205"/>
      <c r="E161" s="47">
        <v>9544</v>
      </c>
      <c r="F161" s="83">
        <v>1</v>
      </c>
      <c r="G161" s="65"/>
      <c r="H161" s="54">
        <f>H39</f>
        <v>0</v>
      </c>
      <c r="I161" s="47" t="e">
        <f t="shared" si="11"/>
        <v>#DIV/0!</v>
      </c>
      <c r="J161" s="47">
        <f t="shared" si="12"/>
        <v>149115.45600000001</v>
      </c>
      <c r="K161" s="47"/>
      <c r="L161" s="47"/>
      <c r="M161" s="15" t="e">
        <f t="shared" si="13"/>
        <v>#DIV/0!</v>
      </c>
    </row>
    <row r="162" spans="1:13" ht="14.25" hidden="1" customHeight="1" x14ac:dyDescent="0.25">
      <c r="A162" s="205"/>
      <c r="B162" s="205"/>
      <c r="C162" s="205"/>
      <c r="D162" s="205"/>
      <c r="E162" s="47">
        <v>9544</v>
      </c>
      <c r="F162" s="83">
        <v>1</v>
      </c>
      <c r="G162" s="65"/>
      <c r="H162" s="54">
        <f>H39</f>
        <v>0</v>
      </c>
      <c r="I162" s="47" t="e">
        <f t="shared" si="11"/>
        <v>#DIV/0!</v>
      </c>
      <c r="J162" s="47">
        <f t="shared" si="12"/>
        <v>149115.45600000001</v>
      </c>
      <c r="K162" s="66"/>
      <c r="L162" s="66"/>
      <c r="M162" s="15" t="e">
        <f t="shared" si="13"/>
        <v>#DIV/0!</v>
      </c>
    </row>
    <row r="163" spans="1:13" ht="15.75" hidden="1" thickBot="1" x14ac:dyDescent="0.3">
      <c r="A163" s="196"/>
      <c r="B163" s="197"/>
      <c r="C163" s="197"/>
      <c r="D163" s="197"/>
      <c r="E163" s="47">
        <v>9544</v>
      </c>
      <c r="F163" s="47"/>
      <c r="G163" s="65"/>
      <c r="H163" s="54">
        <f>H39</f>
        <v>0</v>
      </c>
      <c r="I163" s="47" t="e">
        <f t="shared" si="11"/>
        <v>#DIV/0!</v>
      </c>
      <c r="J163" s="47">
        <f t="shared" si="12"/>
        <v>0</v>
      </c>
      <c r="K163" s="66"/>
      <c r="L163" s="66"/>
      <c r="M163" s="15" t="e">
        <f t="shared" si="13"/>
        <v>#DIV/0!</v>
      </c>
    </row>
    <row r="164" spans="1:13" ht="15.75" hidden="1" thickBot="1" x14ac:dyDescent="0.3">
      <c r="A164" s="196"/>
      <c r="B164" s="197"/>
      <c r="C164" s="197"/>
      <c r="D164" s="197"/>
      <c r="E164" s="47">
        <v>9544</v>
      </c>
      <c r="F164" s="86">
        <v>0.25</v>
      </c>
      <c r="G164" s="65"/>
      <c r="H164" s="54">
        <f>H39</f>
        <v>0</v>
      </c>
      <c r="I164" s="47" t="e">
        <f t="shared" si="11"/>
        <v>#DIV/0!</v>
      </c>
      <c r="J164" s="47">
        <f t="shared" si="12"/>
        <v>37278.864000000001</v>
      </c>
      <c r="K164" s="66"/>
      <c r="L164" s="66"/>
      <c r="M164" s="15" t="e">
        <f t="shared" si="13"/>
        <v>#DIV/0!</v>
      </c>
    </row>
    <row r="165" spans="1:13" ht="15.75" hidden="1" thickBot="1" x14ac:dyDescent="0.3">
      <c r="A165" s="196"/>
      <c r="B165" s="197"/>
      <c r="C165" s="197"/>
      <c r="D165" s="197"/>
      <c r="E165" s="47">
        <v>9544</v>
      </c>
      <c r="F165" s="47"/>
      <c r="G165" s="65"/>
      <c r="H165" s="54">
        <f>H39</f>
        <v>0</v>
      </c>
      <c r="I165" s="47" t="e">
        <f t="shared" si="11"/>
        <v>#DIV/0!</v>
      </c>
      <c r="J165" s="47">
        <f t="shared" si="12"/>
        <v>0</v>
      </c>
      <c r="K165" s="66"/>
      <c r="L165" s="66"/>
      <c r="M165" s="15" t="e">
        <f t="shared" si="13"/>
        <v>#DIV/0!</v>
      </c>
    </row>
    <row r="166" spans="1:13" ht="15.75" hidden="1" thickBot="1" x14ac:dyDescent="0.3">
      <c r="A166" s="196"/>
      <c r="B166" s="197"/>
      <c r="C166" s="197"/>
      <c r="D166" s="197"/>
      <c r="E166" s="47">
        <v>9544</v>
      </c>
      <c r="F166" s="85">
        <v>0.5</v>
      </c>
      <c r="G166" s="65"/>
      <c r="H166" s="54">
        <f>H39</f>
        <v>0</v>
      </c>
      <c r="I166" s="47" t="e">
        <f t="shared" si="11"/>
        <v>#DIV/0!</v>
      </c>
      <c r="J166" s="47">
        <f t="shared" si="12"/>
        <v>74557.728000000003</v>
      </c>
      <c r="K166" s="66"/>
      <c r="L166" s="66"/>
      <c r="M166" s="15" t="e">
        <f t="shared" si="13"/>
        <v>#DIV/0!</v>
      </c>
    </row>
    <row r="167" spans="1:13" ht="15.75" hidden="1" customHeight="1" thickBot="1" x14ac:dyDescent="0.3">
      <c r="A167" s="196"/>
      <c r="B167" s="197"/>
      <c r="C167" s="197"/>
      <c r="D167" s="197"/>
      <c r="E167" s="47">
        <v>9544</v>
      </c>
      <c r="F167" s="83">
        <v>1</v>
      </c>
      <c r="G167" s="65"/>
      <c r="H167" s="54">
        <f>H39</f>
        <v>0</v>
      </c>
      <c r="I167" s="47" t="e">
        <f t="shared" si="11"/>
        <v>#DIV/0!</v>
      </c>
      <c r="J167" s="47">
        <f t="shared" si="12"/>
        <v>149115.45600000001</v>
      </c>
      <c r="K167" s="66"/>
      <c r="L167" s="66"/>
      <c r="M167" s="15" t="e">
        <f t="shared" si="13"/>
        <v>#DIV/0!</v>
      </c>
    </row>
    <row r="168" spans="1:13" ht="15" hidden="1" customHeight="1" x14ac:dyDescent="0.25">
      <c r="A168" s="205"/>
      <c r="B168" s="205"/>
      <c r="C168" s="205"/>
      <c r="D168" s="205"/>
      <c r="E168" s="47">
        <v>9544</v>
      </c>
      <c r="F168" s="83">
        <v>1</v>
      </c>
      <c r="G168" s="65"/>
      <c r="H168" s="54">
        <f>H39</f>
        <v>0</v>
      </c>
      <c r="I168" s="47" t="e">
        <f t="shared" si="11"/>
        <v>#DIV/0!</v>
      </c>
      <c r="J168" s="47">
        <f t="shared" si="12"/>
        <v>149115.45600000001</v>
      </c>
      <c r="K168" s="66"/>
      <c r="L168" s="66"/>
      <c r="M168" s="15" t="e">
        <f t="shared" si="13"/>
        <v>#DIV/0!</v>
      </c>
    </row>
    <row r="169" spans="1:13" ht="15" hidden="1" customHeight="1" thickBot="1" x14ac:dyDescent="0.3">
      <c r="A169" s="205"/>
      <c r="B169" s="205"/>
      <c r="C169" s="205"/>
      <c r="D169" s="205"/>
      <c r="E169" s="47">
        <v>9544</v>
      </c>
      <c r="F169" s="85">
        <v>5.5</v>
      </c>
      <c r="G169" s="65"/>
      <c r="H169" s="54">
        <f>H39</f>
        <v>0</v>
      </c>
      <c r="I169" s="47" t="e">
        <f t="shared" si="11"/>
        <v>#DIV/0!</v>
      </c>
      <c r="J169" s="47">
        <f t="shared" si="12"/>
        <v>820135.00800000003</v>
      </c>
      <c r="K169" s="66"/>
      <c r="L169" s="66"/>
      <c r="M169" s="15" t="e">
        <f t="shared" si="13"/>
        <v>#DIV/0!</v>
      </c>
    </row>
    <row r="170" spans="1:13" ht="15" hidden="1" customHeight="1" x14ac:dyDescent="0.25">
      <c r="A170" s="205"/>
      <c r="B170" s="205"/>
      <c r="C170" s="205"/>
      <c r="D170" s="205"/>
      <c r="E170" s="47">
        <v>9544</v>
      </c>
      <c r="F170" s="83">
        <v>1</v>
      </c>
      <c r="G170" s="65"/>
      <c r="H170" s="54">
        <f>H39</f>
        <v>0</v>
      </c>
      <c r="I170" s="47" t="e">
        <f t="shared" si="11"/>
        <v>#DIV/0!</v>
      </c>
      <c r="J170" s="47">
        <f t="shared" si="12"/>
        <v>149115.45600000001</v>
      </c>
      <c r="K170" s="66"/>
      <c r="L170" s="66"/>
      <c r="M170" s="15" t="e">
        <f t="shared" si="13"/>
        <v>#DIV/0!</v>
      </c>
    </row>
    <row r="171" spans="1:13" ht="15" hidden="1" customHeight="1" x14ac:dyDescent="0.25">
      <c r="A171" s="205"/>
      <c r="B171" s="205"/>
      <c r="C171" s="205"/>
      <c r="D171" s="205"/>
      <c r="E171" s="47">
        <v>9544</v>
      </c>
      <c r="F171" s="85">
        <v>0.5</v>
      </c>
      <c r="G171" s="65"/>
      <c r="H171" s="54">
        <f>H39</f>
        <v>0</v>
      </c>
      <c r="I171" s="47" t="e">
        <f t="shared" si="11"/>
        <v>#DIV/0!</v>
      </c>
      <c r="J171" s="47">
        <f t="shared" si="12"/>
        <v>74557.728000000003</v>
      </c>
      <c r="K171" s="66"/>
      <c r="L171" s="66"/>
      <c r="M171" s="15" t="e">
        <f t="shared" si="13"/>
        <v>#DIV/0!</v>
      </c>
    </row>
    <row r="172" spans="1:13" ht="15" hidden="1" customHeight="1" x14ac:dyDescent="0.25">
      <c r="A172" s="205"/>
      <c r="B172" s="205"/>
      <c r="C172" s="205"/>
      <c r="D172" s="205"/>
      <c r="E172" s="47">
        <v>9544</v>
      </c>
      <c r="F172" s="85">
        <v>0.5</v>
      </c>
      <c r="G172" s="65"/>
      <c r="H172" s="54">
        <f>H39</f>
        <v>0</v>
      </c>
      <c r="I172" s="47" t="e">
        <f t="shared" si="11"/>
        <v>#DIV/0!</v>
      </c>
      <c r="J172" s="47">
        <f t="shared" si="12"/>
        <v>74557.728000000003</v>
      </c>
      <c r="K172" s="66"/>
      <c r="L172" s="66"/>
      <c r="M172" s="15" t="e">
        <f t="shared" si="13"/>
        <v>#DIV/0!</v>
      </c>
    </row>
    <row r="173" spans="1:13" ht="15.75" hidden="1" thickBot="1" x14ac:dyDescent="0.3">
      <c r="A173" s="205"/>
      <c r="B173" s="205"/>
      <c r="C173" s="205"/>
      <c r="D173" s="205"/>
      <c r="E173" s="47">
        <v>9544</v>
      </c>
      <c r="F173" s="83">
        <v>1</v>
      </c>
      <c r="G173" s="65"/>
      <c r="H173" s="54">
        <f>H39</f>
        <v>0</v>
      </c>
      <c r="I173" s="47" t="e">
        <f t="shared" si="11"/>
        <v>#DIV/0!</v>
      </c>
      <c r="J173" s="47">
        <f t="shared" si="12"/>
        <v>149115.45600000001</v>
      </c>
      <c r="K173" s="66"/>
      <c r="L173" s="66"/>
      <c r="M173" s="15" t="e">
        <f t="shared" si="13"/>
        <v>#DIV/0!</v>
      </c>
    </row>
    <row r="174" spans="1:13" ht="15.75" hidden="1" customHeight="1" x14ac:dyDescent="0.25">
      <c r="A174" s="205"/>
      <c r="B174" s="205"/>
      <c r="C174" s="205"/>
      <c r="D174" s="205"/>
      <c r="E174" s="47">
        <v>9544</v>
      </c>
      <c r="F174" s="83">
        <v>4</v>
      </c>
      <c r="G174" s="65"/>
      <c r="H174" s="54">
        <f>H39</f>
        <v>0</v>
      </c>
      <c r="I174" s="47" t="e">
        <f t="shared" si="11"/>
        <v>#DIV/0!</v>
      </c>
      <c r="J174" s="47">
        <f t="shared" si="12"/>
        <v>596461.82400000002</v>
      </c>
      <c r="K174" s="66"/>
      <c r="L174" s="66"/>
      <c r="M174" s="15" t="e">
        <f t="shared" si="13"/>
        <v>#DIV/0!</v>
      </c>
    </row>
    <row r="175" spans="1:13" ht="16.5" hidden="1" customHeight="1" x14ac:dyDescent="0.25">
      <c r="A175" s="196"/>
      <c r="B175" s="197"/>
      <c r="C175" s="197"/>
      <c r="D175" s="197"/>
      <c r="E175" s="47">
        <v>9544</v>
      </c>
      <c r="F175" s="83">
        <v>1</v>
      </c>
      <c r="G175" s="65"/>
      <c r="H175" s="54">
        <f>H39</f>
        <v>0</v>
      </c>
      <c r="I175" s="47" t="e">
        <f t="shared" si="11"/>
        <v>#DIV/0!</v>
      </c>
      <c r="J175" s="47">
        <f t="shared" si="12"/>
        <v>149115.45600000001</v>
      </c>
      <c r="K175" s="66"/>
      <c r="L175" s="66"/>
      <c r="M175" s="15" t="e">
        <f t="shared" si="13"/>
        <v>#DIV/0!</v>
      </c>
    </row>
    <row r="176" spans="1:13" ht="16.5" hidden="1" customHeight="1" thickBot="1" x14ac:dyDescent="0.3">
      <c r="A176" s="196"/>
      <c r="B176" s="197"/>
      <c r="C176" s="197"/>
      <c r="D176" s="197"/>
      <c r="E176" s="47">
        <v>9544</v>
      </c>
      <c r="F176" s="86">
        <v>1.75</v>
      </c>
      <c r="G176" s="65"/>
      <c r="H176" s="54">
        <f>H39</f>
        <v>0</v>
      </c>
      <c r="I176" s="47" t="e">
        <f t="shared" si="11"/>
        <v>#DIV/0!</v>
      </c>
      <c r="J176" s="47">
        <f t="shared" si="12"/>
        <v>260952.04800000001</v>
      </c>
      <c r="K176" s="66"/>
      <c r="L176" s="66"/>
      <c r="M176" s="15" t="e">
        <f t="shared" si="13"/>
        <v>#DIV/0!</v>
      </c>
    </row>
    <row r="177" spans="1:13" ht="16.5" hidden="1" customHeight="1" thickBot="1" x14ac:dyDescent="0.3">
      <c r="A177" s="196"/>
      <c r="B177" s="197"/>
      <c r="C177" s="197"/>
      <c r="D177" s="197"/>
      <c r="E177" s="47">
        <v>9544</v>
      </c>
      <c r="F177" s="54"/>
      <c r="G177" s="65"/>
      <c r="H177" s="54">
        <f>H39</f>
        <v>0</v>
      </c>
      <c r="I177" s="47" t="e">
        <f t="shared" si="11"/>
        <v>#DIV/0!</v>
      </c>
      <c r="J177" s="47">
        <f t="shared" si="12"/>
        <v>0</v>
      </c>
      <c r="K177" s="66"/>
      <c r="L177" s="66"/>
      <c r="M177" s="15" t="e">
        <f t="shared" si="13"/>
        <v>#DIV/0!</v>
      </c>
    </row>
    <row r="178" spans="1:13" ht="16.5" hidden="1" customHeight="1" thickBot="1" x14ac:dyDescent="0.3">
      <c r="A178" s="196"/>
      <c r="B178" s="197"/>
      <c r="C178" s="197"/>
      <c r="D178" s="197"/>
      <c r="E178" s="47">
        <v>9544</v>
      </c>
      <c r="F178" s="85">
        <v>0.5</v>
      </c>
      <c r="G178" s="65"/>
      <c r="H178" s="54">
        <f>H39</f>
        <v>0</v>
      </c>
      <c r="I178" s="47" t="e">
        <f t="shared" si="11"/>
        <v>#DIV/0!</v>
      </c>
      <c r="J178" s="47">
        <f t="shared" si="12"/>
        <v>74557.728000000003</v>
      </c>
      <c r="K178" s="66"/>
      <c r="L178" s="66"/>
      <c r="M178" s="15" t="e">
        <f t="shared" si="13"/>
        <v>#DIV/0!</v>
      </c>
    </row>
    <row r="179" spans="1:13" ht="15" hidden="1" customHeight="1" thickBot="1" x14ac:dyDescent="0.3">
      <c r="A179" s="196"/>
      <c r="B179" s="197"/>
      <c r="C179" s="197"/>
      <c r="D179" s="197"/>
      <c r="E179" s="47"/>
      <c r="F179" s="47"/>
      <c r="G179" s="47"/>
      <c r="H179" s="47"/>
      <c r="I179" s="47"/>
      <c r="J179" s="47"/>
      <c r="K179" s="66"/>
      <c r="L179" s="66"/>
      <c r="M179" s="15">
        <f t="shared" si="13"/>
        <v>0</v>
      </c>
    </row>
    <row r="180" spans="1:13" ht="15.75" hidden="1" customHeight="1" thickBot="1" x14ac:dyDescent="0.3">
      <c r="A180" s="196"/>
      <c r="B180" s="197"/>
      <c r="C180" s="197"/>
      <c r="D180" s="197"/>
      <c r="E180" s="47"/>
      <c r="F180" s="47"/>
      <c r="G180" s="47"/>
      <c r="H180" s="47"/>
      <c r="I180" s="47"/>
      <c r="J180" s="47"/>
      <c r="K180" s="66"/>
      <c r="L180" s="66"/>
      <c r="M180" s="15">
        <f t="shared" si="13"/>
        <v>0</v>
      </c>
    </row>
    <row r="181" spans="1:13" ht="14.25" hidden="1" customHeight="1" thickBot="1" x14ac:dyDescent="0.3">
      <c r="A181" s="196"/>
      <c r="B181" s="197"/>
      <c r="C181" s="197"/>
      <c r="D181" s="197"/>
      <c r="E181" s="47"/>
      <c r="F181" s="47"/>
      <c r="G181" s="47"/>
      <c r="H181" s="47"/>
      <c r="I181" s="65">
        <v>105</v>
      </c>
      <c r="J181" s="67">
        <f>H181/I181</f>
        <v>0</v>
      </c>
      <c r="K181" s="66"/>
      <c r="L181" s="66"/>
      <c r="M181" s="36">
        <f t="shared" si="13"/>
        <v>0</v>
      </c>
    </row>
    <row r="182" spans="1:13" ht="15.75" thickBot="1" x14ac:dyDescent="0.3">
      <c r="A182" s="226" t="s">
        <v>67</v>
      </c>
      <c r="B182" s="226"/>
      <c r="C182" s="226"/>
      <c r="D182" s="226"/>
      <c r="E182" s="87"/>
      <c r="F182" s="147"/>
      <c r="G182" s="147"/>
      <c r="H182" s="92">
        <f>H156</f>
        <v>1037377.0003674001</v>
      </c>
      <c r="I182" s="68"/>
      <c r="J182" s="88">
        <f>J156</f>
        <v>27299.39474651053</v>
      </c>
      <c r="K182" s="66"/>
      <c r="L182" s="66"/>
      <c r="M182" s="18"/>
    </row>
    <row r="183" spans="1:13" x14ac:dyDescent="0.25">
      <c r="A183" s="11"/>
      <c r="B183" s="11"/>
      <c r="C183" s="11"/>
      <c r="D183" s="11"/>
      <c r="E183" s="11"/>
      <c r="F183" s="11"/>
      <c r="G183" s="11"/>
      <c r="H183" s="13"/>
      <c r="I183" s="13"/>
      <c r="J183" s="13"/>
      <c r="K183" s="11"/>
      <c r="L183" s="11"/>
      <c r="M183" s="11"/>
    </row>
    <row r="184" spans="1:13" x14ac:dyDescent="0.25">
      <c r="A184" s="220" t="s">
        <v>84</v>
      </c>
      <c r="B184" s="220"/>
      <c r="C184" s="220"/>
      <c r="D184" s="220"/>
      <c r="E184" s="220"/>
      <c r="F184" s="220"/>
      <c r="G184" s="220"/>
      <c r="H184" s="220"/>
      <c r="I184" s="220"/>
      <c r="J184" s="220"/>
      <c r="K184" s="220"/>
      <c r="L184" s="187"/>
      <c r="M184" s="11"/>
    </row>
    <row r="185" spans="1:13" ht="60" x14ac:dyDescent="0.25">
      <c r="A185" s="193" t="s">
        <v>85</v>
      </c>
      <c r="B185" s="194"/>
      <c r="C185" s="194"/>
      <c r="D185" s="195"/>
      <c r="E185" s="146" t="s">
        <v>7</v>
      </c>
      <c r="F185" s="146" t="s">
        <v>75</v>
      </c>
      <c r="G185" s="146" t="s">
        <v>60</v>
      </c>
      <c r="H185" s="146" t="s">
        <v>68</v>
      </c>
      <c r="I185" s="9" t="s">
        <v>86</v>
      </c>
      <c r="J185" s="9" t="s">
        <v>93</v>
      </c>
      <c r="K185" s="58"/>
      <c r="L185" s="32"/>
      <c r="M185" s="11"/>
    </row>
    <row r="186" spans="1:13" ht="36.75" customHeight="1" x14ac:dyDescent="0.25">
      <c r="A186" s="196" t="s">
        <v>173</v>
      </c>
      <c r="B186" s="197"/>
      <c r="C186" s="197"/>
      <c r="D186" s="198"/>
      <c r="E186" s="146"/>
      <c r="F186" s="146"/>
      <c r="G186" s="146"/>
      <c r="H186" s="127">
        <f>300000*0.055</f>
        <v>16500</v>
      </c>
      <c r="I186" s="65">
        <v>38</v>
      </c>
      <c r="J186" s="141">
        <f>H186/I186</f>
        <v>434.21052631578948</v>
      </c>
      <c r="K186" s="58"/>
      <c r="L186" s="32"/>
      <c r="M186" s="11"/>
    </row>
    <row r="187" spans="1:13" ht="34.5" customHeight="1" thickBot="1" x14ac:dyDescent="0.3">
      <c r="A187" s="196" t="s">
        <v>174</v>
      </c>
      <c r="B187" s="197"/>
      <c r="C187" s="197"/>
      <c r="D187" s="198"/>
      <c r="E187" s="146"/>
      <c r="F187" s="146"/>
      <c r="G187" s="146"/>
      <c r="H187" s="127">
        <f>140000*0.055</f>
        <v>7700</v>
      </c>
      <c r="I187" s="65">
        <v>38</v>
      </c>
      <c r="J187" s="141">
        <f t="shared" ref="J187" si="14">H187/I187</f>
        <v>202.63157894736841</v>
      </c>
      <c r="K187" s="58"/>
      <c r="L187" s="32"/>
      <c r="M187" s="11"/>
    </row>
    <row r="188" spans="1:13" ht="15.75" thickBot="1" x14ac:dyDescent="0.3">
      <c r="A188" s="199" t="s">
        <v>79</v>
      </c>
      <c r="B188" s="200"/>
      <c r="C188" s="200"/>
      <c r="D188" s="200"/>
      <c r="E188" s="200"/>
      <c r="F188" s="200"/>
      <c r="G188" s="201"/>
      <c r="H188" s="81">
        <f>H187+H186</f>
        <v>24200</v>
      </c>
      <c r="I188" s="77"/>
      <c r="J188" s="39">
        <f>SUM(J186:J187)</f>
        <v>636.84210526315792</v>
      </c>
      <c r="K188" s="11"/>
      <c r="L188" s="11"/>
      <c r="M188" s="11"/>
    </row>
    <row r="189" spans="1:13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60" x14ac:dyDescent="0.25">
      <c r="A190" s="193" t="s">
        <v>85</v>
      </c>
      <c r="B190" s="194"/>
      <c r="C190" s="194"/>
      <c r="D190" s="195"/>
      <c r="E190" s="146" t="s">
        <v>175</v>
      </c>
      <c r="F190" s="146" t="s">
        <v>75</v>
      </c>
      <c r="G190" s="146" t="s">
        <v>60</v>
      </c>
      <c r="H190" s="146" t="s">
        <v>68</v>
      </c>
      <c r="I190" s="9" t="s">
        <v>86</v>
      </c>
      <c r="J190" s="9" t="s">
        <v>93</v>
      </c>
      <c r="K190" s="58"/>
      <c r="L190" s="32"/>
      <c r="M190" s="11"/>
    </row>
    <row r="191" spans="1:13" x14ac:dyDescent="0.25">
      <c r="A191" s="196" t="s">
        <v>108</v>
      </c>
      <c r="B191" s="197"/>
      <c r="C191" s="197"/>
      <c r="D191" s="198"/>
      <c r="E191" s="146">
        <v>120</v>
      </c>
      <c r="F191" s="146"/>
      <c r="G191" s="146"/>
      <c r="H191" s="127">
        <f>129600*0.055</f>
        <v>7128</v>
      </c>
      <c r="I191" s="65">
        <v>38</v>
      </c>
      <c r="J191" s="141">
        <f>H191/I191</f>
        <v>187.57894736842104</v>
      </c>
      <c r="K191" s="58"/>
      <c r="L191" s="32"/>
      <c r="M191" s="11"/>
    </row>
    <row r="192" spans="1:13" x14ac:dyDescent="0.25">
      <c r="A192" s="196" t="s">
        <v>109</v>
      </c>
      <c r="B192" s="197"/>
      <c r="C192" s="197"/>
      <c r="D192" s="198"/>
      <c r="E192" s="146">
        <v>640</v>
      </c>
      <c r="F192" s="146"/>
      <c r="G192" s="146"/>
      <c r="H192" s="127">
        <f>10800*0.055</f>
        <v>594</v>
      </c>
      <c r="I192" s="65">
        <v>38</v>
      </c>
      <c r="J192" s="141">
        <f t="shared" ref="J192:J193" si="15">H192/I192</f>
        <v>15.631578947368421</v>
      </c>
      <c r="K192" s="58"/>
      <c r="L192" s="32"/>
      <c r="M192" s="11"/>
    </row>
    <row r="193" spans="1:17" ht="18" customHeight="1" thickBot="1" x14ac:dyDescent="0.3">
      <c r="A193" s="196" t="s">
        <v>110</v>
      </c>
      <c r="B193" s="197"/>
      <c r="C193" s="197"/>
      <c r="D193" s="198"/>
      <c r="E193" s="146">
        <v>200</v>
      </c>
      <c r="F193" s="146"/>
      <c r="G193" s="146"/>
      <c r="H193" s="127">
        <f>15000*0.055</f>
        <v>825</v>
      </c>
      <c r="I193" s="65">
        <v>38</v>
      </c>
      <c r="J193" s="141">
        <f t="shared" si="15"/>
        <v>21.710526315789473</v>
      </c>
      <c r="K193" s="58"/>
      <c r="L193" s="32"/>
      <c r="M193" s="11"/>
    </row>
    <row r="194" spans="1:17" ht="15.75" thickBot="1" x14ac:dyDescent="0.3">
      <c r="A194" s="199" t="s">
        <v>79</v>
      </c>
      <c r="B194" s="200"/>
      <c r="C194" s="200"/>
      <c r="D194" s="200"/>
      <c r="E194" s="200"/>
      <c r="F194" s="200"/>
      <c r="G194" s="201"/>
      <c r="H194" s="81">
        <f>SUM(H191:H193)</f>
        <v>8547</v>
      </c>
      <c r="I194" s="77"/>
      <c r="J194" s="39">
        <f>SUM(J191:J193)</f>
        <v>224.92105263157893</v>
      </c>
      <c r="K194" s="11"/>
      <c r="L194" s="11"/>
      <c r="M194" s="11"/>
    </row>
    <row r="195" spans="1:17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7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7" x14ac:dyDescent="0.25">
      <c r="A197" s="202" t="s">
        <v>41</v>
      </c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  <c r="L197" s="202"/>
      <c r="M197" s="202"/>
    </row>
    <row r="198" spans="1:17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17" ht="72" customHeight="1" x14ac:dyDescent="0.25">
      <c r="A199" s="206" t="s">
        <v>42</v>
      </c>
      <c r="B199" s="207"/>
      <c r="C199" s="208"/>
      <c r="D199" s="193" t="s">
        <v>43</v>
      </c>
      <c r="E199" s="203"/>
      <c r="F199" s="203"/>
      <c r="G199" s="203"/>
      <c r="H199" s="203"/>
      <c r="I199" s="203"/>
      <c r="J199" s="204"/>
      <c r="K199" s="191" t="s">
        <v>47</v>
      </c>
      <c r="L199" s="319"/>
    </row>
    <row r="200" spans="1:17" ht="24" customHeight="1" x14ac:dyDescent="0.25">
      <c r="A200" s="10" t="s">
        <v>44</v>
      </c>
      <c r="B200" s="164" t="s">
        <v>45</v>
      </c>
      <c r="C200" s="10" t="s">
        <v>46</v>
      </c>
      <c r="D200" s="9" t="s">
        <v>181</v>
      </c>
      <c r="E200" s="9" t="s">
        <v>182</v>
      </c>
      <c r="F200" s="9" t="s">
        <v>183</v>
      </c>
      <c r="G200" s="9" t="s">
        <v>184</v>
      </c>
      <c r="H200" s="9" t="s">
        <v>185</v>
      </c>
      <c r="I200" s="42" t="s">
        <v>186</v>
      </c>
      <c r="J200" s="160" t="s">
        <v>184</v>
      </c>
      <c r="K200" s="192"/>
      <c r="L200" s="319"/>
    </row>
    <row r="201" spans="1:17" ht="15.75" thickBot="1" x14ac:dyDescent="0.3">
      <c r="A201" s="15">
        <f>J151</f>
        <v>13234.73684275658</v>
      </c>
      <c r="B201" s="15"/>
      <c r="C201" s="15"/>
      <c r="D201" s="15">
        <f>J72</f>
        <v>124.67631578947368</v>
      </c>
      <c r="E201" s="15">
        <f>J81</f>
        <v>3466.7368421052629</v>
      </c>
      <c r="F201" s="15">
        <f>I96</f>
        <v>689.81578947368428</v>
      </c>
      <c r="G201" s="15">
        <f>I111</f>
        <v>445.58684210526314</v>
      </c>
      <c r="H201" s="15">
        <f>H120</f>
        <v>14.473684210526315</v>
      </c>
      <c r="I201" s="143">
        <f>J182</f>
        <v>27299.39474651053</v>
      </c>
      <c r="J201" s="142">
        <f>J188+J194</f>
        <v>861.76315789473688</v>
      </c>
      <c r="K201" s="142">
        <f>SUM(D201:J201)+A201</f>
        <v>46137.184220846058</v>
      </c>
      <c r="L201" s="320"/>
    </row>
    <row r="202" spans="1:17" ht="15.75" thickBot="1" x14ac:dyDescent="0.3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Q202" s="128">
        <f>K201*38</f>
        <v>1753213.0003921501</v>
      </c>
    </row>
    <row r="203" spans="1:17" ht="15.75" thickBot="1" x14ac:dyDescent="0.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</row>
    <row r="204" spans="1:17" ht="15.75" thickBot="1" x14ac:dyDescent="0.3">
      <c r="A204" s="14" t="s">
        <v>88</v>
      </c>
      <c r="B204" s="14"/>
      <c r="C204" s="14"/>
      <c r="D204" s="11"/>
      <c r="E204" s="11"/>
      <c r="F204" s="11"/>
      <c r="G204" s="11"/>
      <c r="H204" s="11"/>
      <c r="I204" s="11"/>
      <c r="J204" s="91">
        <f>H72+H81+G96+G111+F120+H151+H182+H188+H194</f>
        <v>1753213.0003921501</v>
      </c>
      <c r="K204" s="11"/>
      <c r="L204" s="11"/>
      <c r="M204" s="11"/>
    </row>
    <row r="205" spans="1:17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7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17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17" ht="18.75" x14ac:dyDescent="0.3">
      <c r="A208" s="3" t="s">
        <v>176</v>
      </c>
      <c r="B208" s="3"/>
      <c r="C208" s="3"/>
      <c r="I208" s="3" t="s">
        <v>177</v>
      </c>
    </row>
    <row r="210" spans="1:3" ht="15.75" x14ac:dyDescent="0.25">
      <c r="A210" s="157" t="s">
        <v>61</v>
      </c>
      <c r="B210" s="7"/>
    </row>
    <row r="211" spans="1:3" ht="15.75" x14ac:dyDescent="0.25">
      <c r="A211" s="157" t="s">
        <v>111</v>
      </c>
      <c r="B211" s="7"/>
    </row>
    <row r="212" spans="1:3" ht="15.75" x14ac:dyDescent="0.25">
      <c r="A212" s="157" t="s">
        <v>112</v>
      </c>
      <c r="C212" s="7"/>
    </row>
    <row r="213" spans="1:3" ht="15.75" x14ac:dyDescent="0.25">
      <c r="A213" s="2"/>
      <c r="B213" s="2"/>
      <c r="C213" s="2"/>
    </row>
  </sheetData>
  <mergeCells count="201">
    <mergeCell ref="K199:K200"/>
    <mergeCell ref="D199:J199"/>
    <mergeCell ref="A99:D99"/>
    <mergeCell ref="A100:D100"/>
    <mergeCell ref="A101:D101"/>
    <mergeCell ref="A102:D102"/>
    <mergeCell ref="A103:D103"/>
    <mergeCell ref="A104:D104"/>
    <mergeCell ref="A137:D137"/>
    <mergeCell ref="A143:D143"/>
    <mergeCell ref="A144:D144"/>
    <mergeCell ref="A105:D105"/>
    <mergeCell ref="A106:D106"/>
    <mergeCell ref="A110:D110"/>
    <mergeCell ref="A111:D111"/>
    <mergeCell ref="A126:D126"/>
    <mergeCell ref="A127:D127"/>
    <mergeCell ref="A128:D128"/>
    <mergeCell ref="A113:M113"/>
    <mergeCell ref="A114:D114"/>
    <mergeCell ref="A115:D115"/>
    <mergeCell ref="A118:D118"/>
    <mergeCell ref="A109:D109"/>
    <mergeCell ref="A119:D119"/>
    <mergeCell ref="A120:D120"/>
    <mergeCell ref="A122:M122"/>
    <mergeCell ref="A78:D78"/>
    <mergeCell ref="A79:D79"/>
    <mergeCell ref="A80:D80"/>
    <mergeCell ref="A81:D81"/>
    <mergeCell ref="A83:M83"/>
    <mergeCell ref="A84:D84"/>
    <mergeCell ref="A89:D89"/>
    <mergeCell ref="A90:D90"/>
    <mergeCell ref="A94:D94"/>
    <mergeCell ref="A60:D60"/>
    <mergeCell ref="A61:D61"/>
    <mergeCell ref="A62:D62"/>
    <mergeCell ref="A63:D63"/>
    <mergeCell ref="A64:D64"/>
    <mergeCell ref="A65:K65"/>
    <mergeCell ref="A67:M67"/>
    <mergeCell ref="A77:D77"/>
    <mergeCell ref="A74:M74"/>
    <mergeCell ref="A75:D75"/>
    <mergeCell ref="A76:D76"/>
    <mergeCell ref="A51:D51"/>
    <mergeCell ref="A52:D52"/>
    <mergeCell ref="A53:D53"/>
    <mergeCell ref="A54:D54"/>
    <mergeCell ref="A55:D55"/>
    <mergeCell ref="A56:D56"/>
    <mergeCell ref="A57:D57"/>
    <mergeCell ref="A58:D58"/>
    <mergeCell ref="A59:D59"/>
    <mergeCell ref="A26:E26"/>
    <mergeCell ref="G26:K26"/>
    <mergeCell ref="A27:E27"/>
    <mergeCell ref="G27:K27"/>
    <mergeCell ref="A32:E32"/>
    <mergeCell ref="G32:K32"/>
    <mergeCell ref="A33:E33"/>
    <mergeCell ref="G33:K33"/>
    <mergeCell ref="A28:E28"/>
    <mergeCell ref="G28:K28"/>
    <mergeCell ref="A21:E21"/>
    <mergeCell ref="G21:K21"/>
    <mergeCell ref="A22:E22"/>
    <mergeCell ref="G22:K22"/>
    <mergeCell ref="A23:E23"/>
    <mergeCell ref="G23:K23"/>
    <mergeCell ref="A24:E24"/>
    <mergeCell ref="G24:K24"/>
    <mergeCell ref="A25:E25"/>
    <mergeCell ref="G25:K25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8:M8"/>
    <mergeCell ref="A2:D2"/>
    <mergeCell ref="A3:B3"/>
    <mergeCell ref="E2:G2"/>
    <mergeCell ref="A4:C4"/>
    <mergeCell ref="E4:F4"/>
    <mergeCell ref="H4:K4"/>
    <mergeCell ref="A7:M7"/>
    <mergeCell ref="A12:M12"/>
    <mergeCell ref="A129:D129"/>
    <mergeCell ref="A130:D130"/>
    <mergeCell ref="A131:D131"/>
    <mergeCell ref="A132:D132"/>
    <mergeCell ref="A140:D140"/>
    <mergeCell ref="A141:D141"/>
    <mergeCell ref="A142:D142"/>
    <mergeCell ref="A153:M153"/>
    <mergeCell ref="A145:D145"/>
    <mergeCell ref="A146:D146"/>
    <mergeCell ref="A147:D147"/>
    <mergeCell ref="A148:D148"/>
    <mergeCell ref="A149:D149"/>
    <mergeCell ref="A139:D139"/>
    <mergeCell ref="A184:K184"/>
    <mergeCell ref="A185:D185"/>
    <mergeCell ref="A186:D186"/>
    <mergeCell ref="A179:D179"/>
    <mergeCell ref="A180:D180"/>
    <mergeCell ref="A181:D181"/>
    <mergeCell ref="A182:D182"/>
    <mergeCell ref="A174:D174"/>
    <mergeCell ref="A175:D175"/>
    <mergeCell ref="A176:D176"/>
    <mergeCell ref="A177:D177"/>
    <mergeCell ref="A178:D178"/>
    <mergeCell ref="A167:D167"/>
    <mergeCell ref="A150:D150"/>
    <mergeCell ref="A151:D151"/>
    <mergeCell ref="A154:D154"/>
    <mergeCell ref="A155:D155"/>
    <mergeCell ref="A157:D157"/>
    <mergeCell ref="A158:D158"/>
    <mergeCell ref="A159:D159"/>
    <mergeCell ref="A160:D160"/>
    <mergeCell ref="A161:D161"/>
    <mergeCell ref="A162:D162"/>
    <mergeCell ref="A163:D163"/>
    <mergeCell ref="A164:D164"/>
    <mergeCell ref="A165:D165"/>
    <mergeCell ref="A156:D156"/>
    <mergeCell ref="A38:E38"/>
    <mergeCell ref="G38:K38"/>
    <mergeCell ref="A39:E39"/>
    <mergeCell ref="G39:K39"/>
    <mergeCell ref="A29:E29"/>
    <mergeCell ref="G29:K29"/>
    <mergeCell ref="A30:E30"/>
    <mergeCell ref="G30:K30"/>
    <mergeCell ref="A31:E31"/>
    <mergeCell ref="G31:K31"/>
    <mergeCell ref="A34:E34"/>
    <mergeCell ref="G34:K34"/>
    <mergeCell ref="A35:E35"/>
    <mergeCell ref="G35:K35"/>
    <mergeCell ref="A36:E36"/>
    <mergeCell ref="G36:K36"/>
    <mergeCell ref="A37:E37"/>
    <mergeCell ref="G37:K37"/>
    <mergeCell ref="A40:E40"/>
    <mergeCell ref="G40:K40"/>
    <mergeCell ref="A85:D85"/>
    <mergeCell ref="A86:D86"/>
    <mergeCell ref="A87:D87"/>
    <mergeCell ref="A88:D88"/>
    <mergeCell ref="A91:D91"/>
    <mergeCell ref="A95:D95"/>
    <mergeCell ref="A98:M98"/>
    <mergeCell ref="A44:D44"/>
    <mergeCell ref="A45:D45"/>
    <mergeCell ref="A46:D46"/>
    <mergeCell ref="A47:D47"/>
    <mergeCell ref="A68:D68"/>
    <mergeCell ref="A69:D69"/>
    <mergeCell ref="A70:D70"/>
    <mergeCell ref="A71:D71"/>
    <mergeCell ref="A72:D72"/>
    <mergeCell ref="A48:D48"/>
    <mergeCell ref="A49:D49"/>
    <mergeCell ref="A50:D50"/>
    <mergeCell ref="A41:D41"/>
    <mergeCell ref="G41:N41"/>
    <mergeCell ref="A42:M42"/>
    <mergeCell ref="A123:D123"/>
    <mergeCell ref="A124:D124"/>
    <mergeCell ref="A125:D125"/>
    <mergeCell ref="A135:D135"/>
    <mergeCell ref="A136:D136"/>
    <mergeCell ref="A197:M197"/>
    <mergeCell ref="A199:C199"/>
    <mergeCell ref="A170:D170"/>
    <mergeCell ref="A171:D171"/>
    <mergeCell ref="A172:D172"/>
    <mergeCell ref="A173:D173"/>
    <mergeCell ref="A188:G188"/>
    <mergeCell ref="A190:D190"/>
    <mergeCell ref="A191:D191"/>
    <mergeCell ref="A192:D192"/>
    <mergeCell ref="A193:D193"/>
    <mergeCell ref="A194:G194"/>
    <mergeCell ref="A187:D187"/>
    <mergeCell ref="A133:D133"/>
    <mergeCell ref="A134:D134"/>
    <mergeCell ref="A138:D138"/>
    <mergeCell ref="A168:D168"/>
    <mergeCell ref="A169:D169"/>
    <mergeCell ref="A166:D166"/>
  </mergeCells>
  <pageMargins left="0.70866141732283472" right="0.70866141732283472" top="0.15748031496062992" bottom="0.23622047244094491" header="0.15748031496062992" footer="0.15748031496062992"/>
  <pageSetup paperSize="9" scale="6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1"/>
  <sheetViews>
    <sheetView topLeftCell="A111" zoomScale="80" zoomScaleNormal="80" workbookViewId="0">
      <selection activeCell="Q34" sqref="Q34"/>
    </sheetView>
  </sheetViews>
  <sheetFormatPr defaultRowHeight="15" x14ac:dyDescent="0.25"/>
  <cols>
    <col min="1" max="1" width="9.85546875" customWidth="1"/>
    <col min="2" max="3" width="7" customWidth="1"/>
    <col min="4" max="5" width="10.7109375" customWidth="1"/>
    <col min="6" max="6" width="11" customWidth="1"/>
    <col min="7" max="7" width="13.7109375" customWidth="1"/>
    <col min="8" max="8" width="15" customWidth="1"/>
    <col min="9" max="9" width="11.5703125" customWidth="1"/>
    <col min="10" max="10" width="13.85546875" customWidth="1"/>
    <col min="11" max="11" width="16" customWidth="1"/>
    <col min="12" max="12" width="16" hidden="1" customWidth="1"/>
    <col min="13" max="13" width="13.140625" customWidth="1"/>
    <col min="17" max="17" width="15.28515625" customWidth="1"/>
  </cols>
  <sheetData>
    <row r="1" spans="1:13" hidden="1" x14ac:dyDescent="0.25"/>
    <row r="2" spans="1:13" ht="15.75" hidden="1" x14ac:dyDescent="0.25">
      <c r="A2" s="240"/>
      <c r="B2" s="240"/>
      <c r="C2" s="240"/>
      <c r="D2" s="240"/>
      <c r="E2" s="240"/>
      <c r="F2" s="240"/>
      <c r="G2" s="240"/>
    </row>
    <row r="3" spans="1:13" ht="15.75" hidden="1" customHeight="1" x14ac:dyDescent="0.25">
      <c r="A3" s="240"/>
      <c r="B3" s="240"/>
      <c r="C3" s="62"/>
      <c r="D3" s="62"/>
      <c r="E3" s="123"/>
      <c r="F3" s="62"/>
      <c r="G3" s="62"/>
    </row>
    <row r="4" spans="1:13" ht="27.75" customHeight="1" x14ac:dyDescent="0.25">
      <c r="A4" s="241"/>
      <c r="B4" s="241"/>
      <c r="C4" s="241"/>
      <c r="D4" s="158"/>
      <c r="E4" s="241"/>
      <c r="F4" s="241"/>
      <c r="G4" s="64"/>
      <c r="H4" s="257" t="s">
        <v>180</v>
      </c>
      <c r="I4" s="258"/>
      <c r="J4" s="258"/>
      <c r="K4" s="258"/>
      <c r="L4" s="188"/>
    </row>
    <row r="5" spans="1:13" ht="7.5" customHeight="1" x14ac:dyDescent="0.25">
      <c r="A5" s="4"/>
      <c r="B5" s="4"/>
      <c r="C5" s="4"/>
      <c r="D5" s="122"/>
      <c r="E5" s="4"/>
      <c r="F5" s="4"/>
      <c r="G5" s="122"/>
    </row>
    <row r="6" spans="1:13" x14ac:dyDescent="0.25">
      <c r="A6" s="124"/>
      <c r="B6" s="124"/>
      <c r="C6" s="124"/>
      <c r="D6" s="124"/>
      <c r="E6" s="124"/>
      <c r="F6" s="124"/>
      <c r="G6" s="124"/>
    </row>
    <row r="7" spans="1:13" ht="15.75" x14ac:dyDescent="0.25">
      <c r="A7" s="275" t="s">
        <v>178</v>
      </c>
      <c r="B7" s="276"/>
      <c r="C7" s="276"/>
      <c r="D7" s="276"/>
      <c r="E7" s="276"/>
      <c r="F7" s="276"/>
      <c r="G7" s="258"/>
      <c r="H7" s="258"/>
      <c r="I7" s="258"/>
      <c r="J7" s="258"/>
      <c r="K7" s="258"/>
      <c r="L7" s="258"/>
      <c r="M7" s="258"/>
    </row>
    <row r="8" spans="1:13" ht="15.75" x14ac:dyDescent="0.25">
      <c r="A8" s="275" t="s">
        <v>99</v>
      </c>
      <c r="B8" s="276"/>
      <c r="C8" s="276"/>
      <c r="D8" s="276"/>
      <c r="E8" s="276"/>
      <c r="F8" s="276"/>
      <c r="G8" s="258"/>
      <c r="H8" s="258"/>
      <c r="I8" s="258"/>
      <c r="J8" s="258"/>
      <c r="K8" s="258"/>
      <c r="L8" s="258"/>
      <c r="M8" s="258"/>
    </row>
    <row r="9" spans="1:13" ht="6.75" customHeight="1" x14ac:dyDescent="0.25"/>
    <row r="10" spans="1:13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75" x14ac:dyDescent="0.25">
      <c r="A11" s="8" t="s">
        <v>218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17.25" customHeight="1" x14ac:dyDescent="0.25">
      <c r="A12" s="255" t="s">
        <v>114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</row>
    <row r="13" spans="1:13" ht="15.75" x14ac:dyDescent="0.25">
      <c r="A13" s="8" t="s">
        <v>81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75" x14ac:dyDescent="0.25">
      <c r="A14" s="8" t="s">
        <v>149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75" x14ac:dyDescent="0.25">
      <c r="A15" s="8" t="s">
        <v>147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51.75" customHeight="1" x14ac:dyDescent="0.25">
      <c r="A16" s="252" t="s">
        <v>90</v>
      </c>
      <c r="B16" s="252"/>
      <c r="C16" s="252"/>
      <c r="D16" s="252"/>
      <c r="E16" s="252"/>
      <c r="F16" s="9" t="s">
        <v>89</v>
      </c>
      <c r="G16" s="252" t="s">
        <v>91</v>
      </c>
      <c r="H16" s="252"/>
      <c r="I16" s="252"/>
      <c r="J16" s="252"/>
      <c r="K16" s="252"/>
      <c r="L16" s="189"/>
      <c r="M16" s="9" t="s">
        <v>89</v>
      </c>
    </row>
    <row r="17" spans="1:13" x14ac:dyDescent="0.25">
      <c r="A17" s="253" t="s">
        <v>127</v>
      </c>
      <c r="B17" s="253"/>
      <c r="C17" s="253"/>
      <c r="D17" s="253"/>
      <c r="E17" s="253"/>
      <c r="F17" s="315">
        <f>4.92*0.595</f>
        <v>2.9274</v>
      </c>
      <c r="G17" s="254" t="s">
        <v>1</v>
      </c>
      <c r="H17" s="254"/>
      <c r="I17" s="254"/>
      <c r="J17" s="254"/>
      <c r="K17" s="254"/>
      <c r="L17" s="151">
        <v>1</v>
      </c>
      <c r="M17" s="315">
        <f>L17*0.595</f>
        <v>0.59499999999999997</v>
      </c>
    </row>
    <row r="18" spans="1:13" x14ac:dyDescent="0.25">
      <c r="A18" s="253" t="s">
        <v>128</v>
      </c>
      <c r="B18" s="253"/>
      <c r="C18" s="253"/>
      <c r="D18" s="253"/>
      <c r="E18" s="253"/>
      <c r="F18" s="315">
        <f>8.83*0.595</f>
        <v>5.2538499999999999</v>
      </c>
      <c r="G18" s="246" t="s">
        <v>129</v>
      </c>
      <c r="H18" s="247"/>
      <c r="I18" s="247"/>
      <c r="J18" s="247"/>
      <c r="K18" s="248"/>
      <c r="L18" s="151">
        <v>4</v>
      </c>
      <c r="M18" s="315">
        <f t="shared" ref="M18:M40" si="0">L18*0.595</f>
        <v>2.38</v>
      </c>
    </row>
    <row r="19" spans="1:13" x14ac:dyDescent="0.25">
      <c r="A19" s="253"/>
      <c r="B19" s="253"/>
      <c r="C19" s="253"/>
      <c r="D19" s="253"/>
      <c r="E19" s="253"/>
      <c r="F19" s="315"/>
      <c r="G19" s="253" t="s">
        <v>130</v>
      </c>
      <c r="H19" s="253"/>
      <c r="I19" s="253"/>
      <c r="J19" s="253"/>
      <c r="K19" s="253"/>
      <c r="L19" s="151">
        <v>1</v>
      </c>
      <c r="M19" s="315">
        <f t="shared" si="0"/>
        <v>0.59499999999999997</v>
      </c>
    </row>
    <row r="20" spans="1:13" x14ac:dyDescent="0.25">
      <c r="A20" s="253"/>
      <c r="B20" s="253"/>
      <c r="C20" s="253"/>
      <c r="D20" s="253"/>
      <c r="E20" s="253"/>
      <c r="F20" s="315"/>
      <c r="G20" s="259" t="s">
        <v>97</v>
      </c>
      <c r="H20" s="260"/>
      <c r="I20" s="260"/>
      <c r="J20" s="260"/>
      <c r="K20" s="261"/>
      <c r="L20" s="151">
        <v>1</v>
      </c>
      <c r="M20" s="315">
        <f t="shared" si="0"/>
        <v>0.59499999999999997</v>
      </c>
    </row>
    <row r="21" spans="1:13" ht="15" customHeight="1" x14ac:dyDescent="0.25">
      <c r="A21" s="253"/>
      <c r="B21" s="253"/>
      <c r="C21" s="253"/>
      <c r="D21" s="253"/>
      <c r="E21" s="253"/>
      <c r="F21" s="315"/>
      <c r="G21" s="254" t="s">
        <v>131</v>
      </c>
      <c r="H21" s="254"/>
      <c r="I21" s="254"/>
      <c r="J21" s="254"/>
      <c r="K21" s="254"/>
      <c r="L21" s="151">
        <v>0.5</v>
      </c>
      <c r="M21" s="315">
        <f t="shared" si="0"/>
        <v>0.29749999999999999</v>
      </c>
    </row>
    <row r="22" spans="1:13" ht="15" customHeight="1" x14ac:dyDescent="0.25">
      <c r="A22" s="253"/>
      <c r="B22" s="253"/>
      <c r="C22" s="253"/>
      <c r="D22" s="253"/>
      <c r="E22" s="253"/>
      <c r="F22" s="315"/>
      <c r="G22" s="254" t="s">
        <v>95</v>
      </c>
      <c r="H22" s="254"/>
      <c r="I22" s="254"/>
      <c r="J22" s="254"/>
      <c r="K22" s="254"/>
      <c r="L22" s="152">
        <v>1</v>
      </c>
      <c r="M22" s="315">
        <f t="shared" si="0"/>
        <v>0.59499999999999997</v>
      </c>
    </row>
    <row r="23" spans="1:13" ht="15.75" customHeight="1" x14ac:dyDescent="0.25">
      <c r="A23" s="253"/>
      <c r="B23" s="253"/>
      <c r="C23" s="253"/>
      <c r="D23" s="253"/>
      <c r="E23" s="253"/>
      <c r="F23" s="315"/>
      <c r="G23" s="205" t="s">
        <v>132</v>
      </c>
      <c r="H23" s="205"/>
      <c r="I23" s="205"/>
      <c r="J23" s="205"/>
      <c r="K23" s="205"/>
      <c r="L23" s="152">
        <v>0.5</v>
      </c>
      <c r="M23" s="315">
        <f t="shared" si="0"/>
        <v>0.29749999999999999</v>
      </c>
    </row>
    <row r="24" spans="1:13" ht="15.75" hidden="1" customHeight="1" x14ac:dyDescent="0.25">
      <c r="A24" s="246"/>
      <c r="B24" s="247"/>
      <c r="C24" s="247"/>
      <c r="D24" s="247"/>
      <c r="E24" s="248"/>
      <c r="F24" s="315"/>
      <c r="G24" s="243"/>
      <c r="H24" s="244"/>
      <c r="I24" s="244"/>
      <c r="J24" s="244"/>
      <c r="K24" s="245"/>
      <c r="L24" s="152"/>
      <c r="M24" s="315">
        <f t="shared" si="0"/>
        <v>0</v>
      </c>
    </row>
    <row r="25" spans="1:13" ht="15.75" customHeight="1" x14ac:dyDescent="0.25">
      <c r="A25" s="246"/>
      <c r="B25" s="247"/>
      <c r="C25" s="247"/>
      <c r="D25" s="247"/>
      <c r="E25" s="248"/>
      <c r="F25" s="315"/>
      <c r="G25" s="243" t="s">
        <v>133</v>
      </c>
      <c r="H25" s="244"/>
      <c r="I25" s="244"/>
      <c r="J25" s="244"/>
      <c r="K25" s="245"/>
      <c r="L25" s="152">
        <v>1</v>
      </c>
      <c r="M25" s="315">
        <f t="shared" si="0"/>
        <v>0.59499999999999997</v>
      </c>
    </row>
    <row r="26" spans="1:13" ht="15.75" hidden="1" customHeight="1" x14ac:dyDescent="0.25">
      <c r="A26" s="246"/>
      <c r="B26" s="247"/>
      <c r="C26" s="247"/>
      <c r="D26" s="247"/>
      <c r="E26" s="248"/>
      <c r="F26" s="322"/>
      <c r="G26" s="243"/>
      <c r="H26" s="244"/>
      <c r="I26" s="244"/>
      <c r="J26" s="244"/>
      <c r="K26" s="245"/>
      <c r="L26" s="154"/>
      <c r="M26" s="315">
        <f t="shared" si="0"/>
        <v>0</v>
      </c>
    </row>
    <row r="27" spans="1:13" ht="15.75" customHeight="1" x14ac:dyDescent="0.25">
      <c r="A27" s="246"/>
      <c r="B27" s="247"/>
      <c r="C27" s="247"/>
      <c r="D27" s="247"/>
      <c r="E27" s="248"/>
      <c r="F27" s="322"/>
      <c r="G27" s="249" t="s">
        <v>134</v>
      </c>
      <c r="H27" s="250"/>
      <c r="I27" s="250"/>
      <c r="J27" s="250"/>
      <c r="K27" s="251"/>
      <c r="L27" s="154">
        <v>2</v>
      </c>
      <c r="M27" s="315">
        <f t="shared" si="0"/>
        <v>1.19</v>
      </c>
    </row>
    <row r="28" spans="1:13" ht="15.75" customHeight="1" x14ac:dyDescent="0.25">
      <c r="A28" s="246"/>
      <c r="B28" s="247"/>
      <c r="C28" s="247"/>
      <c r="D28" s="247"/>
      <c r="E28" s="248"/>
      <c r="F28" s="322"/>
      <c r="G28" s="243" t="s">
        <v>96</v>
      </c>
      <c r="H28" s="244"/>
      <c r="I28" s="244"/>
      <c r="J28" s="244"/>
      <c r="K28" s="245"/>
      <c r="L28" s="154">
        <v>1</v>
      </c>
      <c r="M28" s="315">
        <f t="shared" si="0"/>
        <v>0.59499999999999997</v>
      </c>
    </row>
    <row r="29" spans="1:13" ht="15" customHeight="1" x14ac:dyDescent="0.25">
      <c r="A29" s="242"/>
      <c r="B29" s="242"/>
      <c r="C29" s="242"/>
      <c r="D29" s="242"/>
      <c r="E29" s="242"/>
      <c r="F29" s="322"/>
      <c r="G29" s="205" t="s">
        <v>135</v>
      </c>
      <c r="H29" s="205"/>
      <c r="I29" s="205"/>
      <c r="J29" s="205"/>
      <c r="K29" s="205"/>
      <c r="L29" s="154">
        <v>4.75</v>
      </c>
      <c r="M29" s="315">
        <f t="shared" si="0"/>
        <v>2.8262499999999999</v>
      </c>
    </row>
    <row r="30" spans="1:13" ht="15.75" customHeight="1" x14ac:dyDescent="0.25">
      <c r="A30" s="242"/>
      <c r="B30" s="242"/>
      <c r="C30" s="242"/>
      <c r="D30" s="242"/>
      <c r="E30" s="242"/>
      <c r="F30" s="322"/>
      <c r="G30" s="205" t="s">
        <v>136</v>
      </c>
      <c r="H30" s="205"/>
      <c r="I30" s="205"/>
      <c r="J30" s="205"/>
      <c r="K30" s="205"/>
      <c r="L30" s="154">
        <v>3.5</v>
      </c>
      <c r="M30" s="315">
        <f t="shared" si="0"/>
        <v>2.0825</v>
      </c>
    </row>
    <row r="31" spans="1:13" x14ac:dyDescent="0.25">
      <c r="A31" s="214"/>
      <c r="B31" s="214"/>
      <c r="C31" s="214"/>
      <c r="D31" s="214"/>
      <c r="E31" s="214"/>
      <c r="F31" s="323"/>
      <c r="G31" s="205" t="s">
        <v>137</v>
      </c>
      <c r="H31" s="205"/>
      <c r="I31" s="205"/>
      <c r="J31" s="205"/>
      <c r="K31" s="205"/>
      <c r="L31" s="154">
        <v>2</v>
      </c>
      <c r="M31" s="315">
        <f t="shared" si="0"/>
        <v>1.19</v>
      </c>
    </row>
    <row r="32" spans="1:13" ht="27.75" customHeight="1" x14ac:dyDescent="0.25">
      <c r="A32" s="214"/>
      <c r="B32" s="214"/>
      <c r="C32" s="214"/>
      <c r="D32" s="214"/>
      <c r="E32" s="214"/>
      <c r="F32" s="323"/>
      <c r="G32" s="205" t="s">
        <v>138</v>
      </c>
      <c r="H32" s="205"/>
      <c r="I32" s="205"/>
      <c r="J32" s="205"/>
      <c r="K32" s="205"/>
      <c r="L32" s="154">
        <v>1</v>
      </c>
      <c r="M32" s="315">
        <f t="shared" si="0"/>
        <v>0.59499999999999997</v>
      </c>
    </row>
    <row r="33" spans="1:15" x14ac:dyDescent="0.25">
      <c r="A33" s="214"/>
      <c r="B33" s="214"/>
      <c r="C33" s="214"/>
      <c r="D33" s="214"/>
      <c r="E33" s="214"/>
      <c r="F33" s="323"/>
      <c r="G33" s="205" t="s">
        <v>139</v>
      </c>
      <c r="H33" s="205"/>
      <c r="I33" s="205"/>
      <c r="J33" s="205"/>
      <c r="K33" s="205"/>
      <c r="L33" s="154">
        <v>0.5</v>
      </c>
      <c r="M33" s="315">
        <f t="shared" si="0"/>
        <v>0.29749999999999999</v>
      </c>
    </row>
    <row r="34" spans="1:15" ht="12.75" customHeight="1" x14ac:dyDescent="0.25">
      <c r="A34" s="214"/>
      <c r="B34" s="214"/>
      <c r="C34" s="214"/>
      <c r="D34" s="214"/>
      <c r="E34" s="214"/>
      <c r="F34" s="323"/>
      <c r="G34" s="196" t="s">
        <v>140</v>
      </c>
      <c r="H34" s="197"/>
      <c r="I34" s="197"/>
      <c r="J34" s="197"/>
      <c r="K34" s="198"/>
      <c r="L34" s="154">
        <v>0.5</v>
      </c>
      <c r="M34" s="315">
        <f t="shared" si="0"/>
        <v>0.29749999999999999</v>
      </c>
    </row>
    <row r="35" spans="1:15" ht="15" customHeight="1" x14ac:dyDescent="0.25">
      <c r="A35" s="214"/>
      <c r="B35" s="214"/>
      <c r="C35" s="214"/>
      <c r="D35" s="214"/>
      <c r="E35" s="214"/>
      <c r="F35" s="323"/>
      <c r="G35" s="196" t="s">
        <v>141</v>
      </c>
      <c r="H35" s="197"/>
      <c r="I35" s="197"/>
      <c r="J35" s="197"/>
      <c r="K35" s="198"/>
      <c r="L35" s="154">
        <v>16</v>
      </c>
      <c r="M35" s="315">
        <f t="shared" si="0"/>
        <v>9.52</v>
      </c>
    </row>
    <row r="36" spans="1:15" x14ac:dyDescent="0.25">
      <c r="A36" s="229"/>
      <c r="B36" s="230"/>
      <c r="C36" s="230"/>
      <c r="D36" s="230"/>
      <c r="E36" s="231"/>
      <c r="F36" s="323"/>
      <c r="G36" s="246" t="s">
        <v>142</v>
      </c>
      <c r="H36" s="247"/>
      <c r="I36" s="247"/>
      <c r="J36" s="247"/>
      <c r="K36" s="273"/>
      <c r="L36" s="151">
        <v>2</v>
      </c>
      <c r="M36" s="315">
        <f t="shared" si="0"/>
        <v>1.19</v>
      </c>
    </row>
    <row r="37" spans="1:15" ht="15" customHeight="1" x14ac:dyDescent="0.25">
      <c r="A37" s="229"/>
      <c r="B37" s="230"/>
      <c r="C37" s="230"/>
      <c r="D37" s="230"/>
      <c r="E37" s="231"/>
      <c r="F37" s="323"/>
      <c r="G37" s="246" t="s">
        <v>143</v>
      </c>
      <c r="H37" s="247"/>
      <c r="I37" s="247"/>
      <c r="J37" s="247"/>
      <c r="K37" s="273"/>
      <c r="L37" s="151">
        <v>1</v>
      </c>
      <c r="M37" s="315">
        <f t="shared" si="0"/>
        <v>0.59499999999999997</v>
      </c>
    </row>
    <row r="38" spans="1:15" ht="15" customHeight="1" x14ac:dyDescent="0.25">
      <c r="A38" s="229"/>
      <c r="B38" s="230"/>
      <c r="C38" s="230"/>
      <c r="D38" s="230"/>
      <c r="E38" s="231"/>
      <c r="F38" s="323"/>
      <c r="G38" s="246" t="s">
        <v>144</v>
      </c>
      <c r="H38" s="247"/>
      <c r="I38" s="247"/>
      <c r="J38" s="247"/>
      <c r="K38" s="273"/>
      <c r="L38" s="151">
        <v>1</v>
      </c>
      <c r="M38" s="315">
        <f t="shared" si="0"/>
        <v>0.59499999999999997</v>
      </c>
    </row>
    <row r="39" spans="1:15" ht="15" customHeight="1" x14ac:dyDescent="0.25">
      <c r="A39" s="229"/>
      <c r="B39" s="230"/>
      <c r="C39" s="230"/>
      <c r="D39" s="230"/>
      <c r="E39" s="231"/>
      <c r="F39" s="323"/>
      <c r="G39" s="246" t="s">
        <v>145</v>
      </c>
      <c r="H39" s="247"/>
      <c r="I39" s="247"/>
      <c r="J39" s="247"/>
      <c r="K39" s="273"/>
      <c r="L39" s="154">
        <v>10</v>
      </c>
      <c r="M39" s="315">
        <f t="shared" si="0"/>
        <v>5.9499999999999993</v>
      </c>
    </row>
    <row r="40" spans="1:15" ht="15" customHeight="1" x14ac:dyDescent="0.25">
      <c r="A40" s="224" t="s">
        <v>2</v>
      </c>
      <c r="B40" s="224"/>
      <c r="C40" s="224"/>
      <c r="D40" s="224"/>
      <c r="E40" s="224"/>
      <c r="F40" s="324">
        <f>SUM(F17:F35)</f>
        <v>8.1812500000000004</v>
      </c>
      <c r="G40" s="262" t="s">
        <v>2</v>
      </c>
      <c r="H40" s="262"/>
      <c r="I40" s="262"/>
      <c r="J40" s="262"/>
      <c r="K40" s="262"/>
      <c r="L40" s="156">
        <f>SUM(L17:L39)</f>
        <v>55.25</v>
      </c>
      <c r="M40" s="315">
        <f t="shared" si="0"/>
        <v>32.873750000000001</v>
      </c>
    </row>
    <row r="41" spans="1:15" ht="98.25" hidden="1" customHeight="1" x14ac:dyDescent="0.25">
      <c r="A41" s="224" t="s">
        <v>2</v>
      </c>
      <c r="B41" s="224"/>
      <c r="C41" s="224"/>
      <c r="D41" s="224"/>
      <c r="E41" s="100">
        <f>SUM(E17:E29)</f>
        <v>0</v>
      </c>
      <c r="F41" s="125"/>
      <c r="G41" s="225" t="s">
        <v>2</v>
      </c>
      <c r="H41" s="225"/>
      <c r="I41" s="225"/>
      <c r="J41" s="225"/>
      <c r="K41" s="225"/>
      <c r="L41" s="225"/>
      <c r="M41" s="225"/>
      <c r="N41" s="225"/>
      <c r="O41" s="125" t="e">
        <f>SUM(#REF!)</f>
        <v>#REF!</v>
      </c>
    </row>
    <row r="42" spans="1:15" hidden="1" x14ac:dyDescent="0.25">
      <c r="A42" s="220" t="s">
        <v>15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5" hidden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5" ht="80.25" hidden="1" customHeight="1" x14ac:dyDescent="0.25">
      <c r="A44" s="221" t="s">
        <v>6</v>
      </c>
      <c r="B44" s="221"/>
      <c r="C44" s="221"/>
      <c r="D44" s="221"/>
      <c r="E44" s="21" t="s">
        <v>7</v>
      </c>
      <c r="F44" s="21" t="s">
        <v>8</v>
      </c>
      <c r="G44" s="21" t="s">
        <v>9</v>
      </c>
      <c r="H44" s="21" t="s">
        <v>10</v>
      </c>
      <c r="I44" s="21"/>
      <c r="J44" s="21" t="s">
        <v>11</v>
      </c>
      <c r="K44" s="21" t="s">
        <v>12</v>
      </c>
      <c r="L44" s="21"/>
      <c r="M44" s="21" t="s">
        <v>5</v>
      </c>
    </row>
    <row r="45" spans="1:15" ht="15" hidden="1" customHeight="1" x14ac:dyDescent="0.25">
      <c r="A45" s="222">
        <v>1</v>
      </c>
      <c r="B45" s="223"/>
      <c r="C45" s="223"/>
      <c r="D45" s="223"/>
      <c r="E45" s="21">
        <v>2</v>
      </c>
      <c r="F45" s="21">
        <v>3</v>
      </c>
      <c r="G45" s="21">
        <v>4</v>
      </c>
      <c r="H45" s="21" t="s">
        <v>48</v>
      </c>
      <c r="I45" s="21"/>
      <c r="J45" s="21">
        <v>6</v>
      </c>
      <c r="K45" s="21">
        <v>7</v>
      </c>
      <c r="L45" s="21"/>
      <c r="M45" s="21" t="s">
        <v>49</v>
      </c>
    </row>
    <row r="46" spans="1:15" ht="15" hidden="1" customHeight="1" x14ac:dyDescent="0.25">
      <c r="A46" s="274" t="s">
        <v>51</v>
      </c>
      <c r="B46" s="274"/>
      <c r="C46" s="274"/>
      <c r="D46" s="274"/>
      <c r="E46" s="22" t="s">
        <v>13</v>
      </c>
      <c r="F46" s="21">
        <v>7</v>
      </c>
      <c r="G46" s="22">
        <v>10</v>
      </c>
      <c r="H46" s="23">
        <f>F46/G46</f>
        <v>0.7</v>
      </c>
      <c r="I46" s="23"/>
      <c r="J46" s="21">
        <v>20</v>
      </c>
      <c r="K46" s="24">
        <v>7100</v>
      </c>
      <c r="L46" s="24"/>
      <c r="M46" s="24">
        <f>H46*K46</f>
        <v>4970</v>
      </c>
    </row>
    <row r="47" spans="1:15" ht="15" hidden="1" customHeight="1" x14ac:dyDescent="0.25">
      <c r="A47" s="274" t="s">
        <v>52</v>
      </c>
      <c r="B47" s="274"/>
      <c r="C47" s="274"/>
      <c r="D47" s="274"/>
      <c r="E47" s="22" t="s">
        <v>13</v>
      </c>
      <c r="F47" s="21">
        <v>1</v>
      </c>
      <c r="G47" s="22">
        <v>10</v>
      </c>
      <c r="H47" s="23">
        <f t="shared" ref="H47:H63" si="1">F47/G47</f>
        <v>0.1</v>
      </c>
      <c r="I47" s="23"/>
      <c r="J47" s="21">
        <v>20</v>
      </c>
      <c r="K47" s="24">
        <v>538700</v>
      </c>
      <c r="L47" s="24"/>
      <c r="M47" s="24">
        <f>H47*K47</f>
        <v>53870</v>
      </c>
    </row>
    <row r="48" spans="1:15" ht="15" hidden="1" customHeight="1" x14ac:dyDescent="0.25">
      <c r="A48" s="274" t="s">
        <v>53</v>
      </c>
      <c r="B48" s="274"/>
      <c r="C48" s="274"/>
      <c r="D48" s="274"/>
      <c r="E48" s="22" t="s">
        <v>13</v>
      </c>
      <c r="F48" s="21">
        <v>1</v>
      </c>
      <c r="G48" s="22">
        <v>10</v>
      </c>
      <c r="H48" s="23">
        <f t="shared" si="1"/>
        <v>0.1</v>
      </c>
      <c r="I48" s="23"/>
      <c r="J48" s="21">
        <v>20</v>
      </c>
      <c r="K48" s="24">
        <v>380000</v>
      </c>
      <c r="L48" s="24"/>
      <c r="M48" s="24">
        <f>H48*K48</f>
        <v>38000</v>
      </c>
    </row>
    <row r="49" spans="1:13" ht="12.75" hidden="1" customHeight="1" x14ac:dyDescent="0.25">
      <c r="A49" s="274"/>
      <c r="B49" s="274"/>
      <c r="C49" s="274"/>
      <c r="D49" s="274"/>
      <c r="E49" s="22" t="s">
        <v>13</v>
      </c>
      <c r="F49" s="21"/>
      <c r="G49" s="22">
        <v>10</v>
      </c>
      <c r="H49" s="23">
        <f t="shared" si="1"/>
        <v>0</v>
      </c>
      <c r="I49" s="23"/>
      <c r="J49" s="21"/>
      <c r="K49" s="24"/>
      <c r="L49" s="24"/>
      <c r="M49" s="24">
        <f>H49*K49</f>
        <v>0</v>
      </c>
    </row>
    <row r="50" spans="1:13" ht="15" hidden="1" customHeight="1" x14ac:dyDescent="0.25">
      <c r="A50" s="274"/>
      <c r="B50" s="274"/>
      <c r="C50" s="274"/>
      <c r="D50" s="274"/>
      <c r="E50" s="22" t="s">
        <v>13</v>
      </c>
      <c r="F50" s="21"/>
      <c r="G50" s="22">
        <v>10</v>
      </c>
      <c r="H50" s="23">
        <f t="shared" si="1"/>
        <v>0</v>
      </c>
      <c r="I50" s="23"/>
      <c r="J50" s="21"/>
      <c r="K50" s="24"/>
      <c r="L50" s="24"/>
      <c r="M50" s="24">
        <f>H50*K50</f>
        <v>0</v>
      </c>
    </row>
    <row r="51" spans="1:13" ht="15" hidden="1" customHeight="1" x14ac:dyDescent="0.25">
      <c r="A51" s="266"/>
      <c r="B51" s="267"/>
      <c r="C51" s="267"/>
      <c r="D51" s="267"/>
      <c r="E51" s="22" t="s">
        <v>13</v>
      </c>
      <c r="F51" s="21"/>
      <c r="G51" s="22">
        <v>10</v>
      </c>
      <c r="H51" s="23">
        <f t="shared" si="1"/>
        <v>0</v>
      </c>
      <c r="I51" s="23"/>
      <c r="J51" s="21"/>
      <c r="K51" s="24"/>
      <c r="L51" s="24"/>
      <c r="M51" s="24">
        <f>H51*K51</f>
        <v>0</v>
      </c>
    </row>
    <row r="52" spans="1:13" ht="15" hidden="1" customHeight="1" x14ac:dyDescent="0.25">
      <c r="A52" s="266"/>
      <c r="B52" s="267"/>
      <c r="C52" s="267"/>
      <c r="D52" s="267"/>
      <c r="E52" s="22" t="s">
        <v>13</v>
      </c>
      <c r="F52" s="21"/>
      <c r="G52" s="22">
        <v>10</v>
      </c>
      <c r="H52" s="23">
        <f t="shared" si="1"/>
        <v>0</v>
      </c>
      <c r="I52" s="23"/>
      <c r="J52" s="21"/>
      <c r="K52" s="24"/>
      <c r="L52" s="24"/>
      <c r="M52" s="24">
        <f>H52*K52</f>
        <v>0</v>
      </c>
    </row>
    <row r="53" spans="1:13" ht="15" hidden="1" customHeight="1" x14ac:dyDescent="0.25">
      <c r="A53" s="266"/>
      <c r="B53" s="267"/>
      <c r="C53" s="267"/>
      <c r="D53" s="267"/>
      <c r="E53" s="22" t="s">
        <v>13</v>
      </c>
      <c r="F53" s="21"/>
      <c r="G53" s="22">
        <v>10</v>
      </c>
      <c r="H53" s="23">
        <f t="shared" si="1"/>
        <v>0</v>
      </c>
      <c r="I53" s="23"/>
      <c r="J53" s="21"/>
      <c r="K53" s="24"/>
      <c r="L53" s="24"/>
      <c r="M53" s="24">
        <f>H53*K53</f>
        <v>0</v>
      </c>
    </row>
    <row r="54" spans="1:13" ht="15" hidden="1" customHeight="1" x14ac:dyDescent="0.25">
      <c r="A54" s="266"/>
      <c r="B54" s="267"/>
      <c r="C54" s="267"/>
      <c r="D54" s="267"/>
      <c r="E54" s="22" t="s">
        <v>13</v>
      </c>
      <c r="F54" s="21"/>
      <c r="G54" s="22">
        <v>10</v>
      </c>
      <c r="H54" s="23">
        <f t="shared" si="1"/>
        <v>0</v>
      </c>
      <c r="I54" s="23"/>
      <c r="J54" s="21"/>
      <c r="K54" s="24"/>
      <c r="L54" s="24"/>
      <c r="M54" s="24">
        <f>H54*K54</f>
        <v>0</v>
      </c>
    </row>
    <row r="55" spans="1:13" ht="15" hidden="1" customHeight="1" x14ac:dyDescent="0.25">
      <c r="A55" s="266"/>
      <c r="B55" s="267"/>
      <c r="C55" s="267"/>
      <c r="D55" s="267"/>
      <c r="E55" s="22" t="s">
        <v>13</v>
      </c>
      <c r="F55" s="21"/>
      <c r="G55" s="22">
        <v>10</v>
      </c>
      <c r="H55" s="23">
        <f t="shared" si="1"/>
        <v>0</v>
      </c>
      <c r="I55" s="23"/>
      <c r="J55" s="21"/>
      <c r="K55" s="24"/>
      <c r="L55" s="24"/>
      <c r="M55" s="24">
        <f>H55*K55</f>
        <v>0</v>
      </c>
    </row>
    <row r="56" spans="1:13" hidden="1" x14ac:dyDescent="0.25">
      <c r="A56" s="238"/>
      <c r="B56" s="239"/>
      <c r="C56" s="239"/>
      <c r="D56" s="239"/>
      <c r="E56" s="22" t="s">
        <v>13</v>
      </c>
      <c r="F56" s="22"/>
      <c r="G56" s="22">
        <v>10</v>
      </c>
      <c r="H56" s="23">
        <f t="shared" si="1"/>
        <v>0</v>
      </c>
      <c r="I56" s="23"/>
      <c r="J56" s="22"/>
      <c r="K56" s="25"/>
      <c r="L56" s="25"/>
      <c r="M56" s="24">
        <f>H56*K56</f>
        <v>0</v>
      </c>
    </row>
    <row r="57" spans="1:13" hidden="1" x14ac:dyDescent="0.25">
      <c r="A57" s="238"/>
      <c r="B57" s="239"/>
      <c r="C57" s="239"/>
      <c r="D57" s="239"/>
      <c r="E57" s="22" t="s">
        <v>13</v>
      </c>
      <c r="F57" s="22"/>
      <c r="G57" s="22">
        <v>10</v>
      </c>
      <c r="H57" s="23">
        <f t="shared" si="1"/>
        <v>0</v>
      </c>
      <c r="I57" s="23"/>
      <c r="J57" s="22"/>
      <c r="K57" s="25"/>
      <c r="L57" s="25"/>
      <c r="M57" s="24">
        <f>H57*K57</f>
        <v>0</v>
      </c>
    </row>
    <row r="58" spans="1:13" hidden="1" x14ac:dyDescent="0.25">
      <c r="A58" s="238"/>
      <c r="B58" s="239"/>
      <c r="C58" s="239"/>
      <c r="D58" s="239"/>
      <c r="E58" s="22" t="s">
        <v>13</v>
      </c>
      <c r="F58" s="22"/>
      <c r="G58" s="22">
        <v>10</v>
      </c>
      <c r="H58" s="23">
        <f t="shared" si="1"/>
        <v>0</v>
      </c>
      <c r="I58" s="23"/>
      <c r="J58" s="22"/>
      <c r="K58" s="25"/>
      <c r="L58" s="25"/>
      <c r="M58" s="24">
        <f>H58*K58</f>
        <v>0</v>
      </c>
    </row>
    <row r="59" spans="1:13" hidden="1" x14ac:dyDescent="0.25">
      <c r="A59" s="238"/>
      <c r="B59" s="239"/>
      <c r="C59" s="239"/>
      <c r="D59" s="239"/>
      <c r="E59" s="22" t="s">
        <v>13</v>
      </c>
      <c r="F59" s="22"/>
      <c r="G59" s="22">
        <v>10</v>
      </c>
      <c r="H59" s="23">
        <f t="shared" si="1"/>
        <v>0</v>
      </c>
      <c r="I59" s="23"/>
      <c r="J59" s="22"/>
      <c r="K59" s="25"/>
      <c r="L59" s="25"/>
      <c r="M59" s="24">
        <f>H59*K59</f>
        <v>0</v>
      </c>
    </row>
    <row r="60" spans="1:13" hidden="1" x14ac:dyDescent="0.25">
      <c r="A60" s="238"/>
      <c r="B60" s="239"/>
      <c r="C60" s="239"/>
      <c r="D60" s="239"/>
      <c r="E60" s="22" t="s">
        <v>13</v>
      </c>
      <c r="F60" s="22"/>
      <c r="G60" s="22">
        <v>10</v>
      </c>
      <c r="H60" s="23">
        <f t="shared" si="1"/>
        <v>0</v>
      </c>
      <c r="I60" s="23"/>
      <c r="J60" s="22"/>
      <c r="K60" s="25"/>
      <c r="L60" s="25"/>
      <c r="M60" s="24">
        <f>H60*K60</f>
        <v>0</v>
      </c>
    </row>
    <row r="61" spans="1:13" hidden="1" x14ac:dyDescent="0.25">
      <c r="A61" s="238"/>
      <c r="B61" s="239"/>
      <c r="C61" s="239"/>
      <c r="D61" s="239"/>
      <c r="E61" s="22" t="s">
        <v>13</v>
      </c>
      <c r="F61" s="22"/>
      <c r="G61" s="22">
        <v>10</v>
      </c>
      <c r="H61" s="23">
        <f t="shared" si="1"/>
        <v>0</v>
      </c>
      <c r="I61" s="23"/>
      <c r="J61" s="22"/>
      <c r="K61" s="25"/>
      <c r="L61" s="25"/>
      <c r="M61" s="24">
        <f>H61*K61</f>
        <v>0</v>
      </c>
    </row>
    <row r="62" spans="1:13" hidden="1" x14ac:dyDescent="0.25">
      <c r="A62" s="238"/>
      <c r="B62" s="239"/>
      <c r="C62" s="239"/>
      <c r="D62" s="239"/>
      <c r="E62" s="22" t="s">
        <v>13</v>
      </c>
      <c r="F62" s="22"/>
      <c r="G62" s="22">
        <v>10</v>
      </c>
      <c r="H62" s="23">
        <f t="shared" si="1"/>
        <v>0</v>
      </c>
      <c r="I62" s="23"/>
      <c r="J62" s="22"/>
      <c r="K62" s="25"/>
      <c r="L62" s="25"/>
      <c r="M62" s="24">
        <f>H62*K62</f>
        <v>0</v>
      </c>
    </row>
    <row r="63" spans="1:13" hidden="1" x14ac:dyDescent="0.25">
      <c r="A63" s="238"/>
      <c r="B63" s="239"/>
      <c r="C63" s="239"/>
      <c r="D63" s="239"/>
      <c r="E63" s="22" t="s">
        <v>13</v>
      </c>
      <c r="F63" s="22"/>
      <c r="G63" s="22">
        <v>10</v>
      </c>
      <c r="H63" s="23">
        <f t="shared" si="1"/>
        <v>0</v>
      </c>
      <c r="I63" s="23"/>
      <c r="J63" s="22"/>
      <c r="K63" s="25"/>
      <c r="L63" s="25"/>
      <c r="M63" s="24">
        <f>H63*K63</f>
        <v>0</v>
      </c>
    </row>
    <row r="64" spans="1:13" hidden="1" x14ac:dyDescent="0.25">
      <c r="A64" s="232" t="s">
        <v>82</v>
      </c>
      <c r="B64" s="232"/>
      <c r="C64" s="232"/>
      <c r="D64" s="232"/>
      <c r="E64" s="22"/>
      <c r="F64" s="22"/>
      <c r="G64" s="22"/>
      <c r="H64" s="26"/>
      <c r="I64" s="26"/>
      <c r="J64" s="22"/>
      <c r="K64" s="25"/>
      <c r="L64" s="25"/>
      <c r="M64" s="25">
        <f>H64*K64</f>
        <v>0</v>
      </c>
    </row>
    <row r="65" spans="1:13" ht="9" hidden="1" customHeight="1" x14ac:dyDescent="0.25">
      <c r="A65" s="233" t="s">
        <v>14</v>
      </c>
      <c r="B65" s="234"/>
      <c r="C65" s="234"/>
      <c r="D65" s="234"/>
      <c r="E65" s="234"/>
      <c r="F65" s="234"/>
      <c r="G65" s="234"/>
      <c r="H65" s="234"/>
      <c r="I65" s="234"/>
      <c r="J65" s="234"/>
      <c r="K65" s="235"/>
      <c r="L65" s="190"/>
      <c r="M65" s="25">
        <f>M64+M48+M47+M46</f>
        <v>96840</v>
      </c>
    </row>
    <row r="66" spans="1:13" ht="18" customHeigh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25">
      <c r="A67" s="202" t="s">
        <v>117</v>
      </c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</row>
    <row r="68" spans="1:13" ht="73.5" customHeight="1" x14ac:dyDescent="0.25">
      <c r="A68" s="218" t="s">
        <v>17</v>
      </c>
      <c r="B68" s="218"/>
      <c r="C68" s="218"/>
      <c r="D68" s="218"/>
      <c r="E68" s="9" t="s">
        <v>106</v>
      </c>
      <c r="F68" s="29" t="s">
        <v>75</v>
      </c>
      <c r="G68" s="9" t="s">
        <v>60</v>
      </c>
      <c r="H68" s="9" t="s">
        <v>68</v>
      </c>
      <c r="I68" s="9" t="s">
        <v>86</v>
      </c>
      <c r="J68" s="9" t="s">
        <v>93</v>
      </c>
      <c r="K68" s="11"/>
      <c r="L68" s="11"/>
      <c r="M68" s="11"/>
    </row>
    <row r="69" spans="1:13" ht="18.75" customHeight="1" x14ac:dyDescent="0.25">
      <c r="A69" s="236">
        <v>1</v>
      </c>
      <c r="B69" s="237"/>
      <c r="C69" s="237"/>
      <c r="D69" s="237"/>
      <c r="E69" s="9">
        <v>2</v>
      </c>
      <c r="F69" s="9">
        <v>3</v>
      </c>
      <c r="G69" s="30">
        <v>4</v>
      </c>
      <c r="H69" s="30">
        <v>5</v>
      </c>
      <c r="I69" s="31">
        <v>6</v>
      </c>
      <c r="J69" s="31" t="s">
        <v>65</v>
      </c>
      <c r="K69" s="11"/>
      <c r="L69" s="11"/>
      <c r="M69" s="32"/>
    </row>
    <row r="70" spans="1:13" x14ac:dyDescent="0.25">
      <c r="A70" s="268" t="s">
        <v>71</v>
      </c>
      <c r="B70" s="268"/>
      <c r="C70" s="268"/>
      <c r="D70" s="268"/>
      <c r="E70" s="34">
        <v>5</v>
      </c>
      <c r="F70" s="33">
        <v>12</v>
      </c>
      <c r="G70" s="47">
        <v>687.02</v>
      </c>
      <c r="H70" s="47">
        <f>41221.2*0.595</f>
        <v>24526.613999999998</v>
      </c>
      <c r="I70" s="65">
        <v>414</v>
      </c>
      <c r="J70" s="47">
        <f>H70/I70</f>
        <v>59.243028985507244</v>
      </c>
      <c r="K70" s="11"/>
      <c r="L70" s="11"/>
      <c r="M70" s="19"/>
    </row>
    <row r="71" spans="1:13" ht="15.75" thickBot="1" x14ac:dyDescent="0.3">
      <c r="A71" s="268" t="s">
        <v>83</v>
      </c>
      <c r="B71" s="268"/>
      <c r="C71" s="268"/>
      <c r="D71" s="268"/>
      <c r="E71" s="34">
        <v>1</v>
      </c>
      <c r="F71" s="34">
        <v>12</v>
      </c>
      <c r="G71" s="47">
        <v>3743.23</v>
      </c>
      <c r="H71" s="47">
        <f>44918.8*0.595</f>
        <v>26726.686000000002</v>
      </c>
      <c r="I71" s="65">
        <v>414</v>
      </c>
      <c r="J71" s="47">
        <f>H71/I71</f>
        <v>64.557212560386475</v>
      </c>
      <c r="K71" s="11"/>
      <c r="L71" s="11"/>
      <c r="M71" s="11"/>
    </row>
    <row r="72" spans="1:13" ht="15.75" thickBot="1" x14ac:dyDescent="0.3">
      <c r="A72" s="269" t="s">
        <v>29</v>
      </c>
      <c r="B72" s="270"/>
      <c r="C72" s="270"/>
      <c r="D72" s="270"/>
      <c r="E72" s="75"/>
      <c r="F72" s="75"/>
      <c r="G72" s="75"/>
      <c r="H72" s="92">
        <f>SUM(H70:H71)</f>
        <v>51253.3</v>
      </c>
      <c r="I72" s="68"/>
      <c r="J72" s="76">
        <f>SUM(J70:J71)</f>
        <v>123.80024154589373</v>
      </c>
      <c r="K72" s="11"/>
      <c r="L72" s="11"/>
      <c r="M72" s="11"/>
    </row>
    <row r="73" spans="1:13" ht="30" customHeight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x14ac:dyDescent="0.25">
      <c r="A74" s="202" t="s">
        <v>16</v>
      </c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</row>
    <row r="75" spans="1:13" ht="73.5" customHeight="1" x14ac:dyDescent="0.25">
      <c r="A75" s="218" t="s">
        <v>17</v>
      </c>
      <c r="B75" s="218"/>
      <c r="C75" s="218"/>
      <c r="D75" s="218"/>
      <c r="E75" s="9" t="s">
        <v>7</v>
      </c>
      <c r="F75" s="29" t="s">
        <v>75</v>
      </c>
      <c r="G75" s="9" t="s">
        <v>60</v>
      </c>
      <c r="H75" s="9" t="s">
        <v>68</v>
      </c>
      <c r="I75" s="9" t="s">
        <v>86</v>
      </c>
      <c r="J75" s="9" t="s">
        <v>93</v>
      </c>
      <c r="K75" s="11"/>
      <c r="L75" s="11"/>
      <c r="M75" s="11"/>
    </row>
    <row r="76" spans="1:13" ht="18.75" customHeight="1" x14ac:dyDescent="0.25">
      <c r="A76" s="236">
        <v>1</v>
      </c>
      <c r="B76" s="237"/>
      <c r="C76" s="237"/>
      <c r="D76" s="237"/>
      <c r="E76" s="9">
        <v>2</v>
      </c>
      <c r="F76" s="9">
        <v>3</v>
      </c>
      <c r="G76" s="30">
        <v>4</v>
      </c>
      <c r="H76" s="30">
        <v>5</v>
      </c>
      <c r="I76" s="31">
        <v>6</v>
      </c>
      <c r="J76" s="31" t="s">
        <v>65</v>
      </c>
      <c r="K76" s="11"/>
      <c r="L76" s="11"/>
      <c r="M76" s="32"/>
    </row>
    <row r="77" spans="1:13" x14ac:dyDescent="0.25">
      <c r="A77" s="268" t="s">
        <v>23</v>
      </c>
      <c r="B77" s="268"/>
      <c r="C77" s="268"/>
      <c r="D77" s="268"/>
      <c r="E77" s="34" t="s">
        <v>26</v>
      </c>
      <c r="F77" s="33">
        <v>123860</v>
      </c>
      <c r="G77" s="47">
        <v>6.62</v>
      </c>
      <c r="H77" s="47">
        <f>820000*0.595</f>
        <v>487900</v>
      </c>
      <c r="I77" s="65">
        <v>414</v>
      </c>
      <c r="J77" s="47">
        <f>H77/I77</f>
        <v>1178.5024154589371</v>
      </c>
      <c r="K77" s="11"/>
      <c r="L77" s="11"/>
      <c r="M77" s="19"/>
    </row>
    <row r="78" spans="1:13" x14ac:dyDescent="0.25">
      <c r="A78" s="268" t="s">
        <v>24</v>
      </c>
      <c r="B78" s="268"/>
      <c r="C78" s="268"/>
      <c r="D78" s="268"/>
      <c r="E78" s="34" t="s">
        <v>27</v>
      </c>
      <c r="F78" s="34">
        <v>660</v>
      </c>
      <c r="G78" s="47">
        <v>1618.59</v>
      </c>
      <c r="H78" s="47">
        <f>1259700*0.595</f>
        <v>749521.5</v>
      </c>
      <c r="I78" s="65">
        <v>414</v>
      </c>
      <c r="J78" s="47">
        <f>H78/I78</f>
        <v>1810.4384057971015</v>
      </c>
      <c r="K78" s="11"/>
      <c r="L78" s="11"/>
      <c r="M78" s="11"/>
    </row>
    <row r="79" spans="1:13" x14ac:dyDescent="0.25">
      <c r="A79" s="268" t="s">
        <v>69</v>
      </c>
      <c r="B79" s="268"/>
      <c r="C79" s="268"/>
      <c r="D79" s="268"/>
      <c r="E79" s="34" t="s">
        <v>28</v>
      </c>
      <c r="F79" s="34">
        <v>2600</v>
      </c>
      <c r="G79" s="47">
        <v>39.22</v>
      </c>
      <c r="H79" s="47">
        <f>150000*0.595</f>
        <v>89250</v>
      </c>
      <c r="I79" s="65">
        <v>414</v>
      </c>
      <c r="J79" s="47">
        <f>H79/I79</f>
        <v>215.57971014492753</v>
      </c>
      <c r="K79" s="11"/>
      <c r="L79" s="11"/>
      <c r="M79" s="11"/>
    </row>
    <row r="80" spans="1:13" ht="15.75" thickBot="1" x14ac:dyDescent="0.3">
      <c r="A80" s="272" t="s">
        <v>25</v>
      </c>
      <c r="B80" s="272"/>
      <c r="C80" s="272"/>
      <c r="D80" s="272"/>
      <c r="E80" s="74" t="s">
        <v>28</v>
      </c>
      <c r="F80" s="34">
        <v>2800</v>
      </c>
      <c r="G80" s="67">
        <v>53.32</v>
      </c>
      <c r="H80" s="67">
        <f>165500*0.595</f>
        <v>98472.5</v>
      </c>
      <c r="I80" s="65">
        <v>414</v>
      </c>
      <c r="J80" s="67">
        <f>H80/I80</f>
        <v>237.85628019323673</v>
      </c>
      <c r="K80" s="11"/>
      <c r="L80" s="11"/>
      <c r="M80" s="11"/>
    </row>
    <row r="81" spans="1:13" ht="15.75" thickBot="1" x14ac:dyDescent="0.3">
      <c r="A81" s="269" t="s">
        <v>29</v>
      </c>
      <c r="B81" s="270"/>
      <c r="C81" s="270"/>
      <c r="D81" s="270"/>
      <c r="E81" s="75"/>
      <c r="F81" s="75"/>
      <c r="G81" s="75"/>
      <c r="H81" s="92">
        <f>SUM(H77:H80)</f>
        <v>1425144</v>
      </c>
      <c r="I81" s="68"/>
      <c r="J81" s="76">
        <f>SUM(J77:J80)</f>
        <v>3442.3768115942025</v>
      </c>
      <c r="K81" s="11"/>
      <c r="L81" s="11"/>
      <c r="M81" s="11"/>
    </row>
    <row r="82" spans="1:13" ht="16.5" customHeight="1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11"/>
      <c r="L82" s="11"/>
      <c r="M82" s="11"/>
    </row>
    <row r="83" spans="1:13" x14ac:dyDescent="0.25">
      <c r="A83" s="202" t="s">
        <v>30</v>
      </c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</row>
    <row r="84" spans="1:13" ht="75" x14ac:dyDescent="0.25">
      <c r="A84" s="271" t="s">
        <v>32</v>
      </c>
      <c r="B84" s="271"/>
      <c r="C84" s="271"/>
      <c r="D84" s="271"/>
      <c r="E84" s="30" t="s">
        <v>7</v>
      </c>
      <c r="F84" s="30" t="s">
        <v>18</v>
      </c>
      <c r="G84" s="9" t="s">
        <v>68</v>
      </c>
      <c r="H84" s="9" t="s">
        <v>103</v>
      </c>
      <c r="I84" s="9" t="s">
        <v>93</v>
      </c>
      <c r="J84" s="11"/>
      <c r="K84" s="11"/>
      <c r="L84" s="11"/>
    </row>
    <row r="85" spans="1:13" ht="15" customHeight="1" x14ac:dyDescent="0.25">
      <c r="A85" s="263" t="s">
        <v>155</v>
      </c>
      <c r="B85" s="264"/>
      <c r="C85" s="264"/>
      <c r="D85" s="265"/>
      <c r="E85" s="71" t="s">
        <v>31</v>
      </c>
      <c r="F85" s="30">
        <v>1</v>
      </c>
      <c r="G85" s="9">
        <f>38400*0.595</f>
        <v>22848</v>
      </c>
      <c r="H85" s="65">
        <v>414</v>
      </c>
      <c r="I85" s="139">
        <f>G85/H85</f>
        <v>55.188405797101453</v>
      </c>
      <c r="J85" s="11"/>
      <c r="K85" s="11"/>
      <c r="L85" s="11"/>
    </row>
    <row r="86" spans="1:13" ht="15" customHeight="1" x14ac:dyDescent="0.25">
      <c r="A86" s="263" t="s">
        <v>156</v>
      </c>
      <c r="B86" s="264"/>
      <c r="C86" s="264"/>
      <c r="D86" s="265"/>
      <c r="E86" s="71" t="s">
        <v>31</v>
      </c>
      <c r="F86" s="71">
        <v>1</v>
      </c>
      <c r="G86" s="104">
        <f>160000*0.595</f>
        <v>95200</v>
      </c>
      <c r="H86" s="65">
        <v>414</v>
      </c>
      <c r="I86" s="139">
        <f>G86/H86</f>
        <v>229.95169082125605</v>
      </c>
      <c r="J86" s="11"/>
      <c r="K86" s="11"/>
      <c r="L86" s="11"/>
    </row>
    <row r="87" spans="1:13" ht="15" customHeight="1" x14ac:dyDescent="0.25">
      <c r="A87" s="263" t="s">
        <v>157</v>
      </c>
      <c r="B87" s="264"/>
      <c r="C87" s="264"/>
      <c r="D87" s="265"/>
      <c r="E87" s="71" t="s">
        <v>31</v>
      </c>
      <c r="F87" s="71">
        <v>1</v>
      </c>
      <c r="G87" s="104">
        <f>99000*0.595</f>
        <v>58905</v>
      </c>
      <c r="H87" s="65">
        <v>414</v>
      </c>
      <c r="I87" s="139">
        <f t="shared" ref="I87:I95" si="2">G87/H87</f>
        <v>142.28260869565219</v>
      </c>
      <c r="J87" s="11"/>
      <c r="K87" s="11"/>
      <c r="L87" s="11"/>
    </row>
    <row r="88" spans="1:13" ht="15" customHeight="1" x14ac:dyDescent="0.25">
      <c r="A88" s="263" t="s">
        <v>158</v>
      </c>
      <c r="B88" s="264"/>
      <c r="C88" s="264"/>
      <c r="D88" s="265"/>
      <c r="E88" s="71" t="s">
        <v>31</v>
      </c>
      <c r="F88" s="71">
        <v>1</v>
      </c>
      <c r="G88" s="104">
        <f>9600*0.595</f>
        <v>5712</v>
      </c>
      <c r="H88" s="65">
        <v>414</v>
      </c>
      <c r="I88" s="139">
        <f t="shared" si="2"/>
        <v>13.797101449275363</v>
      </c>
      <c r="J88" s="11"/>
      <c r="K88" s="11"/>
      <c r="L88" s="11"/>
    </row>
    <row r="89" spans="1:13" ht="15" customHeight="1" x14ac:dyDescent="0.25">
      <c r="A89" s="263" t="s">
        <v>102</v>
      </c>
      <c r="B89" s="264"/>
      <c r="C89" s="264"/>
      <c r="D89" s="265"/>
      <c r="E89" s="71" t="s">
        <v>31</v>
      </c>
      <c r="F89" s="71">
        <v>1</v>
      </c>
      <c r="G89" s="104">
        <f>3300*0.595</f>
        <v>1963.5</v>
      </c>
      <c r="H89" s="65">
        <v>414</v>
      </c>
      <c r="I89" s="139">
        <f t="shared" si="2"/>
        <v>4.7427536231884062</v>
      </c>
      <c r="J89" s="11"/>
      <c r="K89" s="11"/>
      <c r="L89" s="11"/>
    </row>
    <row r="90" spans="1:13" ht="15" customHeight="1" x14ac:dyDescent="0.25">
      <c r="A90" s="210" t="s">
        <v>159</v>
      </c>
      <c r="B90" s="211"/>
      <c r="C90" s="211"/>
      <c r="D90" s="219"/>
      <c r="E90" s="71" t="s">
        <v>31</v>
      </c>
      <c r="F90" s="71">
        <v>1</v>
      </c>
      <c r="G90" s="47">
        <f>32500*0.595</f>
        <v>19337.5</v>
      </c>
      <c r="H90" s="65">
        <v>414</v>
      </c>
      <c r="I90" s="139">
        <f t="shared" si="2"/>
        <v>46.70893719806763</v>
      </c>
      <c r="J90" s="11"/>
      <c r="K90" s="11"/>
      <c r="L90" s="11"/>
    </row>
    <row r="91" spans="1:13" ht="28.5" customHeight="1" x14ac:dyDescent="0.25">
      <c r="A91" s="263" t="s">
        <v>160</v>
      </c>
      <c r="B91" s="264"/>
      <c r="C91" s="264"/>
      <c r="D91" s="265"/>
      <c r="E91" s="71" t="s">
        <v>31</v>
      </c>
      <c r="F91" s="71">
        <v>1</v>
      </c>
      <c r="G91" s="89">
        <f>51600*0.595</f>
        <v>30702</v>
      </c>
      <c r="H91" s="65">
        <v>414</v>
      </c>
      <c r="I91" s="139">
        <f t="shared" si="2"/>
        <v>74.159420289855078</v>
      </c>
      <c r="J91" s="11"/>
      <c r="K91" s="18"/>
      <c r="L91" s="18"/>
    </row>
    <row r="92" spans="1:13" ht="16.5" customHeight="1" x14ac:dyDescent="0.25">
      <c r="A92" s="102" t="s">
        <v>161</v>
      </c>
      <c r="B92" s="103"/>
      <c r="C92" s="103"/>
      <c r="D92" s="103"/>
      <c r="E92" s="71" t="s">
        <v>31</v>
      </c>
      <c r="F92" s="71">
        <v>1</v>
      </c>
      <c r="G92" s="47">
        <f>3200*0.595</f>
        <v>1904</v>
      </c>
      <c r="H92" s="65">
        <v>414</v>
      </c>
      <c r="I92" s="139">
        <f t="shared" si="2"/>
        <v>4.5990338164251208</v>
      </c>
      <c r="J92" s="11"/>
      <c r="K92" s="11"/>
      <c r="L92" s="11"/>
    </row>
    <row r="93" spans="1:13" ht="15" customHeight="1" x14ac:dyDescent="0.25">
      <c r="A93" s="102" t="s">
        <v>162</v>
      </c>
      <c r="B93" s="103"/>
      <c r="C93" s="103"/>
      <c r="D93" s="103"/>
      <c r="E93" s="71" t="s">
        <v>31</v>
      </c>
      <c r="F93" s="71">
        <v>1</v>
      </c>
      <c r="G93" s="47">
        <f>30000*0.595</f>
        <v>17850</v>
      </c>
      <c r="H93" s="65">
        <v>414</v>
      </c>
      <c r="I93" s="139">
        <f t="shared" si="2"/>
        <v>43.115942028985508</v>
      </c>
      <c r="J93" s="11"/>
      <c r="K93" s="11"/>
      <c r="L93" s="11"/>
    </row>
    <row r="94" spans="1:13" ht="15" customHeight="1" x14ac:dyDescent="0.25">
      <c r="A94" s="210" t="s">
        <v>163</v>
      </c>
      <c r="B94" s="211"/>
      <c r="C94" s="211"/>
      <c r="D94" s="219"/>
      <c r="E94" s="71" t="s">
        <v>31</v>
      </c>
      <c r="F94" s="71">
        <v>1</v>
      </c>
      <c r="G94" s="67">
        <f>24000*0.595</f>
        <v>14280</v>
      </c>
      <c r="H94" s="65">
        <v>414</v>
      </c>
      <c r="I94" s="139">
        <f t="shared" si="2"/>
        <v>34.492753623188406</v>
      </c>
      <c r="J94" s="11"/>
      <c r="K94" s="11"/>
      <c r="L94" s="11"/>
    </row>
    <row r="95" spans="1:13" s="1" customFormat="1" ht="15" customHeight="1" thickBot="1" x14ac:dyDescent="0.3">
      <c r="A95" s="210" t="s">
        <v>164</v>
      </c>
      <c r="B95" s="211"/>
      <c r="C95" s="211"/>
      <c r="D95" s="219"/>
      <c r="E95" s="71" t="s">
        <v>31</v>
      </c>
      <c r="F95" s="71">
        <v>1</v>
      </c>
      <c r="G95" s="67">
        <f>25000*0.595</f>
        <v>14875</v>
      </c>
      <c r="H95" s="65">
        <v>414</v>
      </c>
      <c r="I95" s="139">
        <f t="shared" si="2"/>
        <v>35.929951690821255</v>
      </c>
      <c r="J95" s="13"/>
      <c r="K95" s="13"/>
      <c r="L95" s="13"/>
    </row>
    <row r="96" spans="1:13" ht="15" customHeight="1" thickBot="1" x14ac:dyDescent="0.3">
      <c r="A96" s="149" t="s">
        <v>74</v>
      </c>
      <c r="B96" s="150"/>
      <c r="C96" s="150"/>
      <c r="D96" s="150"/>
      <c r="E96" s="150"/>
      <c r="F96" s="150"/>
      <c r="G96" s="93">
        <f>SUM(G85:G95)</f>
        <v>283577</v>
      </c>
      <c r="I96" s="39">
        <f>SUM(I85:I95)</f>
        <v>684.96859903381642</v>
      </c>
      <c r="K96" s="11"/>
      <c r="L96" s="11"/>
      <c r="M96" s="11"/>
    </row>
    <row r="97" spans="1:13" ht="15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ht="15" customHeight="1" x14ac:dyDescent="0.25">
      <c r="A98" s="202" t="s">
        <v>70</v>
      </c>
      <c r="B98" s="202"/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</row>
    <row r="99" spans="1:13" ht="75" x14ac:dyDescent="0.25">
      <c r="A99" s="193" t="s">
        <v>32</v>
      </c>
      <c r="B99" s="194"/>
      <c r="C99" s="194"/>
      <c r="D99" s="194"/>
      <c r="E99" s="30" t="s">
        <v>7</v>
      </c>
      <c r="F99" s="9" t="s">
        <v>77</v>
      </c>
      <c r="G99" s="9" t="s">
        <v>68</v>
      </c>
      <c r="H99" s="9" t="s">
        <v>103</v>
      </c>
      <c r="I99" s="9" t="s">
        <v>93</v>
      </c>
      <c r="J99" s="11"/>
      <c r="K99" s="11"/>
      <c r="L99" s="11"/>
      <c r="M99" s="11"/>
    </row>
    <row r="100" spans="1:13" ht="15" customHeight="1" x14ac:dyDescent="0.25">
      <c r="A100" s="196" t="s">
        <v>166</v>
      </c>
      <c r="B100" s="197"/>
      <c r="C100" s="197"/>
      <c r="D100" s="197"/>
      <c r="E100" s="71" t="s">
        <v>31</v>
      </c>
      <c r="F100" s="71">
        <v>1</v>
      </c>
      <c r="G100" s="104">
        <f>9400*0.595</f>
        <v>5593</v>
      </c>
      <c r="H100" s="65">
        <v>414</v>
      </c>
      <c r="I100" s="140">
        <f>G100/H100</f>
        <v>13.509661835748792</v>
      </c>
      <c r="J100" s="11"/>
      <c r="K100" s="11"/>
      <c r="L100" s="11"/>
      <c r="M100" s="11"/>
    </row>
    <row r="101" spans="1:13" ht="15" customHeight="1" x14ac:dyDescent="0.25">
      <c r="A101" s="196" t="s">
        <v>167</v>
      </c>
      <c r="B101" s="197"/>
      <c r="C101" s="197"/>
      <c r="D101" s="197"/>
      <c r="E101" s="71" t="s">
        <v>31</v>
      </c>
      <c r="F101" s="71">
        <v>1</v>
      </c>
      <c r="G101" s="104">
        <f>34580*0.595</f>
        <v>20575.099999999999</v>
      </c>
      <c r="H101" s="65">
        <v>414</v>
      </c>
      <c r="I101" s="140">
        <f t="shared" ref="I101:I106" si="3">G101/H101</f>
        <v>49.698309178743955</v>
      </c>
      <c r="J101" s="11"/>
      <c r="K101" s="11"/>
      <c r="L101" s="11"/>
      <c r="M101" s="11"/>
    </row>
    <row r="102" spans="1:13" ht="15" customHeight="1" x14ac:dyDescent="0.25">
      <c r="A102" s="196" t="s">
        <v>168</v>
      </c>
      <c r="B102" s="197"/>
      <c r="C102" s="197"/>
      <c r="D102" s="197"/>
      <c r="E102" s="71" t="s">
        <v>31</v>
      </c>
      <c r="F102" s="71">
        <v>1</v>
      </c>
      <c r="G102" s="104">
        <f>110960*0.595</f>
        <v>66021.2</v>
      </c>
      <c r="H102" s="65">
        <v>414</v>
      </c>
      <c r="I102" s="140">
        <f t="shared" si="3"/>
        <v>159.47149758454105</v>
      </c>
      <c r="J102" s="11"/>
      <c r="K102" s="11"/>
      <c r="L102" s="11"/>
      <c r="M102" s="11"/>
    </row>
    <row r="103" spans="1:13" ht="15" customHeight="1" x14ac:dyDescent="0.25">
      <c r="A103" s="196" t="s">
        <v>169</v>
      </c>
      <c r="B103" s="197"/>
      <c r="C103" s="197"/>
      <c r="D103" s="197"/>
      <c r="E103" s="71" t="s">
        <v>31</v>
      </c>
      <c r="F103" s="71">
        <v>1</v>
      </c>
      <c r="G103" s="104">
        <f>10120*0.595</f>
        <v>6021.4</v>
      </c>
      <c r="H103" s="65">
        <v>414</v>
      </c>
      <c r="I103" s="140">
        <f t="shared" si="3"/>
        <v>14.544444444444444</v>
      </c>
      <c r="J103" s="11"/>
      <c r="K103" s="11"/>
      <c r="L103" s="11"/>
      <c r="M103" s="11"/>
    </row>
    <row r="104" spans="1:13" ht="15" customHeight="1" x14ac:dyDescent="0.25">
      <c r="A104" s="196" t="s">
        <v>170</v>
      </c>
      <c r="B104" s="197"/>
      <c r="C104" s="197"/>
      <c r="D104" s="197"/>
      <c r="E104" s="71" t="s">
        <v>31</v>
      </c>
      <c r="F104" s="71">
        <v>1</v>
      </c>
      <c r="G104" s="104">
        <f>113400*0.595</f>
        <v>67473</v>
      </c>
      <c r="H104" s="65">
        <v>414</v>
      </c>
      <c r="I104" s="140">
        <f t="shared" si="3"/>
        <v>162.97826086956522</v>
      </c>
      <c r="J104" s="11"/>
      <c r="K104" s="11"/>
      <c r="L104" s="11"/>
      <c r="M104" s="11"/>
    </row>
    <row r="105" spans="1:13" ht="18" customHeight="1" x14ac:dyDescent="0.25">
      <c r="A105" s="196" t="s">
        <v>171</v>
      </c>
      <c r="B105" s="197"/>
      <c r="C105" s="197"/>
      <c r="D105" s="197"/>
      <c r="E105" s="71" t="s">
        <v>31</v>
      </c>
      <c r="F105" s="71">
        <v>1</v>
      </c>
      <c r="G105" s="89">
        <f>15000*0.595</f>
        <v>8925</v>
      </c>
      <c r="H105" s="65">
        <v>414</v>
      </c>
      <c r="I105" s="140">
        <f t="shared" si="3"/>
        <v>21.557971014492754</v>
      </c>
      <c r="J105" s="11"/>
      <c r="K105" s="11"/>
      <c r="L105" s="11"/>
      <c r="M105" s="11"/>
    </row>
    <row r="106" spans="1:13" ht="28.5" customHeight="1" thickBot="1" x14ac:dyDescent="0.3">
      <c r="A106" s="196" t="s">
        <v>172</v>
      </c>
      <c r="B106" s="197"/>
      <c r="C106" s="197"/>
      <c r="D106" s="197"/>
      <c r="E106" s="71" t="s">
        <v>31</v>
      </c>
      <c r="F106" s="71">
        <v>1</v>
      </c>
      <c r="G106" s="89">
        <f>14400*0.595</f>
        <v>8568</v>
      </c>
      <c r="H106" s="65">
        <v>414</v>
      </c>
      <c r="I106" s="140">
        <f t="shared" si="3"/>
        <v>20.695652173913043</v>
      </c>
      <c r="J106" s="11"/>
      <c r="K106" s="11"/>
      <c r="L106" s="11"/>
      <c r="M106" s="11"/>
    </row>
    <row r="107" spans="1:13" ht="15.75" hidden="1" customHeight="1" thickBot="1" x14ac:dyDescent="0.3">
      <c r="F107" s="95"/>
      <c r="H107" s="65">
        <v>5231</v>
      </c>
      <c r="I107" s="96"/>
      <c r="J107" s="11"/>
      <c r="K107" s="11"/>
      <c r="L107" s="11"/>
      <c r="M107" s="11"/>
    </row>
    <row r="108" spans="1:13" ht="14.25" hidden="1" customHeight="1" x14ac:dyDescent="0.3">
      <c r="F108" s="29"/>
      <c r="G108" s="80"/>
      <c r="H108" s="65"/>
      <c r="I108" s="72"/>
      <c r="J108" s="11"/>
      <c r="K108" s="11"/>
      <c r="L108" s="11"/>
      <c r="M108" s="11"/>
    </row>
    <row r="109" spans="1:13" ht="16.5" hidden="1" customHeight="1" x14ac:dyDescent="0.3">
      <c r="A109" s="196"/>
      <c r="B109" s="197"/>
      <c r="C109" s="197"/>
      <c r="D109" s="197"/>
      <c r="E109" s="148"/>
      <c r="F109" s="29"/>
      <c r="G109" s="78"/>
      <c r="H109" s="65">
        <v>3260</v>
      </c>
      <c r="I109" s="72">
        <f t="shared" ref="I109:I110" si="4">G109/H109</f>
        <v>0</v>
      </c>
      <c r="J109" s="11"/>
      <c r="K109" s="11"/>
      <c r="L109" s="11"/>
      <c r="M109" s="11"/>
    </row>
    <row r="110" spans="1:13" ht="17.25" hidden="1" customHeight="1" x14ac:dyDescent="0.3">
      <c r="A110" s="196"/>
      <c r="B110" s="197"/>
      <c r="C110" s="197"/>
      <c r="D110" s="197"/>
      <c r="E110" s="148"/>
      <c r="F110" s="79"/>
      <c r="G110" s="47"/>
      <c r="H110" s="65">
        <v>3260</v>
      </c>
      <c r="I110" s="72">
        <f t="shared" si="4"/>
        <v>0</v>
      </c>
      <c r="J110" s="11"/>
      <c r="K110" s="11"/>
      <c r="L110" s="11"/>
      <c r="M110" s="11"/>
    </row>
    <row r="111" spans="1:13" ht="20.25" customHeight="1" thickBot="1" x14ac:dyDescent="0.3">
      <c r="A111" s="215" t="s">
        <v>73</v>
      </c>
      <c r="B111" s="216"/>
      <c r="C111" s="216"/>
      <c r="D111" s="216"/>
      <c r="E111" s="126"/>
      <c r="F111" s="70"/>
      <c r="G111" s="92">
        <f>SUM(G100:G110)</f>
        <v>183176.69999999998</v>
      </c>
      <c r="H111" s="66"/>
      <c r="I111" s="39">
        <f>SUM(I100:I110)</f>
        <v>442.45579710144926</v>
      </c>
      <c r="J111" s="11"/>
      <c r="K111" s="41"/>
      <c r="L111" s="41"/>
      <c r="M111" s="11"/>
    </row>
    <row r="112" spans="1:13" s="113" customFormat="1" ht="12" customHeight="1" x14ac:dyDescent="0.25">
      <c r="A112" s="114"/>
      <c r="B112" s="114"/>
      <c r="C112" s="114"/>
      <c r="D112" s="114"/>
      <c r="E112" s="114"/>
      <c r="F112" s="114"/>
      <c r="G112" s="114"/>
      <c r="H112" s="114"/>
      <c r="I112" s="108"/>
      <c r="J112" s="109"/>
      <c r="K112" s="110"/>
      <c r="L112" s="110"/>
      <c r="M112" s="115"/>
    </row>
    <row r="113" spans="1:13" ht="15" customHeight="1" x14ac:dyDescent="0.25">
      <c r="A113" s="202" t="s">
        <v>122</v>
      </c>
      <c r="B113" s="202"/>
      <c r="C113" s="202"/>
      <c r="D113" s="202"/>
      <c r="E113" s="202"/>
      <c r="F113" s="202"/>
      <c r="G113" s="202"/>
      <c r="H113" s="202"/>
      <c r="I113" s="202"/>
      <c r="J113" s="202"/>
      <c r="K113" s="202"/>
      <c r="L113" s="202"/>
      <c r="M113" s="202"/>
    </row>
    <row r="114" spans="1:13" ht="60" x14ac:dyDescent="0.25">
      <c r="A114" s="193" t="s">
        <v>32</v>
      </c>
      <c r="B114" s="194"/>
      <c r="C114" s="194"/>
      <c r="D114" s="194"/>
      <c r="E114" s="9" t="s">
        <v>104</v>
      </c>
      <c r="F114" s="9" t="s">
        <v>68</v>
      </c>
      <c r="G114" s="9" t="s">
        <v>103</v>
      </c>
      <c r="H114" s="9" t="s">
        <v>93</v>
      </c>
      <c r="I114" s="11"/>
      <c r="J114" s="11"/>
      <c r="K114" s="11"/>
      <c r="L114" s="11"/>
    </row>
    <row r="115" spans="1:13" ht="15.75" thickBot="1" x14ac:dyDescent="0.3">
      <c r="A115" s="196" t="s">
        <v>107</v>
      </c>
      <c r="B115" s="197"/>
      <c r="C115" s="197"/>
      <c r="D115" s="197"/>
      <c r="E115" s="71" t="s">
        <v>31</v>
      </c>
      <c r="F115" s="104">
        <f>(10000)*0.595</f>
        <v>5950</v>
      </c>
      <c r="G115" s="65">
        <v>414</v>
      </c>
      <c r="H115" s="140">
        <f t="shared" ref="H115" si="5">F115/G115</f>
        <v>14.371980676328503</v>
      </c>
      <c r="I115" s="11"/>
      <c r="J115" s="11"/>
      <c r="K115" s="11"/>
      <c r="L115" s="11"/>
    </row>
    <row r="116" spans="1:13" ht="15.75" hidden="1" customHeight="1" x14ac:dyDescent="0.3">
      <c r="E116" s="95"/>
      <c r="G116" s="9">
        <v>189</v>
      </c>
      <c r="H116" s="96"/>
      <c r="I116" s="11"/>
      <c r="J116" s="11"/>
      <c r="K116" s="11"/>
      <c r="L116" s="11"/>
    </row>
    <row r="117" spans="1:13" ht="14.25" hidden="1" customHeight="1" x14ac:dyDescent="0.3">
      <c r="E117" s="29"/>
      <c r="F117" s="80"/>
      <c r="G117" s="9">
        <v>189</v>
      </c>
      <c r="H117" s="72"/>
      <c r="I117" s="11"/>
      <c r="J117" s="11"/>
      <c r="K117" s="11"/>
      <c r="L117" s="11"/>
    </row>
    <row r="118" spans="1:13" ht="16.5" hidden="1" customHeight="1" thickBot="1" x14ac:dyDescent="0.3">
      <c r="A118" s="196"/>
      <c r="B118" s="197"/>
      <c r="C118" s="197"/>
      <c r="D118" s="197"/>
      <c r="E118" s="29"/>
      <c r="F118" s="78"/>
      <c r="G118" s="9">
        <v>189</v>
      </c>
      <c r="H118" s="72">
        <f t="shared" ref="H118:H119" si="6">F118/G118</f>
        <v>0</v>
      </c>
      <c r="I118" s="11"/>
      <c r="J118" s="11"/>
      <c r="K118" s="11"/>
      <c r="L118" s="11"/>
    </row>
    <row r="119" spans="1:13" ht="17.25" hidden="1" customHeight="1" x14ac:dyDescent="0.3">
      <c r="A119" s="196"/>
      <c r="B119" s="197"/>
      <c r="C119" s="197"/>
      <c r="D119" s="197"/>
      <c r="E119" s="79"/>
      <c r="F119" s="47"/>
      <c r="G119" s="9">
        <v>189</v>
      </c>
      <c r="H119" s="72">
        <f t="shared" si="6"/>
        <v>0</v>
      </c>
      <c r="I119" s="11"/>
      <c r="J119" s="11"/>
      <c r="K119" s="11"/>
      <c r="L119" s="11"/>
    </row>
    <row r="120" spans="1:13" ht="20.25" customHeight="1" thickBot="1" x14ac:dyDescent="0.3">
      <c r="A120" s="215" t="s">
        <v>73</v>
      </c>
      <c r="B120" s="216"/>
      <c r="C120" s="216"/>
      <c r="D120" s="216"/>
      <c r="E120" s="70"/>
      <c r="F120" s="92">
        <f>SUM(F115:F119)</f>
        <v>5950</v>
      </c>
      <c r="G120" s="66"/>
      <c r="H120" s="73">
        <f>SUM(H115:H115)</f>
        <v>14.371980676328503</v>
      </c>
      <c r="I120" s="11"/>
      <c r="J120" s="41"/>
      <c r="K120" s="11"/>
      <c r="L120" s="11"/>
    </row>
    <row r="121" spans="1:13" ht="10.5" customHeight="1" x14ac:dyDescent="0.25">
      <c r="A121" s="116"/>
      <c r="B121" s="116"/>
      <c r="C121" s="116"/>
      <c r="D121" s="116"/>
      <c r="E121" s="117"/>
      <c r="F121" s="118"/>
      <c r="G121" s="119"/>
      <c r="H121" s="118"/>
      <c r="I121" s="120"/>
      <c r="J121" s="90"/>
      <c r="K121" s="121"/>
      <c r="L121" s="121"/>
      <c r="M121" s="69"/>
    </row>
    <row r="122" spans="1:13" ht="15.75" x14ac:dyDescent="0.25">
      <c r="A122" s="217" t="s">
        <v>105</v>
      </c>
      <c r="B122" s="217"/>
      <c r="C122" s="217"/>
      <c r="D122" s="217"/>
      <c r="E122" s="217"/>
      <c r="F122" s="217"/>
      <c r="G122" s="217"/>
      <c r="H122" s="217"/>
      <c r="I122" s="217"/>
      <c r="J122" s="217"/>
      <c r="K122" s="217"/>
      <c r="L122" s="217"/>
      <c r="M122" s="217"/>
    </row>
    <row r="123" spans="1:13" ht="60" x14ac:dyDescent="0.25">
      <c r="A123" s="218" t="s">
        <v>3</v>
      </c>
      <c r="B123" s="218"/>
      <c r="C123" s="218"/>
      <c r="D123" s="218"/>
      <c r="E123" s="9" t="s">
        <v>4</v>
      </c>
      <c r="F123" s="10" t="s">
        <v>0</v>
      </c>
      <c r="G123" s="42" t="s">
        <v>72</v>
      </c>
      <c r="H123" s="42" t="s">
        <v>63</v>
      </c>
      <c r="I123" s="9" t="s">
        <v>86</v>
      </c>
      <c r="J123" s="9" t="s">
        <v>93</v>
      </c>
      <c r="K123" s="9" t="s">
        <v>66</v>
      </c>
      <c r="L123" s="32"/>
      <c r="M123" s="32"/>
    </row>
    <row r="124" spans="1:13" x14ac:dyDescent="0.25">
      <c r="A124" s="227">
        <v>1</v>
      </c>
      <c r="B124" s="228"/>
      <c r="C124" s="228"/>
      <c r="D124" s="228"/>
      <c r="E124" s="30">
        <v>2</v>
      </c>
      <c r="F124" s="12">
        <v>3</v>
      </c>
      <c r="G124" s="30">
        <v>4</v>
      </c>
      <c r="H124" s="30" t="s">
        <v>165</v>
      </c>
      <c r="I124" s="31">
        <v>6</v>
      </c>
      <c r="J124" s="45">
        <v>7</v>
      </c>
      <c r="K124" s="46">
        <v>8</v>
      </c>
      <c r="L124" s="316"/>
      <c r="M124" s="32"/>
    </row>
    <row r="125" spans="1:13" ht="15.75" thickBot="1" x14ac:dyDescent="0.3">
      <c r="A125" s="205" t="s">
        <v>90</v>
      </c>
      <c r="B125" s="205"/>
      <c r="C125" s="205"/>
      <c r="D125" s="205"/>
      <c r="E125" s="47">
        <f>9144000/12/13.75</f>
        <v>55418.181818181816</v>
      </c>
      <c r="F125" s="47">
        <f>13.75*0.595</f>
        <v>8.1812500000000004</v>
      </c>
      <c r="G125" s="47">
        <f>7023041.475*0.595</f>
        <v>4178709.6776249995</v>
      </c>
      <c r="H125" s="47">
        <f>(G125*1.302)</f>
        <v>5440680.0002677497</v>
      </c>
      <c r="I125" s="65">
        <v>414</v>
      </c>
      <c r="J125" s="47">
        <f>H125/I125</f>
        <v>13141.73913108152</v>
      </c>
      <c r="K125" s="82">
        <f>H125/(8696900+23460820)*100</f>
        <v>16.918736776947338</v>
      </c>
      <c r="L125" s="317"/>
      <c r="M125" s="18"/>
    </row>
    <row r="126" spans="1:13" ht="15.75" hidden="1" thickBot="1" x14ac:dyDescent="0.3">
      <c r="A126" s="212"/>
      <c r="B126" s="213"/>
      <c r="C126" s="213"/>
      <c r="D126" s="213"/>
      <c r="E126" s="47">
        <v>17865.98</v>
      </c>
      <c r="F126" s="83">
        <v>4</v>
      </c>
      <c r="G126" s="65"/>
      <c r="H126" s="54">
        <f>H6</f>
        <v>0</v>
      </c>
      <c r="I126" s="47" t="e">
        <f t="shared" ref="I126:I147" si="7">F126/G126*H126</f>
        <v>#DIV/0!</v>
      </c>
      <c r="J126" s="47">
        <f t="shared" ref="J126:J147" si="8">E126*F126*12*1.302</f>
        <v>1116552.28608</v>
      </c>
      <c r="K126" s="84" t="s">
        <v>50</v>
      </c>
      <c r="L126" s="318"/>
      <c r="M126" s="38" t="e">
        <f>I126*J126</f>
        <v>#DIV/0!</v>
      </c>
    </row>
    <row r="127" spans="1:13" ht="15.75" hidden="1" thickBot="1" x14ac:dyDescent="0.3">
      <c r="A127" s="209"/>
      <c r="B127" s="209"/>
      <c r="C127" s="209"/>
      <c r="D127" s="209"/>
      <c r="E127" s="47">
        <v>9544</v>
      </c>
      <c r="F127" s="83">
        <v>1</v>
      </c>
      <c r="G127" s="65"/>
      <c r="H127" s="54">
        <f>H6</f>
        <v>0</v>
      </c>
      <c r="I127" s="47" t="e">
        <f t="shared" si="7"/>
        <v>#DIV/0!</v>
      </c>
      <c r="J127" s="47">
        <f t="shared" si="8"/>
        <v>149115.45600000001</v>
      </c>
      <c r="K127" s="54">
        <f>H127/11277167.39*100</f>
        <v>0</v>
      </c>
      <c r="L127" s="54"/>
      <c r="M127" s="15" t="e">
        <f>I127*J127</f>
        <v>#DIV/0!</v>
      </c>
    </row>
    <row r="128" spans="1:13" ht="15" hidden="1" customHeight="1" x14ac:dyDescent="0.3">
      <c r="A128" s="210"/>
      <c r="B128" s="211"/>
      <c r="C128" s="211"/>
      <c r="D128" s="211"/>
      <c r="E128" s="47">
        <v>11560</v>
      </c>
      <c r="F128" s="83">
        <v>1</v>
      </c>
      <c r="G128" s="65"/>
      <c r="H128" s="54">
        <f>H6</f>
        <v>0</v>
      </c>
      <c r="I128" s="47" t="e">
        <f t="shared" si="7"/>
        <v>#DIV/0!</v>
      </c>
      <c r="J128" s="47">
        <f t="shared" si="8"/>
        <v>180613.44</v>
      </c>
      <c r="K128" s="34"/>
      <c r="L128" s="34"/>
      <c r="M128" s="15" t="e">
        <f>I128*J128</f>
        <v>#DIV/0!</v>
      </c>
    </row>
    <row r="129" spans="1:13" ht="15.75" hidden="1" thickBot="1" x14ac:dyDescent="0.3">
      <c r="A129" s="205"/>
      <c r="B129" s="205"/>
      <c r="C129" s="205"/>
      <c r="D129" s="205"/>
      <c r="E129" s="47">
        <v>9544</v>
      </c>
      <c r="F129" s="85">
        <v>0.5</v>
      </c>
      <c r="G129" s="65"/>
      <c r="H129" s="54">
        <f>H6</f>
        <v>0</v>
      </c>
      <c r="I129" s="47" t="e">
        <f t="shared" si="7"/>
        <v>#DIV/0!</v>
      </c>
      <c r="J129" s="47">
        <f t="shared" si="8"/>
        <v>74557.728000000003</v>
      </c>
      <c r="K129" s="34"/>
      <c r="L129" s="34"/>
      <c r="M129" s="15" t="e">
        <f>I129*J129</f>
        <v>#DIV/0!</v>
      </c>
    </row>
    <row r="130" spans="1:13" ht="15.75" hidden="1" thickBot="1" x14ac:dyDescent="0.3">
      <c r="A130" s="205"/>
      <c r="B130" s="205"/>
      <c r="C130" s="205"/>
      <c r="D130" s="205"/>
      <c r="E130" s="47">
        <v>9544</v>
      </c>
      <c r="F130" s="83">
        <v>1</v>
      </c>
      <c r="G130" s="65"/>
      <c r="H130" s="54">
        <f>H6</f>
        <v>0</v>
      </c>
      <c r="I130" s="47" t="e">
        <f t="shared" si="7"/>
        <v>#DIV/0!</v>
      </c>
      <c r="J130" s="47">
        <f t="shared" si="8"/>
        <v>149115.45600000001</v>
      </c>
      <c r="K130" s="47"/>
      <c r="L130" s="47"/>
      <c r="M130" s="15" t="e">
        <f>I130*J130</f>
        <v>#DIV/0!</v>
      </c>
    </row>
    <row r="131" spans="1:13" ht="14.25" hidden="1" customHeight="1" x14ac:dyDescent="0.3">
      <c r="A131" s="205"/>
      <c r="B131" s="205"/>
      <c r="C131" s="205"/>
      <c r="D131" s="205"/>
      <c r="E131" s="47">
        <v>9544</v>
      </c>
      <c r="F131" s="83">
        <v>1</v>
      </c>
      <c r="G131" s="65"/>
      <c r="H131" s="54">
        <f>H6</f>
        <v>0</v>
      </c>
      <c r="I131" s="47" t="e">
        <f t="shared" si="7"/>
        <v>#DIV/0!</v>
      </c>
      <c r="J131" s="47">
        <f t="shared" si="8"/>
        <v>149115.45600000001</v>
      </c>
      <c r="K131" s="66"/>
      <c r="L131" s="66"/>
      <c r="M131" s="15" t="e">
        <f>I131*J131</f>
        <v>#DIV/0!</v>
      </c>
    </row>
    <row r="132" spans="1:13" ht="15.75" hidden="1" thickBot="1" x14ac:dyDescent="0.3">
      <c r="A132" s="196"/>
      <c r="B132" s="197"/>
      <c r="C132" s="197"/>
      <c r="D132" s="197"/>
      <c r="E132" s="47">
        <v>9544</v>
      </c>
      <c r="F132" s="47"/>
      <c r="G132" s="65"/>
      <c r="H132" s="54">
        <f>H6</f>
        <v>0</v>
      </c>
      <c r="I132" s="47" t="e">
        <f t="shared" si="7"/>
        <v>#DIV/0!</v>
      </c>
      <c r="J132" s="47">
        <f t="shared" si="8"/>
        <v>0</v>
      </c>
      <c r="K132" s="66"/>
      <c r="L132" s="66"/>
      <c r="M132" s="15" t="e">
        <f>I132*J132</f>
        <v>#DIV/0!</v>
      </c>
    </row>
    <row r="133" spans="1:13" ht="15.75" hidden="1" thickBot="1" x14ac:dyDescent="0.3">
      <c r="A133" s="196"/>
      <c r="B133" s="197"/>
      <c r="C133" s="197"/>
      <c r="D133" s="197"/>
      <c r="E133" s="47">
        <v>9544</v>
      </c>
      <c r="F133" s="86">
        <v>0.25</v>
      </c>
      <c r="G133" s="65"/>
      <c r="H133" s="54">
        <f>H6</f>
        <v>0</v>
      </c>
      <c r="I133" s="47" t="e">
        <f t="shared" si="7"/>
        <v>#DIV/0!</v>
      </c>
      <c r="J133" s="47">
        <f t="shared" si="8"/>
        <v>37278.864000000001</v>
      </c>
      <c r="K133" s="66"/>
      <c r="L133" s="66"/>
      <c r="M133" s="15" t="e">
        <f>I133*J133</f>
        <v>#DIV/0!</v>
      </c>
    </row>
    <row r="134" spans="1:13" ht="15.75" hidden="1" thickBot="1" x14ac:dyDescent="0.3">
      <c r="A134" s="196"/>
      <c r="B134" s="197"/>
      <c r="C134" s="197"/>
      <c r="D134" s="197"/>
      <c r="E134" s="47">
        <v>9544</v>
      </c>
      <c r="F134" s="47"/>
      <c r="G134" s="65"/>
      <c r="H134" s="54">
        <f>H6</f>
        <v>0</v>
      </c>
      <c r="I134" s="47" t="e">
        <f t="shared" si="7"/>
        <v>#DIV/0!</v>
      </c>
      <c r="J134" s="47">
        <f t="shared" si="8"/>
        <v>0</v>
      </c>
      <c r="K134" s="66"/>
      <c r="L134" s="66"/>
      <c r="M134" s="15" t="e">
        <f>I134*J134</f>
        <v>#DIV/0!</v>
      </c>
    </row>
    <row r="135" spans="1:13" ht="15.75" hidden="1" thickBot="1" x14ac:dyDescent="0.3">
      <c r="A135" s="196"/>
      <c r="B135" s="197"/>
      <c r="C135" s="197"/>
      <c r="D135" s="197"/>
      <c r="E135" s="47">
        <v>9544</v>
      </c>
      <c r="F135" s="85">
        <v>0.5</v>
      </c>
      <c r="G135" s="65"/>
      <c r="H135" s="54">
        <f>H6</f>
        <v>0</v>
      </c>
      <c r="I135" s="47" t="e">
        <f t="shared" si="7"/>
        <v>#DIV/0!</v>
      </c>
      <c r="J135" s="47">
        <f t="shared" si="8"/>
        <v>74557.728000000003</v>
      </c>
      <c r="K135" s="66"/>
      <c r="L135" s="66"/>
      <c r="M135" s="15" t="e">
        <f>I135*J135</f>
        <v>#DIV/0!</v>
      </c>
    </row>
    <row r="136" spans="1:13" ht="15.75" hidden="1" customHeight="1" x14ac:dyDescent="0.3">
      <c r="A136" s="196"/>
      <c r="B136" s="197"/>
      <c r="C136" s="197"/>
      <c r="D136" s="197"/>
      <c r="E136" s="47">
        <v>9544</v>
      </c>
      <c r="F136" s="83">
        <v>1</v>
      </c>
      <c r="G136" s="65"/>
      <c r="H136" s="54">
        <f>H6</f>
        <v>0</v>
      </c>
      <c r="I136" s="47" t="e">
        <f t="shared" si="7"/>
        <v>#DIV/0!</v>
      </c>
      <c r="J136" s="47">
        <f t="shared" si="8"/>
        <v>149115.45600000001</v>
      </c>
      <c r="K136" s="66"/>
      <c r="L136" s="66"/>
      <c r="M136" s="15" t="e">
        <f>I136*J136</f>
        <v>#DIV/0!</v>
      </c>
    </row>
    <row r="137" spans="1:13" ht="15" hidden="1" customHeight="1" thickBot="1" x14ac:dyDescent="0.3">
      <c r="A137" s="205"/>
      <c r="B137" s="205"/>
      <c r="C137" s="205"/>
      <c r="D137" s="205"/>
      <c r="E137" s="47">
        <v>9544</v>
      </c>
      <c r="F137" s="83">
        <v>1</v>
      </c>
      <c r="G137" s="65"/>
      <c r="H137" s="54">
        <f>H6</f>
        <v>0</v>
      </c>
      <c r="I137" s="47" t="e">
        <f t="shared" si="7"/>
        <v>#DIV/0!</v>
      </c>
      <c r="J137" s="47">
        <f t="shared" si="8"/>
        <v>149115.45600000001</v>
      </c>
      <c r="K137" s="66"/>
      <c r="L137" s="66"/>
      <c r="M137" s="15" t="e">
        <f>I137*J137</f>
        <v>#DIV/0!</v>
      </c>
    </row>
    <row r="138" spans="1:13" ht="15" hidden="1" customHeight="1" x14ac:dyDescent="0.3">
      <c r="A138" s="205"/>
      <c r="B138" s="205"/>
      <c r="C138" s="205"/>
      <c r="D138" s="205"/>
      <c r="E138" s="47">
        <v>9544</v>
      </c>
      <c r="F138" s="85">
        <v>5.5</v>
      </c>
      <c r="G138" s="65"/>
      <c r="H138" s="54">
        <f>H6</f>
        <v>0</v>
      </c>
      <c r="I138" s="47" t="e">
        <f t="shared" si="7"/>
        <v>#DIV/0!</v>
      </c>
      <c r="J138" s="47">
        <f t="shared" si="8"/>
        <v>820135.00800000003</v>
      </c>
      <c r="K138" s="66"/>
      <c r="L138" s="66"/>
      <c r="M138" s="15" t="e">
        <f>I138*J138</f>
        <v>#DIV/0!</v>
      </c>
    </row>
    <row r="139" spans="1:13" ht="15" hidden="1" customHeight="1" thickBot="1" x14ac:dyDescent="0.3">
      <c r="A139" s="205"/>
      <c r="B139" s="205"/>
      <c r="C139" s="205"/>
      <c r="D139" s="205"/>
      <c r="E139" s="47">
        <v>9544</v>
      </c>
      <c r="F139" s="83">
        <v>1</v>
      </c>
      <c r="G139" s="65"/>
      <c r="H139" s="54">
        <f>H6</f>
        <v>0</v>
      </c>
      <c r="I139" s="47" t="e">
        <f t="shared" si="7"/>
        <v>#DIV/0!</v>
      </c>
      <c r="J139" s="47">
        <f t="shared" si="8"/>
        <v>149115.45600000001</v>
      </c>
      <c r="K139" s="66"/>
      <c r="L139" s="66"/>
      <c r="M139" s="15" t="e">
        <f>I139*J139</f>
        <v>#DIV/0!</v>
      </c>
    </row>
    <row r="140" spans="1:13" ht="15" hidden="1" customHeight="1" x14ac:dyDescent="0.3">
      <c r="A140" s="205"/>
      <c r="B140" s="205"/>
      <c r="C140" s="205"/>
      <c r="D140" s="205"/>
      <c r="E140" s="47">
        <v>9544</v>
      </c>
      <c r="F140" s="85">
        <v>0.5</v>
      </c>
      <c r="G140" s="65"/>
      <c r="H140" s="54">
        <f>H6</f>
        <v>0</v>
      </c>
      <c r="I140" s="47" t="e">
        <f t="shared" si="7"/>
        <v>#DIV/0!</v>
      </c>
      <c r="J140" s="47">
        <f t="shared" si="8"/>
        <v>74557.728000000003</v>
      </c>
      <c r="K140" s="66"/>
      <c r="L140" s="66"/>
      <c r="M140" s="15" t="e">
        <f>I140*J140</f>
        <v>#DIV/0!</v>
      </c>
    </row>
    <row r="141" spans="1:13" ht="15" hidden="1" customHeight="1" x14ac:dyDescent="0.3">
      <c r="A141" s="205"/>
      <c r="B141" s="205"/>
      <c r="C141" s="205"/>
      <c r="D141" s="205"/>
      <c r="E141" s="47">
        <v>9544</v>
      </c>
      <c r="F141" s="85">
        <v>0.5</v>
      </c>
      <c r="G141" s="65"/>
      <c r="H141" s="54">
        <f>H6</f>
        <v>0</v>
      </c>
      <c r="I141" s="47" t="e">
        <f t="shared" si="7"/>
        <v>#DIV/0!</v>
      </c>
      <c r="J141" s="47">
        <f t="shared" si="8"/>
        <v>74557.728000000003</v>
      </c>
      <c r="K141" s="66"/>
      <c r="L141" s="66"/>
      <c r="M141" s="15" t="e">
        <f>I141*J141</f>
        <v>#DIV/0!</v>
      </c>
    </row>
    <row r="142" spans="1:13" ht="15.75" hidden="1" thickBot="1" x14ac:dyDescent="0.3">
      <c r="A142" s="205"/>
      <c r="B142" s="205"/>
      <c r="C142" s="205"/>
      <c r="D142" s="205"/>
      <c r="E142" s="47">
        <v>9544</v>
      </c>
      <c r="F142" s="83">
        <v>1</v>
      </c>
      <c r="G142" s="65"/>
      <c r="H142" s="54">
        <f>H6</f>
        <v>0</v>
      </c>
      <c r="I142" s="47" t="e">
        <f t="shared" si="7"/>
        <v>#DIV/0!</v>
      </c>
      <c r="J142" s="47">
        <f t="shared" si="8"/>
        <v>149115.45600000001</v>
      </c>
      <c r="K142" s="66"/>
      <c r="L142" s="66"/>
      <c r="M142" s="15" t="e">
        <f>I142*J142</f>
        <v>#DIV/0!</v>
      </c>
    </row>
    <row r="143" spans="1:13" ht="15.75" hidden="1" customHeight="1" x14ac:dyDescent="0.3">
      <c r="A143" s="205"/>
      <c r="B143" s="205"/>
      <c r="C143" s="205"/>
      <c r="D143" s="205"/>
      <c r="E143" s="47">
        <v>9544</v>
      </c>
      <c r="F143" s="83">
        <v>4</v>
      </c>
      <c r="G143" s="65"/>
      <c r="H143" s="54">
        <f>H6</f>
        <v>0</v>
      </c>
      <c r="I143" s="47" t="e">
        <f t="shared" si="7"/>
        <v>#DIV/0!</v>
      </c>
      <c r="J143" s="47">
        <f t="shared" si="8"/>
        <v>596461.82400000002</v>
      </c>
      <c r="K143" s="66"/>
      <c r="L143" s="66"/>
      <c r="M143" s="15" t="e">
        <f>I143*J143</f>
        <v>#DIV/0!</v>
      </c>
    </row>
    <row r="144" spans="1:13" ht="16.5" hidden="1" customHeight="1" x14ac:dyDescent="0.3">
      <c r="A144" s="196"/>
      <c r="B144" s="197"/>
      <c r="C144" s="197"/>
      <c r="D144" s="197"/>
      <c r="E144" s="47">
        <v>9544</v>
      </c>
      <c r="F144" s="83">
        <v>1</v>
      </c>
      <c r="G144" s="65"/>
      <c r="H144" s="54">
        <f>H6</f>
        <v>0</v>
      </c>
      <c r="I144" s="47" t="e">
        <f t="shared" si="7"/>
        <v>#DIV/0!</v>
      </c>
      <c r="J144" s="47">
        <f t="shared" si="8"/>
        <v>149115.45600000001</v>
      </c>
      <c r="K144" s="66"/>
      <c r="L144" s="66"/>
      <c r="M144" s="15" t="e">
        <f>I144*J144</f>
        <v>#DIV/0!</v>
      </c>
    </row>
    <row r="145" spans="1:13" ht="16.5" hidden="1" customHeight="1" thickBot="1" x14ac:dyDescent="0.3">
      <c r="A145" s="196"/>
      <c r="B145" s="197"/>
      <c r="C145" s="197"/>
      <c r="D145" s="197"/>
      <c r="E145" s="47">
        <v>9544</v>
      </c>
      <c r="F145" s="86">
        <v>1.75</v>
      </c>
      <c r="G145" s="65"/>
      <c r="H145" s="54">
        <f>H6</f>
        <v>0</v>
      </c>
      <c r="I145" s="47" t="e">
        <f t="shared" si="7"/>
        <v>#DIV/0!</v>
      </c>
      <c r="J145" s="47">
        <f t="shared" si="8"/>
        <v>260952.04800000001</v>
      </c>
      <c r="K145" s="66"/>
      <c r="L145" s="66"/>
      <c r="M145" s="15" t="e">
        <f>I145*J145</f>
        <v>#DIV/0!</v>
      </c>
    </row>
    <row r="146" spans="1:13" ht="16.5" hidden="1" customHeight="1" thickBot="1" x14ac:dyDescent="0.3">
      <c r="A146" s="196"/>
      <c r="B146" s="197"/>
      <c r="C146" s="197"/>
      <c r="D146" s="197"/>
      <c r="E146" s="47">
        <v>9544</v>
      </c>
      <c r="F146" s="54"/>
      <c r="G146" s="65"/>
      <c r="H146" s="54">
        <f>H6</f>
        <v>0</v>
      </c>
      <c r="I146" s="47" t="e">
        <f t="shared" si="7"/>
        <v>#DIV/0!</v>
      </c>
      <c r="J146" s="47">
        <f t="shared" si="8"/>
        <v>0</v>
      </c>
      <c r="K146" s="66"/>
      <c r="L146" s="66"/>
      <c r="M146" s="15" t="e">
        <f>I146*J146</f>
        <v>#DIV/0!</v>
      </c>
    </row>
    <row r="147" spans="1:13" ht="16.5" hidden="1" customHeight="1" thickBot="1" x14ac:dyDescent="0.3">
      <c r="A147" s="196"/>
      <c r="B147" s="197"/>
      <c r="C147" s="197"/>
      <c r="D147" s="197"/>
      <c r="E147" s="47">
        <v>9544</v>
      </c>
      <c r="F147" s="85">
        <v>0.5</v>
      </c>
      <c r="G147" s="65"/>
      <c r="H147" s="54">
        <f>H6</f>
        <v>0</v>
      </c>
      <c r="I147" s="47" t="e">
        <f t="shared" si="7"/>
        <v>#DIV/0!</v>
      </c>
      <c r="J147" s="47">
        <f t="shared" si="8"/>
        <v>74557.728000000003</v>
      </c>
      <c r="K147" s="66"/>
      <c r="L147" s="66"/>
      <c r="M147" s="15" t="e">
        <f>I147*J147</f>
        <v>#DIV/0!</v>
      </c>
    </row>
    <row r="148" spans="1:13" ht="15" hidden="1" customHeight="1" thickBot="1" x14ac:dyDescent="0.3">
      <c r="A148" s="196"/>
      <c r="B148" s="197"/>
      <c r="C148" s="197"/>
      <c r="D148" s="197"/>
      <c r="E148" s="47"/>
      <c r="F148" s="47"/>
      <c r="G148" s="47"/>
      <c r="H148" s="47"/>
      <c r="I148" s="47"/>
      <c r="J148" s="47"/>
      <c r="K148" s="66"/>
      <c r="L148" s="66"/>
      <c r="M148" s="15">
        <f>I148*J148</f>
        <v>0</v>
      </c>
    </row>
    <row r="149" spans="1:13" ht="15.75" hidden="1" customHeight="1" thickBot="1" x14ac:dyDescent="0.3">
      <c r="A149" s="196"/>
      <c r="B149" s="197"/>
      <c r="C149" s="197"/>
      <c r="D149" s="197"/>
      <c r="E149" s="47"/>
      <c r="F149" s="47"/>
      <c r="G149" s="47"/>
      <c r="H149" s="47"/>
      <c r="I149" s="47"/>
      <c r="J149" s="47"/>
      <c r="K149" s="66"/>
      <c r="L149" s="66"/>
      <c r="M149" s="15">
        <f>I149*J149</f>
        <v>0</v>
      </c>
    </row>
    <row r="150" spans="1:13" ht="14.25" hidden="1" customHeight="1" thickBot="1" x14ac:dyDescent="0.3">
      <c r="A150" s="196"/>
      <c r="B150" s="197"/>
      <c r="C150" s="197"/>
      <c r="D150" s="197"/>
      <c r="E150" s="47"/>
      <c r="F150" s="47"/>
      <c r="G150" s="47"/>
      <c r="H150" s="47"/>
      <c r="I150" s="65">
        <v>105</v>
      </c>
      <c r="J150" s="67">
        <f>H150/I150</f>
        <v>0</v>
      </c>
      <c r="K150" s="66"/>
      <c r="L150" s="66"/>
      <c r="M150" s="36">
        <f>I150*J150</f>
        <v>0</v>
      </c>
    </row>
    <row r="151" spans="1:13" ht="15.75" thickBot="1" x14ac:dyDescent="0.3">
      <c r="A151" s="226" t="s">
        <v>67</v>
      </c>
      <c r="B151" s="226"/>
      <c r="C151" s="226"/>
      <c r="D151" s="226"/>
      <c r="E151" s="87"/>
      <c r="F151" s="147"/>
      <c r="G151" s="147"/>
      <c r="H151" s="92">
        <f>H125</f>
        <v>5440680.0002677497</v>
      </c>
      <c r="I151" s="68"/>
      <c r="J151" s="88">
        <f>J125</f>
        <v>13141.73913108152</v>
      </c>
      <c r="K151" s="66"/>
      <c r="L151" s="66"/>
      <c r="M151" s="18"/>
    </row>
    <row r="152" spans="1:13" ht="12" customHeigh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9"/>
      <c r="L152" s="19"/>
      <c r="M152" s="19"/>
    </row>
    <row r="153" spans="1:13" ht="15.75" x14ac:dyDescent="0.25">
      <c r="A153" s="217" t="s">
        <v>92</v>
      </c>
      <c r="B153" s="217"/>
      <c r="C153" s="217"/>
      <c r="D153" s="217"/>
      <c r="E153" s="217"/>
      <c r="F153" s="217"/>
      <c r="G153" s="217"/>
      <c r="H153" s="217"/>
      <c r="I153" s="217"/>
      <c r="J153" s="217"/>
      <c r="K153" s="217"/>
      <c r="L153" s="217"/>
      <c r="M153" s="217"/>
    </row>
    <row r="154" spans="1:13" ht="60" x14ac:dyDescent="0.25">
      <c r="A154" s="218" t="s">
        <v>3</v>
      </c>
      <c r="B154" s="218"/>
      <c r="C154" s="218"/>
      <c r="D154" s="218"/>
      <c r="E154" s="9" t="s">
        <v>4</v>
      </c>
      <c r="F154" s="10" t="s">
        <v>0</v>
      </c>
      <c r="G154" s="42" t="s">
        <v>72</v>
      </c>
      <c r="H154" s="42" t="s">
        <v>63</v>
      </c>
      <c r="I154" s="9" t="s">
        <v>86</v>
      </c>
      <c r="J154" s="9" t="s">
        <v>93</v>
      </c>
      <c r="K154" s="9" t="s">
        <v>66</v>
      </c>
      <c r="L154" s="32"/>
      <c r="M154" s="32"/>
    </row>
    <row r="155" spans="1:13" x14ac:dyDescent="0.25">
      <c r="A155" s="227">
        <v>1</v>
      </c>
      <c r="B155" s="228"/>
      <c r="C155" s="228"/>
      <c r="D155" s="228"/>
      <c r="E155" s="30">
        <v>2</v>
      </c>
      <c r="F155" s="12">
        <v>3</v>
      </c>
      <c r="G155" s="30">
        <v>4</v>
      </c>
      <c r="H155" s="30">
        <v>5</v>
      </c>
      <c r="I155" s="31">
        <v>6</v>
      </c>
      <c r="J155" s="45">
        <v>7</v>
      </c>
      <c r="K155" s="46">
        <v>8</v>
      </c>
      <c r="L155" s="316"/>
      <c r="M155" s="32"/>
    </row>
    <row r="156" spans="1:13" ht="15.75" thickBot="1" x14ac:dyDescent="0.3">
      <c r="A156" s="205" t="s">
        <v>91</v>
      </c>
      <c r="B156" s="205"/>
      <c r="C156" s="205"/>
      <c r="D156" s="205"/>
      <c r="E156" s="47">
        <f>18861400/12/55.25</f>
        <v>28448.567119155352</v>
      </c>
      <c r="F156" s="47">
        <f>55.25*0.595</f>
        <v>32.873750000000001</v>
      </c>
      <c r="G156" s="47">
        <f>14486482.34*0.595</f>
        <v>8619456.9923</v>
      </c>
      <c r="H156" s="47">
        <f>G156*1.302</f>
        <v>11222533.0039746</v>
      </c>
      <c r="I156" s="65">
        <v>414</v>
      </c>
      <c r="J156" s="47">
        <f>H156/I156</f>
        <v>27107.567642450726</v>
      </c>
      <c r="K156" s="82">
        <f>H156/(8696900+23460820)*100</f>
        <v>34.89841009864692</v>
      </c>
      <c r="L156" s="317"/>
      <c r="M156" s="18"/>
    </row>
    <row r="157" spans="1:13" ht="15.75" hidden="1" thickBot="1" x14ac:dyDescent="0.3">
      <c r="A157" s="212"/>
      <c r="B157" s="213"/>
      <c r="C157" s="213"/>
      <c r="D157" s="213"/>
      <c r="E157" s="47">
        <v>17865.98</v>
      </c>
      <c r="F157" s="83">
        <v>4</v>
      </c>
      <c r="G157" s="65"/>
      <c r="H157" s="54">
        <f>H39</f>
        <v>0</v>
      </c>
      <c r="I157" s="47" t="e">
        <f t="shared" ref="I157:I178" si="9">F157/G157*H157</f>
        <v>#DIV/0!</v>
      </c>
      <c r="J157" s="47">
        <f t="shared" ref="J157:J178" si="10">E157*F157*12*1.302</f>
        <v>1116552.28608</v>
      </c>
      <c r="K157" s="84" t="s">
        <v>50</v>
      </c>
      <c r="L157" s="318"/>
      <c r="M157" s="38" t="e">
        <f t="shared" ref="M157:M181" si="11">I157*J157</f>
        <v>#DIV/0!</v>
      </c>
    </row>
    <row r="158" spans="1:13" ht="15.75" hidden="1" thickBot="1" x14ac:dyDescent="0.3">
      <c r="A158" s="209"/>
      <c r="B158" s="209"/>
      <c r="C158" s="209"/>
      <c r="D158" s="209"/>
      <c r="E158" s="47">
        <v>9544</v>
      </c>
      <c r="F158" s="83">
        <v>1</v>
      </c>
      <c r="G158" s="65"/>
      <c r="H158" s="54">
        <f>H39</f>
        <v>0</v>
      </c>
      <c r="I158" s="47" t="e">
        <f t="shared" si="9"/>
        <v>#DIV/0!</v>
      </c>
      <c r="J158" s="47">
        <f t="shared" si="10"/>
        <v>149115.45600000001</v>
      </c>
      <c r="K158" s="54">
        <f>H158/11277167.39*100</f>
        <v>0</v>
      </c>
      <c r="L158" s="54"/>
      <c r="M158" s="15" t="e">
        <f t="shared" si="11"/>
        <v>#DIV/0!</v>
      </c>
    </row>
    <row r="159" spans="1:13" ht="15" hidden="1" customHeight="1" x14ac:dyDescent="0.3">
      <c r="A159" s="210"/>
      <c r="B159" s="211"/>
      <c r="C159" s="211"/>
      <c r="D159" s="211"/>
      <c r="E159" s="47">
        <v>11560</v>
      </c>
      <c r="F159" s="83">
        <v>1</v>
      </c>
      <c r="G159" s="65"/>
      <c r="H159" s="54">
        <f>H39</f>
        <v>0</v>
      </c>
      <c r="I159" s="47" t="e">
        <f t="shared" si="9"/>
        <v>#DIV/0!</v>
      </c>
      <c r="J159" s="47">
        <f t="shared" si="10"/>
        <v>180613.44</v>
      </c>
      <c r="K159" s="34"/>
      <c r="L159" s="34"/>
      <c r="M159" s="15" t="e">
        <f t="shared" si="11"/>
        <v>#DIV/0!</v>
      </c>
    </row>
    <row r="160" spans="1:13" ht="15.75" hidden="1" thickBot="1" x14ac:dyDescent="0.3">
      <c r="A160" s="205"/>
      <c r="B160" s="205"/>
      <c r="C160" s="205"/>
      <c r="D160" s="205"/>
      <c r="E160" s="47">
        <v>9544</v>
      </c>
      <c r="F160" s="85">
        <v>0.5</v>
      </c>
      <c r="G160" s="65"/>
      <c r="H160" s="54">
        <f>H39</f>
        <v>0</v>
      </c>
      <c r="I160" s="47" t="e">
        <f t="shared" si="9"/>
        <v>#DIV/0!</v>
      </c>
      <c r="J160" s="47">
        <f t="shared" si="10"/>
        <v>74557.728000000003</v>
      </c>
      <c r="K160" s="34"/>
      <c r="L160" s="34"/>
      <c r="M160" s="15" t="e">
        <f t="shared" si="11"/>
        <v>#DIV/0!</v>
      </c>
    </row>
    <row r="161" spans="1:13" ht="15.75" hidden="1" thickBot="1" x14ac:dyDescent="0.3">
      <c r="A161" s="205"/>
      <c r="B161" s="205"/>
      <c r="C161" s="205"/>
      <c r="D161" s="205"/>
      <c r="E161" s="47">
        <v>9544</v>
      </c>
      <c r="F161" s="83">
        <v>1</v>
      </c>
      <c r="G161" s="65"/>
      <c r="H161" s="54">
        <f>H39</f>
        <v>0</v>
      </c>
      <c r="I161" s="47" t="e">
        <f t="shared" si="9"/>
        <v>#DIV/0!</v>
      </c>
      <c r="J161" s="47">
        <f t="shared" si="10"/>
        <v>149115.45600000001</v>
      </c>
      <c r="K161" s="47"/>
      <c r="L161" s="47"/>
      <c r="M161" s="15" t="e">
        <f t="shared" si="11"/>
        <v>#DIV/0!</v>
      </c>
    </row>
    <row r="162" spans="1:13" ht="14.25" hidden="1" customHeight="1" x14ac:dyDescent="0.3">
      <c r="A162" s="205"/>
      <c r="B162" s="205"/>
      <c r="C162" s="205"/>
      <c r="D162" s="205"/>
      <c r="E162" s="47">
        <v>9544</v>
      </c>
      <c r="F162" s="83">
        <v>1</v>
      </c>
      <c r="G162" s="65"/>
      <c r="H162" s="54">
        <f>H39</f>
        <v>0</v>
      </c>
      <c r="I162" s="47" t="e">
        <f t="shared" si="9"/>
        <v>#DIV/0!</v>
      </c>
      <c r="J162" s="47">
        <f t="shared" si="10"/>
        <v>149115.45600000001</v>
      </c>
      <c r="K162" s="66"/>
      <c r="L162" s="66"/>
      <c r="M162" s="15" t="e">
        <f t="shared" si="11"/>
        <v>#DIV/0!</v>
      </c>
    </row>
    <row r="163" spans="1:13" ht="15.75" hidden="1" thickBot="1" x14ac:dyDescent="0.3">
      <c r="A163" s="196"/>
      <c r="B163" s="197"/>
      <c r="C163" s="197"/>
      <c r="D163" s="197"/>
      <c r="E163" s="47">
        <v>9544</v>
      </c>
      <c r="F163" s="47"/>
      <c r="G163" s="65"/>
      <c r="H163" s="54">
        <f>H39</f>
        <v>0</v>
      </c>
      <c r="I163" s="47" t="e">
        <f t="shared" si="9"/>
        <v>#DIV/0!</v>
      </c>
      <c r="J163" s="47">
        <f t="shared" si="10"/>
        <v>0</v>
      </c>
      <c r="K163" s="66"/>
      <c r="L163" s="66"/>
      <c r="M163" s="15" t="e">
        <f t="shared" si="11"/>
        <v>#DIV/0!</v>
      </c>
    </row>
    <row r="164" spans="1:13" ht="15.75" hidden="1" thickBot="1" x14ac:dyDescent="0.3">
      <c r="A164" s="196"/>
      <c r="B164" s="197"/>
      <c r="C164" s="197"/>
      <c r="D164" s="197"/>
      <c r="E164" s="47">
        <v>9544</v>
      </c>
      <c r="F164" s="86">
        <v>0.25</v>
      </c>
      <c r="G164" s="65"/>
      <c r="H164" s="54">
        <f>H39</f>
        <v>0</v>
      </c>
      <c r="I164" s="47" t="e">
        <f t="shared" si="9"/>
        <v>#DIV/0!</v>
      </c>
      <c r="J164" s="47">
        <f t="shared" si="10"/>
        <v>37278.864000000001</v>
      </c>
      <c r="K164" s="66"/>
      <c r="L164" s="66"/>
      <c r="M164" s="15" t="e">
        <f t="shared" si="11"/>
        <v>#DIV/0!</v>
      </c>
    </row>
    <row r="165" spans="1:13" ht="15.75" hidden="1" thickBot="1" x14ac:dyDescent="0.3">
      <c r="A165" s="196"/>
      <c r="B165" s="197"/>
      <c r="C165" s="197"/>
      <c r="D165" s="197"/>
      <c r="E165" s="47">
        <v>9544</v>
      </c>
      <c r="F165" s="47"/>
      <c r="G165" s="65"/>
      <c r="H165" s="54">
        <f>H39</f>
        <v>0</v>
      </c>
      <c r="I165" s="47" t="e">
        <f t="shared" si="9"/>
        <v>#DIV/0!</v>
      </c>
      <c r="J165" s="47">
        <f t="shared" si="10"/>
        <v>0</v>
      </c>
      <c r="K165" s="66"/>
      <c r="L165" s="66"/>
      <c r="M165" s="15" t="e">
        <f t="shared" si="11"/>
        <v>#DIV/0!</v>
      </c>
    </row>
    <row r="166" spans="1:13" ht="15.75" hidden="1" thickBot="1" x14ac:dyDescent="0.3">
      <c r="A166" s="196"/>
      <c r="B166" s="197"/>
      <c r="C166" s="197"/>
      <c r="D166" s="197"/>
      <c r="E166" s="47">
        <v>9544</v>
      </c>
      <c r="F166" s="85">
        <v>0.5</v>
      </c>
      <c r="G166" s="65"/>
      <c r="H166" s="54">
        <f>H39</f>
        <v>0</v>
      </c>
      <c r="I166" s="47" t="e">
        <f t="shared" si="9"/>
        <v>#DIV/0!</v>
      </c>
      <c r="J166" s="47">
        <f t="shared" si="10"/>
        <v>74557.728000000003</v>
      </c>
      <c r="K166" s="66"/>
      <c r="L166" s="66"/>
      <c r="M166" s="15" t="e">
        <f t="shared" si="11"/>
        <v>#DIV/0!</v>
      </c>
    </row>
    <row r="167" spans="1:13" ht="15.75" hidden="1" customHeight="1" thickBot="1" x14ac:dyDescent="0.3">
      <c r="A167" s="196"/>
      <c r="B167" s="197"/>
      <c r="C167" s="197"/>
      <c r="D167" s="197"/>
      <c r="E167" s="47">
        <v>9544</v>
      </c>
      <c r="F167" s="83">
        <v>1</v>
      </c>
      <c r="G167" s="65"/>
      <c r="H167" s="54">
        <f>H39</f>
        <v>0</v>
      </c>
      <c r="I167" s="47" t="e">
        <f t="shared" si="9"/>
        <v>#DIV/0!</v>
      </c>
      <c r="J167" s="47">
        <f t="shared" si="10"/>
        <v>149115.45600000001</v>
      </c>
      <c r="K167" s="66"/>
      <c r="L167" s="66"/>
      <c r="M167" s="15" t="e">
        <f t="shared" si="11"/>
        <v>#DIV/0!</v>
      </c>
    </row>
    <row r="168" spans="1:13" ht="15" hidden="1" customHeight="1" x14ac:dyDescent="0.3">
      <c r="A168" s="205"/>
      <c r="B168" s="205"/>
      <c r="C168" s="205"/>
      <c r="D168" s="205"/>
      <c r="E168" s="47">
        <v>9544</v>
      </c>
      <c r="F168" s="83">
        <v>1</v>
      </c>
      <c r="G168" s="65"/>
      <c r="H168" s="54">
        <f>H39</f>
        <v>0</v>
      </c>
      <c r="I168" s="47" t="e">
        <f t="shared" si="9"/>
        <v>#DIV/0!</v>
      </c>
      <c r="J168" s="47">
        <f t="shared" si="10"/>
        <v>149115.45600000001</v>
      </c>
      <c r="K168" s="66"/>
      <c r="L168" s="66"/>
      <c r="M168" s="15" t="e">
        <f t="shared" si="11"/>
        <v>#DIV/0!</v>
      </c>
    </row>
    <row r="169" spans="1:13" ht="15" hidden="1" customHeight="1" thickBot="1" x14ac:dyDescent="0.3">
      <c r="A169" s="205"/>
      <c r="B169" s="205"/>
      <c r="C169" s="205"/>
      <c r="D169" s="205"/>
      <c r="E169" s="47">
        <v>9544</v>
      </c>
      <c r="F169" s="85">
        <v>5.5</v>
      </c>
      <c r="G169" s="65"/>
      <c r="H169" s="54">
        <f>H39</f>
        <v>0</v>
      </c>
      <c r="I169" s="47" t="e">
        <f t="shared" si="9"/>
        <v>#DIV/0!</v>
      </c>
      <c r="J169" s="47">
        <f t="shared" si="10"/>
        <v>820135.00800000003</v>
      </c>
      <c r="K169" s="66"/>
      <c r="L169" s="66"/>
      <c r="M169" s="15" t="e">
        <f t="shared" si="11"/>
        <v>#DIV/0!</v>
      </c>
    </row>
    <row r="170" spans="1:13" ht="15" hidden="1" customHeight="1" x14ac:dyDescent="0.3">
      <c r="A170" s="205"/>
      <c r="B170" s="205"/>
      <c r="C170" s="205"/>
      <c r="D170" s="205"/>
      <c r="E170" s="47">
        <v>9544</v>
      </c>
      <c r="F170" s="83">
        <v>1</v>
      </c>
      <c r="G170" s="65"/>
      <c r="H170" s="54">
        <f>H39</f>
        <v>0</v>
      </c>
      <c r="I170" s="47" t="e">
        <f t="shared" si="9"/>
        <v>#DIV/0!</v>
      </c>
      <c r="J170" s="47">
        <f t="shared" si="10"/>
        <v>149115.45600000001</v>
      </c>
      <c r="K170" s="66"/>
      <c r="L170" s="66"/>
      <c r="M170" s="15" t="e">
        <f t="shared" si="11"/>
        <v>#DIV/0!</v>
      </c>
    </row>
    <row r="171" spans="1:13" ht="15" hidden="1" customHeight="1" x14ac:dyDescent="0.3">
      <c r="A171" s="205"/>
      <c r="B171" s="205"/>
      <c r="C171" s="205"/>
      <c r="D171" s="205"/>
      <c r="E171" s="47">
        <v>9544</v>
      </c>
      <c r="F171" s="85">
        <v>0.5</v>
      </c>
      <c r="G171" s="65"/>
      <c r="H171" s="54">
        <f>H39</f>
        <v>0</v>
      </c>
      <c r="I171" s="47" t="e">
        <f t="shared" si="9"/>
        <v>#DIV/0!</v>
      </c>
      <c r="J171" s="47">
        <f t="shared" si="10"/>
        <v>74557.728000000003</v>
      </c>
      <c r="K171" s="66"/>
      <c r="L171" s="66"/>
      <c r="M171" s="15" t="e">
        <f t="shared" si="11"/>
        <v>#DIV/0!</v>
      </c>
    </row>
    <row r="172" spans="1:13" ht="15" hidden="1" customHeight="1" x14ac:dyDescent="0.3">
      <c r="A172" s="205"/>
      <c r="B172" s="205"/>
      <c r="C172" s="205"/>
      <c r="D172" s="205"/>
      <c r="E172" s="47">
        <v>9544</v>
      </c>
      <c r="F172" s="85">
        <v>0.5</v>
      </c>
      <c r="G172" s="65"/>
      <c r="H172" s="54">
        <f>H39</f>
        <v>0</v>
      </c>
      <c r="I172" s="47" t="e">
        <f t="shared" si="9"/>
        <v>#DIV/0!</v>
      </c>
      <c r="J172" s="47">
        <f t="shared" si="10"/>
        <v>74557.728000000003</v>
      </c>
      <c r="K172" s="66"/>
      <c r="L172" s="66"/>
      <c r="M172" s="15" t="e">
        <f t="shared" si="11"/>
        <v>#DIV/0!</v>
      </c>
    </row>
    <row r="173" spans="1:13" ht="15.75" hidden="1" thickBot="1" x14ac:dyDescent="0.3">
      <c r="A173" s="205"/>
      <c r="B173" s="205"/>
      <c r="C173" s="205"/>
      <c r="D173" s="205"/>
      <c r="E173" s="47">
        <v>9544</v>
      </c>
      <c r="F173" s="83">
        <v>1</v>
      </c>
      <c r="G173" s="65"/>
      <c r="H173" s="54">
        <f>H39</f>
        <v>0</v>
      </c>
      <c r="I173" s="47" t="e">
        <f t="shared" si="9"/>
        <v>#DIV/0!</v>
      </c>
      <c r="J173" s="47">
        <f t="shared" si="10"/>
        <v>149115.45600000001</v>
      </c>
      <c r="K173" s="66"/>
      <c r="L173" s="66"/>
      <c r="M173" s="15" t="e">
        <f t="shared" si="11"/>
        <v>#DIV/0!</v>
      </c>
    </row>
    <row r="174" spans="1:13" ht="15.75" hidden="1" customHeight="1" x14ac:dyDescent="0.3">
      <c r="A174" s="205"/>
      <c r="B174" s="205"/>
      <c r="C174" s="205"/>
      <c r="D174" s="205"/>
      <c r="E174" s="47">
        <v>9544</v>
      </c>
      <c r="F174" s="83">
        <v>4</v>
      </c>
      <c r="G174" s="65"/>
      <c r="H174" s="54">
        <f>H39</f>
        <v>0</v>
      </c>
      <c r="I174" s="47" t="e">
        <f t="shared" si="9"/>
        <v>#DIV/0!</v>
      </c>
      <c r="J174" s="47">
        <f t="shared" si="10"/>
        <v>596461.82400000002</v>
      </c>
      <c r="K174" s="66"/>
      <c r="L174" s="66"/>
      <c r="M174" s="15" t="e">
        <f t="shared" si="11"/>
        <v>#DIV/0!</v>
      </c>
    </row>
    <row r="175" spans="1:13" ht="16.5" hidden="1" customHeight="1" x14ac:dyDescent="0.3">
      <c r="A175" s="196"/>
      <c r="B175" s="197"/>
      <c r="C175" s="197"/>
      <c r="D175" s="197"/>
      <c r="E175" s="47">
        <v>9544</v>
      </c>
      <c r="F175" s="83">
        <v>1</v>
      </c>
      <c r="G175" s="65"/>
      <c r="H175" s="54">
        <f>H39</f>
        <v>0</v>
      </c>
      <c r="I175" s="47" t="e">
        <f t="shared" si="9"/>
        <v>#DIV/0!</v>
      </c>
      <c r="J175" s="47">
        <f t="shared" si="10"/>
        <v>149115.45600000001</v>
      </c>
      <c r="K175" s="66"/>
      <c r="L175" s="66"/>
      <c r="M175" s="15" t="e">
        <f t="shared" si="11"/>
        <v>#DIV/0!</v>
      </c>
    </row>
    <row r="176" spans="1:13" ht="16.5" hidden="1" customHeight="1" thickBot="1" x14ac:dyDescent="0.3">
      <c r="A176" s="196"/>
      <c r="B176" s="197"/>
      <c r="C176" s="197"/>
      <c r="D176" s="197"/>
      <c r="E176" s="47">
        <v>9544</v>
      </c>
      <c r="F176" s="86">
        <v>1.75</v>
      </c>
      <c r="G176" s="65"/>
      <c r="H176" s="54">
        <f>H39</f>
        <v>0</v>
      </c>
      <c r="I176" s="47" t="e">
        <f t="shared" si="9"/>
        <v>#DIV/0!</v>
      </c>
      <c r="J176" s="47">
        <f t="shared" si="10"/>
        <v>260952.04800000001</v>
      </c>
      <c r="K176" s="66"/>
      <c r="L176" s="66"/>
      <c r="M176" s="15" t="e">
        <f t="shared" si="11"/>
        <v>#DIV/0!</v>
      </c>
    </row>
    <row r="177" spans="1:13" ht="16.5" hidden="1" customHeight="1" thickBot="1" x14ac:dyDescent="0.3">
      <c r="A177" s="196"/>
      <c r="B177" s="197"/>
      <c r="C177" s="197"/>
      <c r="D177" s="197"/>
      <c r="E177" s="47">
        <v>9544</v>
      </c>
      <c r="F177" s="54"/>
      <c r="G177" s="65"/>
      <c r="H177" s="54">
        <f>H39</f>
        <v>0</v>
      </c>
      <c r="I177" s="47" t="e">
        <f t="shared" si="9"/>
        <v>#DIV/0!</v>
      </c>
      <c r="J177" s="47">
        <f t="shared" si="10"/>
        <v>0</v>
      </c>
      <c r="K177" s="66"/>
      <c r="L177" s="66"/>
      <c r="M177" s="15" t="e">
        <f t="shared" si="11"/>
        <v>#DIV/0!</v>
      </c>
    </row>
    <row r="178" spans="1:13" ht="16.5" hidden="1" customHeight="1" thickBot="1" x14ac:dyDescent="0.3">
      <c r="A178" s="196"/>
      <c r="B178" s="197"/>
      <c r="C178" s="197"/>
      <c r="D178" s="197"/>
      <c r="E178" s="47">
        <v>9544</v>
      </c>
      <c r="F178" s="85">
        <v>0.5</v>
      </c>
      <c r="G178" s="65"/>
      <c r="H178" s="54">
        <f>H39</f>
        <v>0</v>
      </c>
      <c r="I178" s="47" t="e">
        <f t="shared" si="9"/>
        <v>#DIV/0!</v>
      </c>
      <c r="J178" s="47">
        <f t="shared" si="10"/>
        <v>74557.728000000003</v>
      </c>
      <c r="K178" s="66"/>
      <c r="L178" s="66"/>
      <c r="M178" s="15" t="e">
        <f t="shared" si="11"/>
        <v>#DIV/0!</v>
      </c>
    </row>
    <row r="179" spans="1:13" ht="15" hidden="1" customHeight="1" thickBot="1" x14ac:dyDescent="0.3">
      <c r="A179" s="196"/>
      <c r="B179" s="197"/>
      <c r="C179" s="197"/>
      <c r="D179" s="197"/>
      <c r="E179" s="47"/>
      <c r="F179" s="47"/>
      <c r="G179" s="47"/>
      <c r="H179" s="47"/>
      <c r="I179" s="47"/>
      <c r="J179" s="47"/>
      <c r="K179" s="66"/>
      <c r="L179" s="66"/>
      <c r="M179" s="15">
        <f t="shared" si="11"/>
        <v>0</v>
      </c>
    </row>
    <row r="180" spans="1:13" ht="15.75" hidden="1" customHeight="1" thickBot="1" x14ac:dyDescent="0.3">
      <c r="A180" s="196"/>
      <c r="B180" s="197"/>
      <c r="C180" s="197"/>
      <c r="D180" s="197"/>
      <c r="E180" s="47"/>
      <c r="F180" s="47"/>
      <c r="G180" s="47"/>
      <c r="H180" s="47"/>
      <c r="I180" s="47"/>
      <c r="J180" s="47"/>
      <c r="K180" s="66"/>
      <c r="L180" s="66"/>
      <c r="M180" s="15">
        <f t="shared" si="11"/>
        <v>0</v>
      </c>
    </row>
    <row r="181" spans="1:13" ht="14.25" hidden="1" customHeight="1" thickBot="1" x14ac:dyDescent="0.3">
      <c r="A181" s="196"/>
      <c r="B181" s="197"/>
      <c r="C181" s="197"/>
      <c r="D181" s="197"/>
      <c r="E181" s="47"/>
      <c r="F181" s="47"/>
      <c r="G181" s="47"/>
      <c r="H181" s="47"/>
      <c r="I181" s="65">
        <v>105</v>
      </c>
      <c r="J181" s="67">
        <f>H181/I181</f>
        <v>0</v>
      </c>
      <c r="K181" s="66"/>
      <c r="L181" s="66"/>
      <c r="M181" s="36">
        <f t="shared" si="11"/>
        <v>0</v>
      </c>
    </row>
    <row r="182" spans="1:13" ht="15.75" thickBot="1" x14ac:dyDescent="0.3">
      <c r="A182" s="226" t="s">
        <v>67</v>
      </c>
      <c r="B182" s="226"/>
      <c r="C182" s="226"/>
      <c r="D182" s="226"/>
      <c r="E182" s="87"/>
      <c r="F182" s="147"/>
      <c r="G182" s="147"/>
      <c r="H182" s="92">
        <f>H156</f>
        <v>11222533.0039746</v>
      </c>
      <c r="I182" s="68"/>
      <c r="J182" s="88">
        <f>J156</f>
        <v>27107.567642450726</v>
      </c>
      <c r="K182" s="66"/>
      <c r="L182" s="66"/>
      <c r="M182" s="18"/>
    </row>
    <row r="183" spans="1:13" ht="12" customHeight="1" x14ac:dyDescent="0.25">
      <c r="A183" s="11"/>
      <c r="B183" s="11"/>
      <c r="C183" s="11"/>
      <c r="D183" s="11"/>
      <c r="E183" s="11"/>
      <c r="F183" s="11"/>
      <c r="G183" s="11"/>
      <c r="H183" s="13"/>
      <c r="I183" s="13"/>
      <c r="J183" s="13"/>
      <c r="K183" s="11"/>
      <c r="L183" s="11"/>
      <c r="M183" s="11"/>
    </row>
    <row r="184" spans="1:13" x14ac:dyDescent="0.25">
      <c r="A184" s="220" t="s">
        <v>84</v>
      </c>
      <c r="B184" s="220"/>
      <c r="C184" s="220"/>
      <c r="D184" s="220"/>
      <c r="E184" s="220"/>
      <c r="F184" s="220"/>
      <c r="G184" s="220"/>
      <c r="H184" s="220"/>
      <c r="I184" s="220"/>
      <c r="J184" s="220"/>
      <c r="K184" s="220"/>
      <c r="L184" s="187"/>
      <c r="M184" s="11"/>
    </row>
    <row r="185" spans="1:13" ht="60" x14ac:dyDescent="0.25">
      <c r="A185" s="193" t="s">
        <v>85</v>
      </c>
      <c r="B185" s="194"/>
      <c r="C185" s="194"/>
      <c r="D185" s="195"/>
      <c r="E185" s="146" t="s">
        <v>7</v>
      </c>
      <c r="F185" s="146" t="s">
        <v>75</v>
      </c>
      <c r="G185" s="146" t="s">
        <v>60</v>
      </c>
      <c r="H185" s="146" t="s">
        <v>68</v>
      </c>
      <c r="I185" s="9" t="s">
        <v>86</v>
      </c>
      <c r="J185" s="9" t="s">
        <v>93</v>
      </c>
      <c r="K185" s="58"/>
      <c r="L185" s="32"/>
      <c r="M185" s="11"/>
    </row>
    <row r="186" spans="1:13" ht="36.75" customHeight="1" x14ac:dyDescent="0.25">
      <c r="A186" s="196" t="s">
        <v>173</v>
      </c>
      <c r="B186" s="197"/>
      <c r="C186" s="197"/>
      <c r="D186" s="198"/>
      <c r="E186" s="146"/>
      <c r="F186" s="146"/>
      <c r="G186" s="146"/>
      <c r="H186" s="127">
        <f>300000*0.595</f>
        <v>178500</v>
      </c>
      <c r="I186" s="65">
        <v>414</v>
      </c>
      <c r="J186" s="141">
        <f>H186/I186</f>
        <v>431.15942028985506</v>
      </c>
      <c r="K186" s="58"/>
      <c r="L186" s="32"/>
      <c r="M186" s="11"/>
    </row>
    <row r="187" spans="1:13" ht="34.5" customHeight="1" thickBot="1" x14ac:dyDescent="0.3">
      <c r="A187" s="196" t="s">
        <v>174</v>
      </c>
      <c r="B187" s="197"/>
      <c r="C187" s="197"/>
      <c r="D187" s="198"/>
      <c r="E187" s="146"/>
      <c r="F187" s="146"/>
      <c r="G187" s="146"/>
      <c r="H187" s="127">
        <f>140000*0.595</f>
        <v>83300</v>
      </c>
      <c r="I187" s="65">
        <v>414</v>
      </c>
      <c r="J187" s="141">
        <f t="shared" ref="J187" si="12">H187/I187</f>
        <v>201.20772946859904</v>
      </c>
      <c r="K187" s="58"/>
      <c r="L187" s="32"/>
      <c r="M187" s="11"/>
    </row>
    <row r="188" spans="1:13" ht="15.75" thickBot="1" x14ac:dyDescent="0.3">
      <c r="A188" s="199" t="s">
        <v>79</v>
      </c>
      <c r="B188" s="200"/>
      <c r="C188" s="200"/>
      <c r="D188" s="200"/>
      <c r="E188" s="200"/>
      <c r="F188" s="200"/>
      <c r="G188" s="201"/>
      <c r="H188" s="81">
        <f>H187+H186</f>
        <v>261800</v>
      </c>
      <c r="I188" s="77"/>
      <c r="J188" s="39">
        <f>SUM(J186:J187)</f>
        <v>632.36714975845416</v>
      </c>
      <c r="K188" s="11"/>
      <c r="L188" s="11"/>
      <c r="M188" s="11"/>
    </row>
    <row r="189" spans="1:13" ht="9" customHeight="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60" x14ac:dyDescent="0.25">
      <c r="A190" s="193" t="s">
        <v>85</v>
      </c>
      <c r="B190" s="194"/>
      <c r="C190" s="194"/>
      <c r="D190" s="195"/>
      <c r="E190" s="146" t="s">
        <v>175</v>
      </c>
      <c r="F190" s="146" t="s">
        <v>75</v>
      </c>
      <c r="G190" s="146" t="s">
        <v>60</v>
      </c>
      <c r="H190" s="146" t="s">
        <v>68</v>
      </c>
      <c r="I190" s="9" t="s">
        <v>86</v>
      </c>
      <c r="J190" s="9" t="s">
        <v>93</v>
      </c>
      <c r="K190" s="58"/>
      <c r="L190" s="32"/>
      <c r="M190" s="11"/>
    </row>
    <row r="191" spans="1:13" x14ac:dyDescent="0.25">
      <c r="A191" s="196" t="s">
        <v>108</v>
      </c>
      <c r="B191" s="197"/>
      <c r="C191" s="197"/>
      <c r="D191" s="198"/>
      <c r="E191" s="146">
        <v>120</v>
      </c>
      <c r="F191" s="146"/>
      <c r="G191" s="146"/>
      <c r="H191" s="127">
        <f>129600*0.595</f>
        <v>77112</v>
      </c>
      <c r="I191" s="65">
        <v>414</v>
      </c>
      <c r="J191" s="141">
        <f>H191/I191</f>
        <v>186.2608695652174</v>
      </c>
      <c r="K191" s="58"/>
      <c r="L191" s="32"/>
      <c r="M191" s="11"/>
    </row>
    <row r="192" spans="1:13" x14ac:dyDescent="0.25">
      <c r="A192" s="196" t="s">
        <v>109</v>
      </c>
      <c r="B192" s="197"/>
      <c r="C192" s="197"/>
      <c r="D192" s="198"/>
      <c r="E192" s="146">
        <v>640</v>
      </c>
      <c r="F192" s="146"/>
      <c r="G192" s="146"/>
      <c r="H192" s="127">
        <f>10800*0.595</f>
        <v>6426</v>
      </c>
      <c r="I192" s="65">
        <v>414</v>
      </c>
      <c r="J192" s="141">
        <f t="shared" ref="J192:J193" si="13">H192/I192</f>
        <v>15.521739130434783</v>
      </c>
      <c r="K192" s="58"/>
      <c r="L192" s="32"/>
      <c r="M192" s="11"/>
    </row>
    <row r="193" spans="1:17" ht="18" customHeight="1" thickBot="1" x14ac:dyDescent="0.3">
      <c r="A193" s="196" t="s">
        <v>110</v>
      </c>
      <c r="B193" s="197"/>
      <c r="C193" s="197"/>
      <c r="D193" s="198"/>
      <c r="E193" s="146">
        <v>200</v>
      </c>
      <c r="F193" s="146"/>
      <c r="G193" s="146"/>
      <c r="H193" s="127">
        <f>15000*0.595</f>
        <v>8925</v>
      </c>
      <c r="I193" s="65">
        <v>414</v>
      </c>
      <c r="J193" s="141">
        <f t="shared" si="13"/>
        <v>21.557971014492754</v>
      </c>
      <c r="K193" s="58"/>
      <c r="L193" s="32"/>
      <c r="M193" s="11"/>
    </row>
    <row r="194" spans="1:17" ht="15.75" thickBot="1" x14ac:dyDescent="0.3">
      <c r="A194" s="199" t="s">
        <v>79</v>
      </c>
      <c r="B194" s="200"/>
      <c r="C194" s="200"/>
      <c r="D194" s="200"/>
      <c r="E194" s="200"/>
      <c r="F194" s="200"/>
      <c r="G194" s="201"/>
      <c r="H194" s="81">
        <f>SUM(H191:H193)</f>
        <v>92463</v>
      </c>
      <c r="I194" s="77"/>
      <c r="J194" s="39">
        <f>SUM(J191:J193)</f>
        <v>223.34057971014494</v>
      </c>
      <c r="K194" s="11"/>
      <c r="L194" s="11"/>
      <c r="M194" s="11"/>
    </row>
    <row r="195" spans="1:17" ht="11.25" customHeight="1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7" ht="9" customHeight="1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7" x14ac:dyDescent="0.25">
      <c r="A197" s="202" t="s">
        <v>41</v>
      </c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  <c r="L197" s="202"/>
      <c r="M197" s="202"/>
    </row>
    <row r="198" spans="1:17" ht="60.75" customHeight="1" x14ac:dyDescent="0.25">
      <c r="A198" s="206" t="s">
        <v>42</v>
      </c>
      <c r="B198" s="207"/>
      <c r="C198" s="208"/>
      <c r="D198" s="193" t="s">
        <v>43</v>
      </c>
      <c r="E198" s="203"/>
      <c r="F198" s="203"/>
      <c r="G198" s="203"/>
      <c r="H198" s="203"/>
      <c r="I198" s="203"/>
      <c r="J198" s="204"/>
      <c r="K198" s="191" t="s">
        <v>47</v>
      </c>
      <c r="L198" s="319"/>
    </row>
    <row r="199" spans="1:17" ht="24" customHeight="1" x14ac:dyDescent="0.25">
      <c r="A199" s="10" t="s">
        <v>44</v>
      </c>
      <c r="B199" s="164" t="s">
        <v>45</v>
      </c>
      <c r="C199" s="10" t="s">
        <v>46</v>
      </c>
      <c r="D199" s="9" t="s">
        <v>181</v>
      </c>
      <c r="E199" s="9" t="s">
        <v>182</v>
      </c>
      <c r="F199" s="9" t="s">
        <v>183</v>
      </c>
      <c r="G199" s="9" t="s">
        <v>184</v>
      </c>
      <c r="H199" s="9" t="s">
        <v>185</v>
      </c>
      <c r="I199" s="42" t="s">
        <v>186</v>
      </c>
      <c r="J199" s="160" t="s">
        <v>184</v>
      </c>
      <c r="K199" s="192"/>
      <c r="L199" s="319"/>
    </row>
    <row r="200" spans="1:17" x14ac:dyDescent="0.25">
      <c r="A200" s="15">
        <f>J151</f>
        <v>13141.73913108152</v>
      </c>
      <c r="B200" s="15"/>
      <c r="C200" s="15"/>
      <c r="D200" s="15">
        <f>J72</f>
        <v>123.80024154589373</v>
      </c>
      <c r="E200" s="15">
        <f>J81</f>
        <v>3442.3768115942025</v>
      </c>
      <c r="F200" s="15">
        <f>I96</f>
        <v>684.96859903381642</v>
      </c>
      <c r="G200" s="15">
        <f>I111</f>
        <v>442.45579710144926</v>
      </c>
      <c r="H200" s="15">
        <f>H120</f>
        <v>14.371980676328503</v>
      </c>
      <c r="I200" s="143">
        <f>J182</f>
        <v>27107.567642450726</v>
      </c>
      <c r="J200" s="142">
        <f>J188+J194</f>
        <v>855.70772946859915</v>
      </c>
      <c r="K200" s="142">
        <f>SUM(D200:J200)+A200</f>
        <v>45812.987932952536</v>
      </c>
      <c r="L200" s="320"/>
    </row>
    <row r="201" spans="1:17" ht="15.75" thickBot="1" x14ac:dyDescent="0.3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17" ht="15.75" thickBot="1" x14ac:dyDescent="0.3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Q202" s="128">
        <f>K200*414</f>
        <v>18966577.004242349</v>
      </c>
    </row>
    <row r="203" spans="1:17" ht="15.75" thickBot="1" x14ac:dyDescent="0.3">
      <c r="A203" s="14" t="s">
        <v>88</v>
      </c>
      <c r="B203" s="14"/>
      <c r="C203" s="14"/>
      <c r="D203" s="11"/>
      <c r="E203" s="11"/>
      <c r="F203" s="11"/>
      <c r="G203" s="11"/>
      <c r="H203" s="11"/>
      <c r="I203" s="11"/>
      <c r="J203" s="91">
        <f>H72+H81+G96+G111+F120+H151+H182+H188+H194</f>
        <v>18966577.004242349</v>
      </c>
      <c r="K203" s="11"/>
      <c r="L203" s="11"/>
      <c r="M203" s="11"/>
    </row>
    <row r="204" spans="1:17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7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7" ht="18.75" x14ac:dyDescent="0.3">
      <c r="A206" s="3" t="s">
        <v>176</v>
      </c>
      <c r="B206" s="3"/>
      <c r="C206" s="3"/>
      <c r="I206" s="3" t="s">
        <v>177</v>
      </c>
    </row>
    <row r="208" spans="1:17" ht="15.75" x14ac:dyDescent="0.25">
      <c r="A208" s="157" t="s">
        <v>61</v>
      </c>
      <c r="B208" s="7"/>
    </row>
    <row r="209" spans="1:3" ht="15.75" x14ac:dyDescent="0.25">
      <c r="A209" s="157" t="s">
        <v>111</v>
      </c>
      <c r="B209" s="7"/>
    </row>
    <row r="210" spans="1:3" ht="15.75" x14ac:dyDescent="0.25">
      <c r="A210" s="157" t="s">
        <v>112</v>
      </c>
      <c r="C210" s="7"/>
    </row>
    <row r="211" spans="1:3" ht="15.75" x14ac:dyDescent="0.25">
      <c r="A211" s="2"/>
      <c r="B211" s="2"/>
      <c r="C211" s="2"/>
    </row>
  </sheetData>
  <mergeCells count="201">
    <mergeCell ref="A2:D2"/>
    <mergeCell ref="E2:G2"/>
    <mergeCell ref="A3:B3"/>
    <mergeCell ref="A4:C4"/>
    <mergeCell ref="E4:F4"/>
    <mergeCell ref="H4:K4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2:E32"/>
    <mergeCell ref="G32:K32"/>
    <mergeCell ref="A33:E33"/>
    <mergeCell ref="G33:K33"/>
    <mergeCell ref="A34:E34"/>
    <mergeCell ref="G34:K34"/>
    <mergeCell ref="A35:E35"/>
    <mergeCell ref="G35:K35"/>
    <mergeCell ref="A36:E36"/>
    <mergeCell ref="G36:K36"/>
    <mergeCell ref="A41:D41"/>
    <mergeCell ref="G41:N41"/>
    <mergeCell ref="A42:M42"/>
    <mergeCell ref="A44:D44"/>
    <mergeCell ref="A45:D45"/>
    <mergeCell ref="A46:D46"/>
    <mergeCell ref="A40:E40"/>
    <mergeCell ref="G40:K40"/>
    <mergeCell ref="A38:E38"/>
    <mergeCell ref="G38:K38"/>
    <mergeCell ref="A39:E39"/>
    <mergeCell ref="G39:K39"/>
    <mergeCell ref="A53:D53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65:K65"/>
    <mergeCell ref="A67:M67"/>
    <mergeCell ref="A68:D68"/>
    <mergeCell ref="A69:D69"/>
    <mergeCell ref="A70:D70"/>
    <mergeCell ref="A59:D59"/>
    <mergeCell ref="A60:D60"/>
    <mergeCell ref="A61:D61"/>
    <mergeCell ref="A62:D62"/>
    <mergeCell ref="A63:D63"/>
    <mergeCell ref="A64:D64"/>
    <mergeCell ref="A77:D77"/>
    <mergeCell ref="A78:D78"/>
    <mergeCell ref="A79:D79"/>
    <mergeCell ref="A80:D80"/>
    <mergeCell ref="A81:D81"/>
    <mergeCell ref="A83:M83"/>
    <mergeCell ref="A71:D71"/>
    <mergeCell ref="A72:D72"/>
    <mergeCell ref="A74:M74"/>
    <mergeCell ref="A75:D75"/>
    <mergeCell ref="A76:D76"/>
    <mergeCell ref="A99:D99"/>
    <mergeCell ref="A100:D100"/>
    <mergeCell ref="A101:D101"/>
    <mergeCell ref="A102:D102"/>
    <mergeCell ref="A103:D103"/>
    <mergeCell ref="A84:D84"/>
    <mergeCell ref="A89:D89"/>
    <mergeCell ref="A90:D90"/>
    <mergeCell ref="A94:D94"/>
    <mergeCell ref="A85:D85"/>
    <mergeCell ref="A86:D86"/>
    <mergeCell ref="A87:D87"/>
    <mergeCell ref="A88:D88"/>
    <mergeCell ref="A91:D91"/>
    <mergeCell ref="A95:D95"/>
    <mergeCell ref="A98:M98"/>
    <mergeCell ref="A113:M113"/>
    <mergeCell ref="A114:D114"/>
    <mergeCell ref="A115:D115"/>
    <mergeCell ref="A104:D104"/>
    <mergeCell ref="A105:D105"/>
    <mergeCell ref="A106:D106"/>
    <mergeCell ref="A110:D110"/>
    <mergeCell ref="A111:D111"/>
    <mergeCell ref="A109:D109"/>
    <mergeCell ref="A126:D126"/>
    <mergeCell ref="A127:D127"/>
    <mergeCell ref="A128:D128"/>
    <mergeCell ref="A129:D129"/>
    <mergeCell ref="A130:D130"/>
    <mergeCell ref="A131:D131"/>
    <mergeCell ref="A118:D118"/>
    <mergeCell ref="A119:D119"/>
    <mergeCell ref="A120:D120"/>
    <mergeCell ref="A122:M122"/>
    <mergeCell ref="A123:D123"/>
    <mergeCell ref="A124:D124"/>
    <mergeCell ref="A125:D125"/>
    <mergeCell ref="A149:D149"/>
    <mergeCell ref="A150:D150"/>
    <mergeCell ref="A151:D151"/>
    <mergeCell ref="A143:D143"/>
    <mergeCell ref="A144:D144"/>
    <mergeCell ref="A145:D145"/>
    <mergeCell ref="A146:D146"/>
    <mergeCell ref="A147:D147"/>
    <mergeCell ref="A132:D132"/>
    <mergeCell ref="A137:D137"/>
    <mergeCell ref="A135:D135"/>
    <mergeCell ref="A136:D136"/>
    <mergeCell ref="A133:D133"/>
    <mergeCell ref="A134:D134"/>
    <mergeCell ref="A138:D138"/>
    <mergeCell ref="A139:D139"/>
    <mergeCell ref="A140:D140"/>
    <mergeCell ref="A141:D141"/>
    <mergeCell ref="A142:D142"/>
    <mergeCell ref="A148:D148"/>
    <mergeCell ref="A181:D181"/>
    <mergeCell ref="A182:D182"/>
    <mergeCell ref="A174:D174"/>
    <mergeCell ref="A175:D175"/>
    <mergeCell ref="A176:D176"/>
    <mergeCell ref="A177:D177"/>
    <mergeCell ref="A178:D178"/>
    <mergeCell ref="A188:G188"/>
    <mergeCell ref="A190:D190"/>
    <mergeCell ref="A179:D179"/>
    <mergeCell ref="A180:D180"/>
    <mergeCell ref="A197:M197"/>
    <mergeCell ref="A198:C198"/>
    <mergeCell ref="K198:K199"/>
    <mergeCell ref="A187:D187"/>
    <mergeCell ref="A194:G194"/>
    <mergeCell ref="A184:K184"/>
    <mergeCell ref="A185:D185"/>
    <mergeCell ref="A186:D186"/>
    <mergeCell ref="A191:D191"/>
    <mergeCell ref="A192:D192"/>
    <mergeCell ref="D198:J198"/>
    <mergeCell ref="A193:D193"/>
    <mergeCell ref="A153:M153"/>
    <mergeCell ref="A170:D170"/>
    <mergeCell ref="A171:D171"/>
    <mergeCell ref="A172:D172"/>
    <mergeCell ref="A173:D173"/>
    <mergeCell ref="A164:D164"/>
    <mergeCell ref="A165:D165"/>
    <mergeCell ref="A166:D166"/>
    <mergeCell ref="A167:D167"/>
    <mergeCell ref="A158:D158"/>
    <mergeCell ref="A159:D159"/>
    <mergeCell ref="A160:D160"/>
    <mergeCell ref="A161:D161"/>
    <mergeCell ref="A162:D162"/>
    <mergeCell ref="A163:D163"/>
    <mergeCell ref="A154:D154"/>
    <mergeCell ref="A155:D155"/>
    <mergeCell ref="A156:D156"/>
    <mergeCell ref="A157:D157"/>
    <mergeCell ref="A168:D168"/>
    <mergeCell ref="A169:D169"/>
  </mergeCells>
  <pageMargins left="0.51181102362204722" right="0.31496062992125984" top="0.35433070866141736" bottom="0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2"/>
  <sheetViews>
    <sheetView topLeftCell="A4" zoomScale="80" zoomScaleNormal="80" workbookViewId="0">
      <selection activeCell="L4" sqref="L1:L1048576"/>
    </sheetView>
  </sheetViews>
  <sheetFormatPr defaultRowHeight="15" x14ac:dyDescent="0.25"/>
  <cols>
    <col min="1" max="1" width="10.5703125" customWidth="1"/>
    <col min="2" max="3" width="6.5703125" customWidth="1"/>
    <col min="4" max="4" width="10.85546875" customWidth="1"/>
    <col min="5" max="5" width="12.5703125" customWidth="1"/>
    <col min="6" max="6" width="10.140625" customWidth="1"/>
    <col min="7" max="8" width="14.7109375" customWidth="1"/>
    <col min="9" max="9" width="12.85546875" customWidth="1"/>
    <col min="10" max="10" width="13.7109375" customWidth="1"/>
    <col min="11" max="11" width="11.7109375" customWidth="1"/>
    <col min="12" max="12" width="11.7109375" hidden="1" customWidth="1"/>
    <col min="13" max="13" width="12.7109375" customWidth="1"/>
    <col min="18" max="18" width="16.140625" customWidth="1"/>
  </cols>
  <sheetData>
    <row r="1" spans="1:13" hidden="1" x14ac:dyDescent="0.25"/>
    <row r="2" spans="1:13" ht="15.75" hidden="1" x14ac:dyDescent="0.25">
      <c r="A2" s="240"/>
      <c r="B2" s="240"/>
      <c r="C2" s="240"/>
      <c r="D2" s="240"/>
      <c r="E2" s="240"/>
      <c r="F2" s="240"/>
      <c r="G2" s="240"/>
    </row>
    <row r="3" spans="1:13" ht="15.75" hidden="1" customHeight="1" x14ac:dyDescent="0.25">
      <c r="A3" s="240"/>
      <c r="B3" s="240"/>
      <c r="C3" s="62"/>
      <c r="D3" s="62"/>
      <c r="E3" s="123"/>
      <c r="F3" s="62"/>
      <c r="G3" s="62"/>
    </row>
    <row r="4" spans="1:13" ht="27.75" customHeight="1" x14ac:dyDescent="0.25">
      <c r="A4" s="241"/>
      <c r="B4" s="241"/>
      <c r="C4" s="241"/>
      <c r="D4" s="158"/>
      <c r="E4" s="241"/>
      <c r="F4" s="241"/>
      <c r="G4" s="64"/>
      <c r="H4" s="257" t="s">
        <v>180</v>
      </c>
      <c r="I4" s="258"/>
      <c r="J4" s="258"/>
      <c r="K4" s="258"/>
      <c r="L4" s="188"/>
    </row>
    <row r="5" spans="1:13" ht="9.75" customHeight="1" x14ac:dyDescent="0.25">
      <c r="A5" s="4"/>
      <c r="B5" s="4"/>
      <c r="C5" s="4"/>
      <c r="D5" s="122"/>
      <c r="E5" s="4"/>
      <c r="F5" s="4"/>
      <c r="G5" s="122"/>
    </row>
    <row r="6" spans="1:13" ht="11.25" customHeight="1" x14ac:dyDescent="0.25">
      <c r="A6" s="124"/>
      <c r="B6" s="124"/>
      <c r="C6" s="124"/>
      <c r="D6" s="124"/>
      <c r="E6" s="124"/>
      <c r="F6" s="124"/>
      <c r="G6" s="124"/>
    </row>
    <row r="7" spans="1:13" ht="15.75" x14ac:dyDescent="0.25">
      <c r="A7" s="275" t="s">
        <v>178</v>
      </c>
      <c r="B7" s="276"/>
      <c r="C7" s="276"/>
      <c r="D7" s="276"/>
      <c r="E7" s="276"/>
      <c r="F7" s="276"/>
      <c r="G7" s="258"/>
      <c r="H7" s="258"/>
      <c r="I7" s="258"/>
      <c r="J7" s="258"/>
      <c r="K7" s="258"/>
      <c r="L7" s="258"/>
      <c r="M7" s="258"/>
    </row>
    <row r="8" spans="1:13" ht="15.75" x14ac:dyDescent="0.25">
      <c r="A8" s="275" t="s">
        <v>99</v>
      </c>
      <c r="B8" s="276"/>
      <c r="C8" s="276"/>
      <c r="D8" s="276"/>
      <c r="E8" s="276"/>
      <c r="F8" s="276"/>
      <c r="G8" s="258"/>
      <c r="H8" s="258"/>
      <c r="I8" s="258"/>
      <c r="J8" s="258"/>
      <c r="K8" s="258"/>
      <c r="L8" s="258"/>
      <c r="M8" s="258"/>
    </row>
    <row r="9" spans="1:13" ht="11.25" customHeight="1" x14ac:dyDescent="0.25"/>
    <row r="10" spans="1:13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75" x14ac:dyDescent="0.25">
      <c r="A11" s="8" t="s">
        <v>218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17.25" customHeight="1" x14ac:dyDescent="0.25">
      <c r="A12" s="255" t="s">
        <v>115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</row>
    <row r="13" spans="1:13" ht="15.75" x14ac:dyDescent="0.25">
      <c r="A13" s="8" t="s">
        <v>81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75" x14ac:dyDescent="0.25">
      <c r="A14" s="8" t="s">
        <v>150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75" x14ac:dyDescent="0.25">
      <c r="A15" s="8" t="s">
        <v>147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51.75" customHeight="1" x14ac:dyDescent="0.25">
      <c r="A16" s="252" t="s">
        <v>90</v>
      </c>
      <c r="B16" s="252"/>
      <c r="C16" s="252"/>
      <c r="D16" s="252"/>
      <c r="E16" s="252"/>
      <c r="F16" s="9" t="s">
        <v>89</v>
      </c>
      <c r="G16" s="252" t="s">
        <v>91</v>
      </c>
      <c r="H16" s="252"/>
      <c r="I16" s="252"/>
      <c r="J16" s="252"/>
      <c r="K16" s="252"/>
      <c r="L16" s="189"/>
      <c r="M16" s="9" t="s">
        <v>89</v>
      </c>
    </row>
    <row r="17" spans="1:13" x14ac:dyDescent="0.25">
      <c r="A17" s="253" t="s">
        <v>127</v>
      </c>
      <c r="B17" s="253"/>
      <c r="C17" s="253"/>
      <c r="D17" s="253"/>
      <c r="E17" s="253"/>
      <c r="F17" s="315">
        <f>4.92*0.042</f>
        <v>0.20664000000000002</v>
      </c>
      <c r="G17" s="254" t="s">
        <v>1</v>
      </c>
      <c r="H17" s="254"/>
      <c r="I17" s="254"/>
      <c r="J17" s="254"/>
      <c r="K17" s="254"/>
      <c r="L17" s="151">
        <v>1</v>
      </c>
      <c r="M17" s="315">
        <f>L17*0.042</f>
        <v>4.2000000000000003E-2</v>
      </c>
    </row>
    <row r="18" spans="1:13" x14ac:dyDescent="0.25">
      <c r="A18" s="253" t="s">
        <v>128</v>
      </c>
      <c r="B18" s="253"/>
      <c r="C18" s="253"/>
      <c r="D18" s="253"/>
      <c r="E18" s="253"/>
      <c r="F18" s="315">
        <f>8.83*0.042</f>
        <v>0.37086000000000002</v>
      </c>
      <c r="G18" s="246" t="s">
        <v>129</v>
      </c>
      <c r="H18" s="247"/>
      <c r="I18" s="247"/>
      <c r="J18" s="247"/>
      <c r="K18" s="248"/>
      <c r="L18" s="151">
        <v>4</v>
      </c>
      <c r="M18" s="315">
        <f t="shared" ref="M18:M40" si="0">L18*0.042</f>
        <v>0.16800000000000001</v>
      </c>
    </row>
    <row r="19" spans="1:13" x14ac:dyDescent="0.25">
      <c r="A19" s="253"/>
      <c r="B19" s="253"/>
      <c r="C19" s="253"/>
      <c r="D19" s="253"/>
      <c r="E19" s="253"/>
      <c r="F19" s="315"/>
      <c r="G19" s="253" t="s">
        <v>130</v>
      </c>
      <c r="H19" s="253"/>
      <c r="I19" s="253"/>
      <c r="J19" s="253"/>
      <c r="K19" s="253"/>
      <c r="L19" s="151">
        <v>1</v>
      </c>
      <c r="M19" s="315">
        <f t="shared" si="0"/>
        <v>4.2000000000000003E-2</v>
      </c>
    </row>
    <row r="20" spans="1:13" x14ac:dyDescent="0.25">
      <c r="A20" s="253"/>
      <c r="B20" s="253"/>
      <c r="C20" s="253"/>
      <c r="D20" s="253"/>
      <c r="E20" s="253"/>
      <c r="F20" s="315"/>
      <c r="G20" s="259" t="s">
        <v>97</v>
      </c>
      <c r="H20" s="260"/>
      <c r="I20" s="260"/>
      <c r="J20" s="260"/>
      <c r="K20" s="261"/>
      <c r="L20" s="151">
        <v>1</v>
      </c>
      <c r="M20" s="315">
        <f t="shared" si="0"/>
        <v>4.2000000000000003E-2</v>
      </c>
    </row>
    <row r="21" spans="1:13" ht="15" customHeight="1" x14ac:dyDescent="0.25">
      <c r="A21" s="253"/>
      <c r="B21" s="253"/>
      <c r="C21" s="253"/>
      <c r="D21" s="253"/>
      <c r="E21" s="253"/>
      <c r="F21" s="315"/>
      <c r="G21" s="254" t="s">
        <v>131</v>
      </c>
      <c r="H21" s="254"/>
      <c r="I21" s="254"/>
      <c r="J21" s="254"/>
      <c r="K21" s="254"/>
      <c r="L21" s="151">
        <v>0.5</v>
      </c>
      <c r="M21" s="315">
        <f t="shared" si="0"/>
        <v>2.1000000000000001E-2</v>
      </c>
    </row>
    <row r="22" spans="1:13" ht="15" customHeight="1" x14ac:dyDescent="0.25">
      <c r="A22" s="253"/>
      <c r="B22" s="253"/>
      <c r="C22" s="253"/>
      <c r="D22" s="253"/>
      <c r="E22" s="253"/>
      <c r="F22" s="315"/>
      <c r="G22" s="254" t="s">
        <v>95</v>
      </c>
      <c r="H22" s="254"/>
      <c r="I22" s="254"/>
      <c r="J22" s="254"/>
      <c r="K22" s="254"/>
      <c r="L22" s="152">
        <v>1</v>
      </c>
      <c r="M22" s="315">
        <f t="shared" si="0"/>
        <v>4.2000000000000003E-2</v>
      </c>
    </row>
    <row r="23" spans="1:13" ht="15.75" customHeight="1" x14ac:dyDescent="0.25">
      <c r="A23" s="253"/>
      <c r="B23" s="253"/>
      <c r="C23" s="253"/>
      <c r="D23" s="253"/>
      <c r="E23" s="253"/>
      <c r="F23" s="315"/>
      <c r="G23" s="205" t="s">
        <v>132</v>
      </c>
      <c r="H23" s="205"/>
      <c r="I23" s="205"/>
      <c r="J23" s="205"/>
      <c r="K23" s="205"/>
      <c r="L23" s="152">
        <v>0.5</v>
      </c>
      <c r="M23" s="315">
        <f t="shared" si="0"/>
        <v>2.1000000000000001E-2</v>
      </c>
    </row>
    <row r="24" spans="1:13" ht="15.75" hidden="1" customHeight="1" x14ac:dyDescent="0.25">
      <c r="A24" s="246"/>
      <c r="B24" s="247"/>
      <c r="C24" s="247"/>
      <c r="D24" s="247"/>
      <c r="E24" s="248"/>
      <c r="F24" s="315"/>
      <c r="G24" s="243"/>
      <c r="H24" s="244"/>
      <c r="I24" s="244"/>
      <c r="J24" s="244"/>
      <c r="K24" s="245"/>
      <c r="L24" s="152"/>
      <c r="M24" s="315">
        <f t="shared" si="0"/>
        <v>0</v>
      </c>
    </row>
    <row r="25" spans="1:13" ht="15.75" customHeight="1" x14ac:dyDescent="0.25">
      <c r="A25" s="246"/>
      <c r="B25" s="247"/>
      <c r="C25" s="247"/>
      <c r="D25" s="247"/>
      <c r="E25" s="248"/>
      <c r="F25" s="315"/>
      <c r="G25" s="243" t="s">
        <v>133</v>
      </c>
      <c r="H25" s="244"/>
      <c r="I25" s="244"/>
      <c r="J25" s="244"/>
      <c r="K25" s="245"/>
      <c r="L25" s="152">
        <v>1</v>
      </c>
      <c r="M25" s="315">
        <f t="shared" si="0"/>
        <v>4.2000000000000003E-2</v>
      </c>
    </row>
    <row r="26" spans="1:13" ht="15.75" hidden="1" customHeight="1" x14ac:dyDescent="0.25">
      <c r="A26" s="246"/>
      <c r="B26" s="247"/>
      <c r="C26" s="247"/>
      <c r="D26" s="247"/>
      <c r="E26" s="248"/>
      <c r="F26" s="322"/>
      <c r="G26" s="243"/>
      <c r="H26" s="244"/>
      <c r="I26" s="244"/>
      <c r="J26" s="244"/>
      <c r="K26" s="245"/>
      <c r="L26" s="154"/>
      <c r="M26" s="315">
        <f t="shared" si="0"/>
        <v>0</v>
      </c>
    </row>
    <row r="27" spans="1:13" ht="15.75" customHeight="1" x14ac:dyDescent="0.25">
      <c r="A27" s="246"/>
      <c r="B27" s="247"/>
      <c r="C27" s="247"/>
      <c r="D27" s="247"/>
      <c r="E27" s="248"/>
      <c r="F27" s="322"/>
      <c r="G27" s="249" t="s">
        <v>134</v>
      </c>
      <c r="H27" s="250"/>
      <c r="I27" s="250"/>
      <c r="J27" s="250"/>
      <c r="K27" s="251"/>
      <c r="L27" s="154">
        <v>2</v>
      </c>
      <c r="M27" s="315">
        <f t="shared" si="0"/>
        <v>8.4000000000000005E-2</v>
      </c>
    </row>
    <row r="28" spans="1:13" ht="15.75" customHeight="1" x14ac:dyDescent="0.25">
      <c r="A28" s="246"/>
      <c r="B28" s="247"/>
      <c r="C28" s="247"/>
      <c r="D28" s="247"/>
      <c r="E28" s="248"/>
      <c r="F28" s="322"/>
      <c r="G28" s="243" t="s">
        <v>96</v>
      </c>
      <c r="H28" s="244"/>
      <c r="I28" s="244"/>
      <c r="J28" s="244"/>
      <c r="K28" s="245"/>
      <c r="L28" s="154">
        <v>1</v>
      </c>
      <c r="M28" s="315">
        <f t="shared" si="0"/>
        <v>4.2000000000000003E-2</v>
      </c>
    </row>
    <row r="29" spans="1:13" ht="15" customHeight="1" x14ac:dyDescent="0.25">
      <c r="A29" s="242"/>
      <c r="B29" s="242"/>
      <c r="C29" s="242"/>
      <c r="D29" s="242"/>
      <c r="E29" s="242"/>
      <c r="F29" s="322"/>
      <c r="G29" s="205" t="s">
        <v>135</v>
      </c>
      <c r="H29" s="205"/>
      <c r="I29" s="205"/>
      <c r="J29" s="205"/>
      <c r="K29" s="205"/>
      <c r="L29" s="154">
        <v>4.75</v>
      </c>
      <c r="M29" s="315">
        <f t="shared" si="0"/>
        <v>0.19950000000000001</v>
      </c>
    </row>
    <row r="30" spans="1:13" ht="15.75" customHeight="1" x14ac:dyDescent="0.25">
      <c r="A30" s="242"/>
      <c r="B30" s="242"/>
      <c r="C30" s="242"/>
      <c r="D30" s="242"/>
      <c r="E30" s="242"/>
      <c r="F30" s="322"/>
      <c r="G30" s="205" t="s">
        <v>136</v>
      </c>
      <c r="H30" s="205"/>
      <c r="I30" s="205"/>
      <c r="J30" s="205"/>
      <c r="K30" s="205"/>
      <c r="L30" s="154">
        <v>3.5</v>
      </c>
      <c r="M30" s="315">
        <f t="shared" si="0"/>
        <v>0.14700000000000002</v>
      </c>
    </row>
    <row r="31" spans="1:13" x14ac:dyDescent="0.25">
      <c r="A31" s="214"/>
      <c r="B31" s="214"/>
      <c r="C31" s="214"/>
      <c r="D31" s="214"/>
      <c r="E31" s="214"/>
      <c r="F31" s="323"/>
      <c r="G31" s="205" t="s">
        <v>137</v>
      </c>
      <c r="H31" s="205"/>
      <c r="I31" s="205"/>
      <c r="J31" s="205"/>
      <c r="K31" s="205"/>
      <c r="L31" s="154">
        <v>2</v>
      </c>
      <c r="M31" s="315">
        <f t="shared" si="0"/>
        <v>8.4000000000000005E-2</v>
      </c>
    </row>
    <row r="32" spans="1:13" ht="27.75" customHeight="1" x14ac:dyDescent="0.25">
      <c r="A32" s="214"/>
      <c r="B32" s="214"/>
      <c r="C32" s="214"/>
      <c r="D32" s="214"/>
      <c r="E32" s="214"/>
      <c r="F32" s="323"/>
      <c r="G32" s="205" t="s">
        <v>138</v>
      </c>
      <c r="H32" s="205"/>
      <c r="I32" s="205"/>
      <c r="J32" s="205"/>
      <c r="K32" s="205"/>
      <c r="L32" s="154">
        <v>1</v>
      </c>
      <c r="M32" s="315">
        <f t="shared" si="0"/>
        <v>4.2000000000000003E-2</v>
      </c>
    </row>
    <row r="33" spans="1:14" x14ac:dyDescent="0.25">
      <c r="A33" s="214"/>
      <c r="B33" s="214"/>
      <c r="C33" s="214"/>
      <c r="D33" s="214"/>
      <c r="E33" s="214"/>
      <c r="F33" s="323"/>
      <c r="G33" s="205" t="s">
        <v>139</v>
      </c>
      <c r="H33" s="205"/>
      <c r="I33" s="205"/>
      <c r="J33" s="205"/>
      <c r="K33" s="205"/>
      <c r="L33" s="154">
        <v>0.5</v>
      </c>
      <c r="M33" s="315">
        <f t="shared" si="0"/>
        <v>2.1000000000000001E-2</v>
      </c>
    </row>
    <row r="34" spans="1:14" ht="12.75" customHeight="1" x14ac:dyDescent="0.25">
      <c r="A34" s="214"/>
      <c r="B34" s="214"/>
      <c r="C34" s="214"/>
      <c r="D34" s="214"/>
      <c r="E34" s="214"/>
      <c r="F34" s="323"/>
      <c r="G34" s="196" t="s">
        <v>140</v>
      </c>
      <c r="H34" s="197"/>
      <c r="I34" s="197"/>
      <c r="J34" s="197"/>
      <c r="K34" s="198"/>
      <c r="L34" s="154">
        <v>0.5</v>
      </c>
      <c r="M34" s="315">
        <f t="shared" si="0"/>
        <v>2.1000000000000001E-2</v>
      </c>
    </row>
    <row r="35" spans="1:14" ht="15" customHeight="1" x14ac:dyDescent="0.25">
      <c r="A35" s="214"/>
      <c r="B35" s="214"/>
      <c r="C35" s="214"/>
      <c r="D35" s="214"/>
      <c r="E35" s="214"/>
      <c r="F35" s="323"/>
      <c r="G35" s="196" t="s">
        <v>141</v>
      </c>
      <c r="H35" s="197"/>
      <c r="I35" s="197"/>
      <c r="J35" s="197"/>
      <c r="K35" s="198"/>
      <c r="L35" s="154">
        <v>16</v>
      </c>
      <c r="M35" s="315">
        <f t="shared" si="0"/>
        <v>0.67200000000000004</v>
      </c>
    </row>
    <row r="36" spans="1:14" x14ac:dyDescent="0.25">
      <c r="A36" s="229"/>
      <c r="B36" s="230"/>
      <c r="C36" s="230"/>
      <c r="D36" s="230"/>
      <c r="E36" s="231"/>
      <c r="F36" s="323"/>
      <c r="G36" s="246" t="s">
        <v>142</v>
      </c>
      <c r="H36" s="247"/>
      <c r="I36" s="247"/>
      <c r="J36" s="247"/>
      <c r="K36" s="273"/>
      <c r="L36" s="151">
        <v>2</v>
      </c>
      <c r="M36" s="315">
        <f t="shared" si="0"/>
        <v>8.4000000000000005E-2</v>
      </c>
    </row>
    <row r="37" spans="1:14" ht="15" customHeight="1" x14ac:dyDescent="0.25">
      <c r="A37" s="229"/>
      <c r="B37" s="230"/>
      <c r="C37" s="230"/>
      <c r="D37" s="230"/>
      <c r="E37" s="231"/>
      <c r="F37" s="323"/>
      <c r="G37" s="246" t="s">
        <v>143</v>
      </c>
      <c r="H37" s="247"/>
      <c r="I37" s="247"/>
      <c r="J37" s="247"/>
      <c r="K37" s="273"/>
      <c r="L37" s="151">
        <v>1</v>
      </c>
      <c r="M37" s="315">
        <f t="shared" si="0"/>
        <v>4.2000000000000003E-2</v>
      </c>
    </row>
    <row r="38" spans="1:14" ht="15" customHeight="1" x14ac:dyDescent="0.25">
      <c r="A38" s="229"/>
      <c r="B38" s="230"/>
      <c r="C38" s="230"/>
      <c r="D38" s="230"/>
      <c r="E38" s="231"/>
      <c r="F38" s="323"/>
      <c r="G38" s="246" t="s">
        <v>144</v>
      </c>
      <c r="H38" s="247"/>
      <c r="I38" s="247"/>
      <c r="J38" s="247"/>
      <c r="K38" s="273"/>
      <c r="L38" s="151">
        <v>1</v>
      </c>
      <c r="M38" s="315">
        <f t="shared" si="0"/>
        <v>4.2000000000000003E-2</v>
      </c>
    </row>
    <row r="39" spans="1:14" ht="15" customHeight="1" x14ac:dyDescent="0.25">
      <c r="A39" s="229"/>
      <c r="B39" s="230"/>
      <c r="C39" s="230"/>
      <c r="D39" s="230"/>
      <c r="E39" s="231"/>
      <c r="F39" s="323"/>
      <c r="G39" s="246" t="s">
        <v>145</v>
      </c>
      <c r="H39" s="247"/>
      <c r="I39" s="247"/>
      <c r="J39" s="247"/>
      <c r="K39" s="273"/>
      <c r="L39" s="154">
        <v>10</v>
      </c>
      <c r="M39" s="315">
        <f t="shared" si="0"/>
        <v>0.42000000000000004</v>
      </c>
    </row>
    <row r="40" spans="1:14" ht="15" customHeight="1" x14ac:dyDescent="0.25">
      <c r="A40" s="224" t="s">
        <v>2</v>
      </c>
      <c r="B40" s="224"/>
      <c r="C40" s="224"/>
      <c r="D40" s="224"/>
      <c r="E40" s="224"/>
      <c r="F40" s="324">
        <f>SUM(F17:F35)</f>
        <v>0.57750000000000001</v>
      </c>
      <c r="G40" s="262" t="s">
        <v>2</v>
      </c>
      <c r="H40" s="262"/>
      <c r="I40" s="262"/>
      <c r="J40" s="262"/>
      <c r="K40" s="262"/>
      <c r="L40" s="156">
        <f>SUM(L17:L39)</f>
        <v>55.25</v>
      </c>
      <c r="M40" s="324">
        <f t="shared" si="0"/>
        <v>2.3205</v>
      </c>
    </row>
    <row r="41" spans="1:14" ht="98.25" hidden="1" customHeight="1" x14ac:dyDescent="0.25">
      <c r="A41" s="224" t="s">
        <v>2</v>
      </c>
      <c r="B41" s="224"/>
      <c r="C41" s="224"/>
      <c r="D41" s="224"/>
      <c r="E41" s="100">
        <f>SUM(E17:E29)</f>
        <v>0</v>
      </c>
      <c r="F41" s="125"/>
      <c r="G41" s="225" t="s">
        <v>2</v>
      </c>
      <c r="H41" s="225"/>
      <c r="I41" s="225"/>
      <c r="J41" s="225"/>
      <c r="K41" s="225"/>
      <c r="L41" s="225"/>
      <c r="M41" s="225"/>
      <c r="N41" s="125" t="e">
        <f>SUM(#REF!)</f>
        <v>#REF!</v>
      </c>
    </row>
    <row r="42" spans="1:14" hidden="1" x14ac:dyDescent="0.25">
      <c r="A42" s="220" t="s">
        <v>15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4" hidden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4" ht="80.25" hidden="1" customHeight="1" x14ac:dyDescent="0.25">
      <c r="A44" s="221" t="s">
        <v>6</v>
      </c>
      <c r="B44" s="221"/>
      <c r="C44" s="221"/>
      <c r="D44" s="221"/>
      <c r="E44" s="21" t="s">
        <v>7</v>
      </c>
      <c r="F44" s="21" t="s">
        <v>8</v>
      </c>
      <c r="G44" s="21" t="s">
        <v>9</v>
      </c>
      <c r="H44" s="21" t="s">
        <v>10</v>
      </c>
      <c r="I44" s="21"/>
      <c r="J44" s="21" t="s">
        <v>11</v>
      </c>
      <c r="K44" s="21" t="s">
        <v>12</v>
      </c>
      <c r="L44" s="21"/>
      <c r="M44" s="21" t="s">
        <v>5</v>
      </c>
    </row>
    <row r="45" spans="1:14" ht="15" hidden="1" customHeight="1" x14ac:dyDescent="0.25">
      <c r="A45" s="222">
        <v>1</v>
      </c>
      <c r="B45" s="223"/>
      <c r="C45" s="223"/>
      <c r="D45" s="223"/>
      <c r="E45" s="21">
        <v>2</v>
      </c>
      <c r="F45" s="21">
        <v>3</v>
      </c>
      <c r="G45" s="21">
        <v>4</v>
      </c>
      <c r="H45" s="21" t="s">
        <v>48</v>
      </c>
      <c r="I45" s="21"/>
      <c r="J45" s="21">
        <v>6</v>
      </c>
      <c r="K45" s="21">
        <v>7</v>
      </c>
      <c r="L45" s="21"/>
      <c r="M45" s="21" t="s">
        <v>49</v>
      </c>
    </row>
    <row r="46" spans="1:14" ht="15" hidden="1" customHeight="1" x14ac:dyDescent="0.25">
      <c r="A46" s="274" t="s">
        <v>51</v>
      </c>
      <c r="B46" s="274"/>
      <c r="C46" s="274"/>
      <c r="D46" s="274"/>
      <c r="E46" s="22" t="s">
        <v>13</v>
      </c>
      <c r="F46" s="21">
        <v>7</v>
      </c>
      <c r="G46" s="22">
        <v>10</v>
      </c>
      <c r="H46" s="23">
        <f>F46/G46</f>
        <v>0.7</v>
      </c>
      <c r="I46" s="23"/>
      <c r="J46" s="21">
        <v>20</v>
      </c>
      <c r="K46" s="24">
        <v>7100</v>
      </c>
      <c r="L46" s="24"/>
      <c r="M46" s="24">
        <f>H46*K46</f>
        <v>4970</v>
      </c>
    </row>
    <row r="47" spans="1:14" ht="15" hidden="1" customHeight="1" x14ac:dyDescent="0.25">
      <c r="A47" s="274" t="s">
        <v>52</v>
      </c>
      <c r="B47" s="274"/>
      <c r="C47" s="274"/>
      <c r="D47" s="274"/>
      <c r="E47" s="22" t="s">
        <v>13</v>
      </c>
      <c r="F47" s="21">
        <v>1</v>
      </c>
      <c r="G47" s="22">
        <v>10</v>
      </c>
      <c r="H47" s="23">
        <f t="shared" ref="H47:H63" si="1">F47/G47</f>
        <v>0.1</v>
      </c>
      <c r="I47" s="23"/>
      <c r="J47" s="21">
        <v>20</v>
      </c>
      <c r="K47" s="24">
        <v>538700</v>
      </c>
      <c r="L47" s="24"/>
      <c r="M47" s="24">
        <f t="shared" ref="M47:M64" si="2">H47*K47</f>
        <v>53870</v>
      </c>
    </row>
    <row r="48" spans="1:14" ht="15" hidden="1" customHeight="1" x14ac:dyDescent="0.25">
      <c r="A48" s="274" t="s">
        <v>53</v>
      </c>
      <c r="B48" s="274"/>
      <c r="C48" s="274"/>
      <c r="D48" s="274"/>
      <c r="E48" s="22" t="s">
        <v>13</v>
      </c>
      <c r="F48" s="21">
        <v>1</v>
      </c>
      <c r="G48" s="22">
        <v>10</v>
      </c>
      <c r="H48" s="23">
        <f t="shared" si="1"/>
        <v>0.1</v>
      </c>
      <c r="I48" s="23"/>
      <c r="J48" s="21">
        <v>20</v>
      </c>
      <c r="K48" s="24">
        <v>380000</v>
      </c>
      <c r="L48" s="24"/>
      <c r="M48" s="24">
        <f t="shared" si="2"/>
        <v>38000</v>
      </c>
    </row>
    <row r="49" spans="1:13" ht="12.75" hidden="1" customHeight="1" x14ac:dyDescent="0.25">
      <c r="A49" s="274"/>
      <c r="B49" s="274"/>
      <c r="C49" s="274"/>
      <c r="D49" s="274"/>
      <c r="E49" s="22" t="s">
        <v>13</v>
      </c>
      <c r="F49" s="21"/>
      <c r="G49" s="22">
        <v>10</v>
      </c>
      <c r="H49" s="23">
        <f t="shared" si="1"/>
        <v>0</v>
      </c>
      <c r="I49" s="23"/>
      <c r="J49" s="21"/>
      <c r="K49" s="24"/>
      <c r="L49" s="24"/>
      <c r="M49" s="24">
        <f t="shared" si="2"/>
        <v>0</v>
      </c>
    </row>
    <row r="50" spans="1:13" ht="15" hidden="1" customHeight="1" x14ac:dyDescent="0.25">
      <c r="A50" s="274"/>
      <c r="B50" s="274"/>
      <c r="C50" s="274"/>
      <c r="D50" s="274"/>
      <c r="E50" s="22" t="s">
        <v>13</v>
      </c>
      <c r="F50" s="21"/>
      <c r="G50" s="22">
        <v>10</v>
      </c>
      <c r="H50" s="23">
        <f t="shared" si="1"/>
        <v>0</v>
      </c>
      <c r="I50" s="23"/>
      <c r="J50" s="21"/>
      <c r="K50" s="24"/>
      <c r="L50" s="24"/>
      <c r="M50" s="24">
        <f t="shared" si="2"/>
        <v>0</v>
      </c>
    </row>
    <row r="51" spans="1:13" ht="15" hidden="1" customHeight="1" x14ac:dyDescent="0.25">
      <c r="A51" s="266"/>
      <c r="B51" s="267"/>
      <c r="C51" s="267"/>
      <c r="D51" s="267"/>
      <c r="E51" s="22" t="s">
        <v>13</v>
      </c>
      <c r="F51" s="21"/>
      <c r="G51" s="22">
        <v>10</v>
      </c>
      <c r="H51" s="23">
        <f t="shared" si="1"/>
        <v>0</v>
      </c>
      <c r="I51" s="23"/>
      <c r="J51" s="21"/>
      <c r="K51" s="24"/>
      <c r="L51" s="24"/>
      <c r="M51" s="24">
        <f t="shared" si="2"/>
        <v>0</v>
      </c>
    </row>
    <row r="52" spans="1:13" ht="15" hidden="1" customHeight="1" x14ac:dyDescent="0.25">
      <c r="A52" s="266"/>
      <c r="B52" s="267"/>
      <c r="C52" s="267"/>
      <c r="D52" s="267"/>
      <c r="E52" s="22" t="s">
        <v>13</v>
      </c>
      <c r="F52" s="21"/>
      <c r="G52" s="22">
        <v>10</v>
      </c>
      <c r="H52" s="23">
        <f t="shared" si="1"/>
        <v>0</v>
      </c>
      <c r="I52" s="23"/>
      <c r="J52" s="21"/>
      <c r="K52" s="24"/>
      <c r="L52" s="24"/>
      <c r="M52" s="24">
        <f t="shared" si="2"/>
        <v>0</v>
      </c>
    </row>
    <row r="53" spans="1:13" ht="15" hidden="1" customHeight="1" x14ac:dyDescent="0.25">
      <c r="A53" s="266"/>
      <c r="B53" s="267"/>
      <c r="C53" s="267"/>
      <c r="D53" s="267"/>
      <c r="E53" s="22" t="s">
        <v>13</v>
      </c>
      <c r="F53" s="21"/>
      <c r="G53" s="22">
        <v>10</v>
      </c>
      <c r="H53" s="23">
        <f t="shared" si="1"/>
        <v>0</v>
      </c>
      <c r="I53" s="23"/>
      <c r="J53" s="21"/>
      <c r="K53" s="24"/>
      <c r="L53" s="24"/>
      <c r="M53" s="24">
        <f t="shared" si="2"/>
        <v>0</v>
      </c>
    </row>
    <row r="54" spans="1:13" ht="15" hidden="1" customHeight="1" x14ac:dyDescent="0.25">
      <c r="A54" s="266"/>
      <c r="B54" s="267"/>
      <c r="C54" s="267"/>
      <c r="D54" s="267"/>
      <c r="E54" s="22" t="s">
        <v>13</v>
      </c>
      <c r="F54" s="21"/>
      <c r="G54" s="22">
        <v>10</v>
      </c>
      <c r="H54" s="23">
        <f t="shared" si="1"/>
        <v>0</v>
      </c>
      <c r="I54" s="23"/>
      <c r="J54" s="21"/>
      <c r="K54" s="24"/>
      <c r="L54" s="24"/>
      <c r="M54" s="24">
        <f t="shared" si="2"/>
        <v>0</v>
      </c>
    </row>
    <row r="55" spans="1:13" ht="15" hidden="1" customHeight="1" x14ac:dyDescent="0.25">
      <c r="A55" s="266"/>
      <c r="B55" s="267"/>
      <c r="C55" s="267"/>
      <c r="D55" s="267"/>
      <c r="E55" s="22" t="s">
        <v>13</v>
      </c>
      <c r="F55" s="21"/>
      <c r="G55" s="22">
        <v>10</v>
      </c>
      <c r="H55" s="23">
        <f t="shared" si="1"/>
        <v>0</v>
      </c>
      <c r="I55" s="23"/>
      <c r="J55" s="21"/>
      <c r="K55" s="24"/>
      <c r="L55" s="24"/>
      <c r="M55" s="24">
        <f t="shared" si="2"/>
        <v>0</v>
      </c>
    </row>
    <row r="56" spans="1:13" hidden="1" x14ac:dyDescent="0.25">
      <c r="A56" s="238"/>
      <c r="B56" s="239"/>
      <c r="C56" s="239"/>
      <c r="D56" s="239"/>
      <c r="E56" s="22" t="s">
        <v>13</v>
      </c>
      <c r="F56" s="22"/>
      <c r="G56" s="22">
        <v>10</v>
      </c>
      <c r="H56" s="23">
        <f t="shared" si="1"/>
        <v>0</v>
      </c>
      <c r="I56" s="23"/>
      <c r="J56" s="22"/>
      <c r="K56" s="25"/>
      <c r="L56" s="25"/>
      <c r="M56" s="24">
        <f t="shared" si="2"/>
        <v>0</v>
      </c>
    </row>
    <row r="57" spans="1:13" hidden="1" x14ac:dyDescent="0.25">
      <c r="A57" s="238"/>
      <c r="B57" s="239"/>
      <c r="C57" s="239"/>
      <c r="D57" s="239"/>
      <c r="E57" s="22" t="s">
        <v>13</v>
      </c>
      <c r="F57" s="22"/>
      <c r="G57" s="22">
        <v>10</v>
      </c>
      <c r="H57" s="23">
        <f t="shared" si="1"/>
        <v>0</v>
      </c>
      <c r="I57" s="23"/>
      <c r="J57" s="22"/>
      <c r="K57" s="25"/>
      <c r="L57" s="25"/>
      <c r="M57" s="24">
        <f t="shared" si="2"/>
        <v>0</v>
      </c>
    </row>
    <row r="58" spans="1:13" hidden="1" x14ac:dyDescent="0.25">
      <c r="A58" s="238"/>
      <c r="B58" s="239"/>
      <c r="C58" s="239"/>
      <c r="D58" s="239"/>
      <c r="E58" s="22" t="s">
        <v>13</v>
      </c>
      <c r="F58" s="22"/>
      <c r="G58" s="22">
        <v>10</v>
      </c>
      <c r="H58" s="23">
        <f t="shared" si="1"/>
        <v>0</v>
      </c>
      <c r="I58" s="23"/>
      <c r="J58" s="22"/>
      <c r="K58" s="25"/>
      <c r="L58" s="25"/>
      <c r="M58" s="24">
        <f t="shared" si="2"/>
        <v>0</v>
      </c>
    </row>
    <row r="59" spans="1:13" hidden="1" x14ac:dyDescent="0.25">
      <c r="A59" s="238"/>
      <c r="B59" s="239"/>
      <c r="C59" s="239"/>
      <c r="D59" s="239"/>
      <c r="E59" s="22" t="s">
        <v>13</v>
      </c>
      <c r="F59" s="22"/>
      <c r="G59" s="22">
        <v>10</v>
      </c>
      <c r="H59" s="23">
        <f t="shared" si="1"/>
        <v>0</v>
      </c>
      <c r="I59" s="23"/>
      <c r="J59" s="22"/>
      <c r="K59" s="25"/>
      <c r="L59" s="25"/>
      <c r="M59" s="24">
        <f t="shared" si="2"/>
        <v>0</v>
      </c>
    </row>
    <row r="60" spans="1:13" hidden="1" x14ac:dyDescent="0.25">
      <c r="A60" s="238"/>
      <c r="B60" s="239"/>
      <c r="C60" s="239"/>
      <c r="D60" s="239"/>
      <c r="E60" s="22" t="s">
        <v>13</v>
      </c>
      <c r="F60" s="22"/>
      <c r="G60" s="22">
        <v>10</v>
      </c>
      <c r="H60" s="23">
        <f t="shared" si="1"/>
        <v>0</v>
      </c>
      <c r="I60" s="23"/>
      <c r="J60" s="22"/>
      <c r="K60" s="25"/>
      <c r="L60" s="25"/>
      <c r="M60" s="24">
        <f t="shared" si="2"/>
        <v>0</v>
      </c>
    </row>
    <row r="61" spans="1:13" hidden="1" x14ac:dyDescent="0.25">
      <c r="A61" s="238"/>
      <c r="B61" s="239"/>
      <c r="C61" s="239"/>
      <c r="D61" s="239"/>
      <c r="E61" s="22" t="s">
        <v>13</v>
      </c>
      <c r="F61" s="22"/>
      <c r="G61" s="22">
        <v>10</v>
      </c>
      <c r="H61" s="23">
        <f t="shared" si="1"/>
        <v>0</v>
      </c>
      <c r="I61" s="23"/>
      <c r="J61" s="22"/>
      <c r="K61" s="25"/>
      <c r="L61" s="25"/>
      <c r="M61" s="24">
        <f t="shared" si="2"/>
        <v>0</v>
      </c>
    </row>
    <row r="62" spans="1:13" hidden="1" x14ac:dyDescent="0.25">
      <c r="A62" s="238"/>
      <c r="B62" s="239"/>
      <c r="C62" s="239"/>
      <c r="D62" s="239"/>
      <c r="E62" s="22" t="s">
        <v>13</v>
      </c>
      <c r="F62" s="22"/>
      <c r="G62" s="22">
        <v>10</v>
      </c>
      <c r="H62" s="23">
        <f t="shared" si="1"/>
        <v>0</v>
      </c>
      <c r="I62" s="23"/>
      <c r="J62" s="22"/>
      <c r="K62" s="25"/>
      <c r="L62" s="25"/>
      <c r="M62" s="24">
        <f t="shared" si="2"/>
        <v>0</v>
      </c>
    </row>
    <row r="63" spans="1:13" hidden="1" x14ac:dyDescent="0.25">
      <c r="A63" s="238"/>
      <c r="B63" s="239"/>
      <c r="C63" s="239"/>
      <c r="D63" s="239"/>
      <c r="E63" s="22" t="s">
        <v>13</v>
      </c>
      <c r="F63" s="22"/>
      <c r="G63" s="22">
        <v>10</v>
      </c>
      <c r="H63" s="23">
        <f t="shared" si="1"/>
        <v>0</v>
      </c>
      <c r="I63" s="23"/>
      <c r="J63" s="22"/>
      <c r="K63" s="25"/>
      <c r="L63" s="25"/>
      <c r="M63" s="24">
        <f t="shared" si="2"/>
        <v>0</v>
      </c>
    </row>
    <row r="64" spans="1:13" hidden="1" x14ac:dyDescent="0.25">
      <c r="A64" s="232" t="s">
        <v>82</v>
      </c>
      <c r="B64" s="232"/>
      <c r="C64" s="232"/>
      <c r="D64" s="232"/>
      <c r="E64" s="22"/>
      <c r="F64" s="22"/>
      <c r="G64" s="22"/>
      <c r="H64" s="26"/>
      <c r="I64" s="26"/>
      <c r="J64" s="22"/>
      <c r="K64" s="25"/>
      <c r="L64" s="25"/>
      <c r="M64" s="25">
        <f t="shared" si="2"/>
        <v>0</v>
      </c>
    </row>
    <row r="65" spans="1:13" ht="9" hidden="1" customHeight="1" x14ac:dyDescent="0.25">
      <c r="A65" s="233" t="s">
        <v>14</v>
      </c>
      <c r="B65" s="234"/>
      <c r="C65" s="234"/>
      <c r="D65" s="234"/>
      <c r="E65" s="234"/>
      <c r="F65" s="234"/>
      <c r="G65" s="234"/>
      <c r="H65" s="234"/>
      <c r="I65" s="234"/>
      <c r="J65" s="234"/>
      <c r="K65" s="235"/>
      <c r="L65" s="190"/>
      <c r="M65" s="25">
        <f>M64+M48+M47+M46</f>
        <v>96840</v>
      </c>
    </row>
    <row r="66" spans="1:13" ht="17.25" customHeigh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25">
      <c r="A67" s="202" t="s">
        <v>117</v>
      </c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</row>
    <row r="68" spans="1:13" ht="73.5" customHeight="1" x14ac:dyDescent="0.25">
      <c r="A68" s="218" t="s">
        <v>17</v>
      </c>
      <c r="B68" s="218"/>
      <c r="C68" s="218"/>
      <c r="D68" s="218"/>
      <c r="E68" s="9" t="s">
        <v>106</v>
      </c>
      <c r="F68" s="29" t="s">
        <v>75</v>
      </c>
      <c r="G68" s="9" t="s">
        <v>60</v>
      </c>
      <c r="H68" s="9" t="s">
        <v>68</v>
      </c>
      <c r="I68" s="9" t="s">
        <v>86</v>
      </c>
      <c r="J68" s="9" t="s">
        <v>93</v>
      </c>
      <c r="K68" s="11"/>
      <c r="L68" s="11"/>
      <c r="M68" s="11"/>
    </row>
    <row r="69" spans="1:13" ht="18.75" customHeight="1" x14ac:dyDescent="0.25">
      <c r="A69" s="236">
        <v>1</v>
      </c>
      <c r="B69" s="237"/>
      <c r="C69" s="237"/>
      <c r="D69" s="237"/>
      <c r="E69" s="9">
        <v>2</v>
      </c>
      <c r="F69" s="9">
        <v>3</v>
      </c>
      <c r="G69" s="30">
        <v>4</v>
      </c>
      <c r="H69" s="30">
        <v>5</v>
      </c>
      <c r="I69" s="31">
        <v>6</v>
      </c>
      <c r="J69" s="31" t="s">
        <v>65</v>
      </c>
      <c r="K69" s="11"/>
      <c r="L69" s="11"/>
      <c r="M69" s="32"/>
    </row>
    <row r="70" spans="1:13" x14ac:dyDescent="0.25">
      <c r="A70" s="268" t="s">
        <v>71</v>
      </c>
      <c r="B70" s="268"/>
      <c r="C70" s="268"/>
      <c r="D70" s="268"/>
      <c r="E70" s="34">
        <v>5</v>
      </c>
      <c r="F70" s="33">
        <v>12</v>
      </c>
      <c r="G70" s="47">
        <v>687.02</v>
      </c>
      <c r="H70" s="47">
        <f>41221.2*0.042</f>
        <v>1731.2904000000001</v>
      </c>
      <c r="I70" s="65">
        <v>29</v>
      </c>
      <c r="J70" s="47">
        <f>H70/I70</f>
        <v>59.699668965517247</v>
      </c>
      <c r="K70" s="11"/>
      <c r="L70" s="11"/>
      <c r="M70" s="19"/>
    </row>
    <row r="71" spans="1:13" ht="15.75" thickBot="1" x14ac:dyDescent="0.3">
      <c r="A71" s="268" t="s">
        <v>83</v>
      </c>
      <c r="B71" s="268"/>
      <c r="C71" s="268"/>
      <c r="D71" s="268"/>
      <c r="E71" s="34">
        <v>1</v>
      </c>
      <c r="F71" s="34">
        <v>12</v>
      </c>
      <c r="G71" s="47">
        <v>3743.23</v>
      </c>
      <c r="H71" s="47">
        <f>44918.8*0.042</f>
        <v>1886.5896000000002</v>
      </c>
      <c r="I71" s="65">
        <v>29</v>
      </c>
      <c r="J71" s="47">
        <f>H71/I71</f>
        <v>65.054813793103463</v>
      </c>
      <c r="K71" s="11"/>
      <c r="L71" s="11"/>
      <c r="M71" s="11"/>
    </row>
    <row r="72" spans="1:13" ht="15.75" thickBot="1" x14ac:dyDescent="0.3">
      <c r="A72" s="269" t="s">
        <v>29</v>
      </c>
      <c r="B72" s="270"/>
      <c r="C72" s="270"/>
      <c r="D72" s="270"/>
      <c r="E72" s="75"/>
      <c r="F72" s="75"/>
      <c r="G72" s="75"/>
      <c r="H72" s="92">
        <f>SUM(H70:H71)</f>
        <v>3617.88</v>
      </c>
      <c r="I72" s="68"/>
      <c r="J72" s="76">
        <f>SUM(J70:J71)</f>
        <v>124.75448275862071</v>
      </c>
      <c r="K72" s="11"/>
      <c r="L72" s="11"/>
      <c r="M72" s="11"/>
    </row>
    <row r="73" spans="1:13" ht="18" customHeight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x14ac:dyDescent="0.25">
      <c r="A74" s="202" t="s">
        <v>16</v>
      </c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</row>
    <row r="75" spans="1:13" ht="73.5" customHeight="1" x14ac:dyDescent="0.25">
      <c r="A75" s="218" t="s">
        <v>17</v>
      </c>
      <c r="B75" s="218"/>
      <c r="C75" s="218"/>
      <c r="D75" s="218"/>
      <c r="E75" s="9" t="s">
        <v>7</v>
      </c>
      <c r="F75" s="29" t="s">
        <v>75</v>
      </c>
      <c r="G75" s="9" t="s">
        <v>60</v>
      </c>
      <c r="H75" s="9" t="s">
        <v>68</v>
      </c>
      <c r="I75" s="9" t="s">
        <v>86</v>
      </c>
      <c r="J75" s="9" t="s">
        <v>93</v>
      </c>
      <c r="K75" s="11"/>
      <c r="L75" s="11"/>
      <c r="M75" s="11"/>
    </row>
    <row r="76" spans="1:13" ht="18.75" customHeight="1" x14ac:dyDescent="0.25">
      <c r="A76" s="236">
        <v>1</v>
      </c>
      <c r="B76" s="237"/>
      <c r="C76" s="237"/>
      <c r="D76" s="237"/>
      <c r="E76" s="9">
        <v>2</v>
      </c>
      <c r="F76" s="9">
        <v>3</v>
      </c>
      <c r="G76" s="30">
        <v>4</v>
      </c>
      <c r="H76" s="30">
        <v>5</v>
      </c>
      <c r="I76" s="31">
        <v>6</v>
      </c>
      <c r="J76" s="31" t="s">
        <v>65</v>
      </c>
      <c r="K76" s="11"/>
      <c r="L76" s="11"/>
      <c r="M76" s="32"/>
    </row>
    <row r="77" spans="1:13" x14ac:dyDescent="0.25">
      <c r="A77" s="268" t="s">
        <v>23</v>
      </c>
      <c r="B77" s="268"/>
      <c r="C77" s="268"/>
      <c r="D77" s="268"/>
      <c r="E77" s="34" t="s">
        <v>26</v>
      </c>
      <c r="F77" s="33">
        <v>123860</v>
      </c>
      <c r="G77" s="47">
        <v>6.62</v>
      </c>
      <c r="H77" s="47">
        <f>820000*0.042</f>
        <v>34440</v>
      </c>
      <c r="I77" s="65">
        <v>29</v>
      </c>
      <c r="J77" s="47">
        <f>H77/I77</f>
        <v>1187.5862068965516</v>
      </c>
      <c r="K77" s="11"/>
      <c r="L77" s="11"/>
      <c r="M77" s="19"/>
    </row>
    <row r="78" spans="1:13" x14ac:dyDescent="0.25">
      <c r="A78" s="268" t="s">
        <v>24</v>
      </c>
      <c r="B78" s="268"/>
      <c r="C78" s="268"/>
      <c r="D78" s="268"/>
      <c r="E78" s="34" t="s">
        <v>27</v>
      </c>
      <c r="F78" s="34">
        <v>660</v>
      </c>
      <c r="G78" s="47">
        <v>1618.59</v>
      </c>
      <c r="H78" s="47">
        <f>1259700*0.042</f>
        <v>52907.4</v>
      </c>
      <c r="I78" s="65">
        <v>29</v>
      </c>
      <c r="J78" s="47">
        <f>H78/I78</f>
        <v>1824.393103448276</v>
      </c>
      <c r="K78" s="11"/>
      <c r="L78" s="11"/>
      <c r="M78" s="11"/>
    </row>
    <row r="79" spans="1:13" x14ac:dyDescent="0.25">
      <c r="A79" s="268" t="s">
        <v>69</v>
      </c>
      <c r="B79" s="268"/>
      <c r="C79" s="268"/>
      <c r="D79" s="268"/>
      <c r="E79" s="34" t="s">
        <v>28</v>
      </c>
      <c r="F79" s="34">
        <v>2600</v>
      </c>
      <c r="G79" s="47">
        <v>39.22</v>
      </c>
      <c r="H79" s="47">
        <f>150000*0.042</f>
        <v>6300</v>
      </c>
      <c r="I79" s="65">
        <v>29</v>
      </c>
      <c r="J79" s="47">
        <f>H79/I79</f>
        <v>217.24137931034483</v>
      </c>
      <c r="K79" s="11"/>
      <c r="L79" s="11"/>
      <c r="M79" s="11"/>
    </row>
    <row r="80" spans="1:13" ht="15.75" thickBot="1" x14ac:dyDescent="0.3">
      <c r="A80" s="272" t="s">
        <v>25</v>
      </c>
      <c r="B80" s="272"/>
      <c r="C80" s="272"/>
      <c r="D80" s="272"/>
      <c r="E80" s="74" t="s">
        <v>28</v>
      </c>
      <c r="F80" s="34">
        <v>2800</v>
      </c>
      <c r="G80" s="67">
        <v>53.32</v>
      </c>
      <c r="H80" s="67">
        <f>165500*0.042</f>
        <v>6951</v>
      </c>
      <c r="I80" s="65">
        <v>29</v>
      </c>
      <c r="J80" s="67">
        <f>H80/I80</f>
        <v>239.68965517241378</v>
      </c>
      <c r="K80" s="11"/>
      <c r="L80" s="11"/>
      <c r="M80" s="11"/>
    </row>
    <row r="81" spans="1:13" ht="15.75" thickBot="1" x14ac:dyDescent="0.3">
      <c r="A81" s="269" t="s">
        <v>29</v>
      </c>
      <c r="B81" s="270"/>
      <c r="C81" s="270"/>
      <c r="D81" s="270"/>
      <c r="E81" s="75"/>
      <c r="F81" s="75"/>
      <c r="G81" s="75"/>
      <c r="H81" s="92">
        <f>SUM(H77:H80)</f>
        <v>100598.39999999999</v>
      </c>
      <c r="I81" s="68"/>
      <c r="J81" s="76">
        <f>SUM(J77:J80)</f>
        <v>3468.910344827586</v>
      </c>
      <c r="K81" s="11"/>
      <c r="L81" s="11"/>
      <c r="M81" s="11"/>
    </row>
    <row r="82" spans="1:13" ht="16.5" customHeight="1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11"/>
      <c r="L82" s="11"/>
      <c r="M82" s="11"/>
    </row>
    <row r="83" spans="1:13" x14ac:dyDescent="0.25">
      <c r="A83" s="202" t="s">
        <v>30</v>
      </c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</row>
    <row r="84" spans="1:13" ht="60" x14ac:dyDescent="0.25">
      <c r="A84" s="271" t="s">
        <v>32</v>
      </c>
      <c r="B84" s="271"/>
      <c r="C84" s="271"/>
      <c r="D84" s="271"/>
      <c r="E84" s="30" t="s">
        <v>7</v>
      </c>
      <c r="F84" s="30" t="s">
        <v>18</v>
      </c>
      <c r="G84" s="9" t="s">
        <v>68</v>
      </c>
      <c r="H84" s="9" t="s">
        <v>103</v>
      </c>
      <c r="I84" s="9" t="s">
        <v>93</v>
      </c>
      <c r="J84" s="11"/>
      <c r="K84" s="11"/>
      <c r="L84" s="11"/>
    </row>
    <row r="85" spans="1:13" ht="15" customHeight="1" x14ac:dyDescent="0.25">
      <c r="A85" s="263" t="s">
        <v>155</v>
      </c>
      <c r="B85" s="264"/>
      <c r="C85" s="264"/>
      <c r="D85" s="265"/>
      <c r="E85" s="71" t="s">
        <v>31</v>
      </c>
      <c r="F85" s="30">
        <v>1</v>
      </c>
      <c r="G85" s="9">
        <f>38400*0.042</f>
        <v>1612.8000000000002</v>
      </c>
      <c r="H85" s="65">
        <v>29</v>
      </c>
      <c r="I85" s="139">
        <f>G85/H85</f>
        <v>55.61379310344828</v>
      </c>
      <c r="J85" s="11"/>
      <c r="K85" s="11"/>
      <c r="L85" s="11"/>
    </row>
    <row r="86" spans="1:13" ht="15" customHeight="1" x14ac:dyDescent="0.25">
      <c r="A86" s="263" t="s">
        <v>156</v>
      </c>
      <c r="B86" s="264"/>
      <c r="C86" s="264"/>
      <c r="D86" s="265"/>
      <c r="E86" s="71" t="s">
        <v>31</v>
      </c>
      <c r="F86" s="71">
        <v>1</v>
      </c>
      <c r="G86" s="104">
        <f>160000*0.042</f>
        <v>6720</v>
      </c>
      <c r="H86" s="65">
        <v>29</v>
      </c>
      <c r="I86" s="139">
        <f>G86/H86</f>
        <v>231.72413793103448</v>
      </c>
      <c r="J86" s="11"/>
      <c r="K86" s="11"/>
      <c r="L86" s="11"/>
    </row>
    <row r="87" spans="1:13" ht="15" customHeight="1" x14ac:dyDescent="0.25">
      <c r="A87" s="263" t="s">
        <v>157</v>
      </c>
      <c r="B87" s="264"/>
      <c r="C87" s="264"/>
      <c r="D87" s="265"/>
      <c r="E87" s="71" t="s">
        <v>31</v>
      </c>
      <c r="F87" s="71">
        <v>1</v>
      </c>
      <c r="G87" s="104">
        <f>99000*0.042</f>
        <v>4158</v>
      </c>
      <c r="H87" s="65">
        <v>29</v>
      </c>
      <c r="I87" s="139">
        <f t="shared" ref="I87:I95" si="3">G87/H87</f>
        <v>143.37931034482759</v>
      </c>
      <c r="J87" s="11"/>
      <c r="K87" s="11"/>
      <c r="L87" s="11"/>
    </row>
    <row r="88" spans="1:13" ht="15" customHeight="1" x14ac:dyDescent="0.25">
      <c r="A88" s="263" t="s">
        <v>158</v>
      </c>
      <c r="B88" s="264"/>
      <c r="C88" s="264"/>
      <c r="D88" s="265"/>
      <c r="E88" s="71" t="s">
        <v>31</v>
      </c>
      <c r="F88" s="71">
        <v>1</v>
      </c>
      <c r="G88" s="104">
        <f>9600*0.042</f>
        <v>403.20000000000005</v>
      </c>
      <c r="H88" s="65">
        <v>29</v>
      </c>
      <c r="I88" s="139">
        <f t="shared" si="3"/>
        <v>13.90344827586207</v>
      </c>
      <c r="J88" s="11"/>
      <c r="K88" s="11"/>
      <c r="L88" s="11"/>
    </row>
    <row r="89" spans="1:13" ht="15" customHeight="1" x14ac:dyDescent="0.25">
      <c r="A89" s="263" t="s">
        <v>102</v>
      </c>
      <c r="B89" s="264"/>
      <c r="C89" s="264"/>
      <c r="D89" s="265"/>
      <c r="E89" s="71" t="s">
        <v>31</v>
      </c>
      <c r="F89" s="71">
        <v>1</v>
      </c>
      <c r="G89" s="104">
        <f>3300*0.042</f>
        <v>138.60000000000002</v>
      </c>
      <c r="H89" s="65">
        <v>29</v>
      </c>
      <c r="I89" s="139">
        <f t="shared" si="3"/>
        <v>4.7793103448275867</v>
      </c>
      <c r="J89" s="11"/>
      <c r="K89" s="11"/>
      <c r="L89" s="11"/>
    </row>
    <row r="90" spans="1:13" ht="15" customHeight="1" x14ac:dyDescent="0.25">
      <c r="A90" s="210" t="s">
        <v>159</v>
      </c>
      <c r="B90" s="211"/>
      <c r="C90" s="211"/>
      <c r="D90" s="219"/>
      <c r="E90" s="71" t="s">
        <v>31</v>
      </c>
      <c r="F90" s="71">
        <v>1</v>
      </c>
      <c r="G90" s="47">
        <f>32500*0.042</f>
        <v>1365</v>
      </c>
      <c r="H90" s="65">
        <v>29</v>
      </c>
      <c r="I90" s="139">
        <f t="shared" si="3"/>
        <v>47.068965517241381</v>
      </c>
      <c r="J90" s="11"/>
      <c r="K90" s="11"/>
      <c r="L90" s="11"/>
    </row>
    <row r="91" spans="1:13" ht="28.5" customHeight="1" x14ac:dyDescent="0.25">
      <c r="A91" s="263" t="s">
        <v>160</v>
      </c>
      <c r="B91" s="264"/>
      <c r="C91" s="264"/>
      <c r="D91" s="265"/>
      <c r="E91" s="71" t="s">
        <v>31</v>
      </c>
      <c r="F91" s="71">
        <v>1</v>
      </c>
      <c r="G91" s="89">
        <f>51600*0.042</f>
        <v>2167.2000000000003</v>
      </c>
      <c r="H91" s="65">
        <v>29</v>
      </c>
      <c r="I91" s="139">
        <f t="shared" si="3"/>
        <v>74.731034482758631</v>
      </c>
      <c r="J91" s="11"/>
      <c r="K91" s="18"/>
      <c r="L91" s="18"/>
    </row>
    <row r="92" spans="1:13" ht="16.5" customHeight="1" x14ac:dyDescent="0.25">
      <c r="A92" s="102" t="s">
        <v>161</v>
      </c>
      <c r="B92" s="103"/>
      <c r="C92" s="103"/>
      <c r="D92" s="103"/>
      <c r="E92" s="71" t="s">
        <v>31</v>
      </c>
      <c r="F92" s="71">
        <v>1</v>
      </c>
      <c r="G92" s="47">
        <f>3200*0.042</f>
        <v>134.4</v>
      </c>
      <c r="H92" s="65">
        <v>29</v>
      </c>
      <c r="I92" s="139">
        <f t="shared" si="3"/>
        <v>4.63448275862069</v>
      </c>
      <c r="J92" s="11"/>
      <c r="K92" s="11"/>
      <c r="L92" s="11"/>
    </row>
    <row r="93" spans="1:13" ht="15" customHeight="1" x14ac:dyDescent="0.25">
      <c r="A93" s="102" t="s">
        <v>162</v>
      </c>
      <c r="B93" s="103"/>
      <c r="C93" s="103"/>
      <c r="D93" s="103"/>
      <c r="E93" s="71" t="s">
        <v>31</v>
      </c>
      <c r="F93" s="71">
        <v>1</v>
      </c>
      <c r="G93" s="47">
        <f>30000*0.042</f>
        <v>1260</v>
      </c>
      <c r="H93" s="65">
        <v>29</v>
      </c>
      <c r="I93" s="139">
        <f t="shared" si="3"/>
        <v>43.448275862068968</v>
      </c>
      <c r="J93" s="11"/>
      <c r="K93" s="11"/>
      <c r="L93" s="11"/>
    </row>
    <row r="94" spans="1:13" ht="15" customHeight="1" x14ac:dyDescent="0.25">
      <c r="A94" s="210" t="s">
        <v>163</v>
      </c>
      <c r="B94" s="211"/>
      <c r="C94" s="211"/>
      <c r="D94" s="219"/>
      <c r="E94" s="71" t="s">
        <v>31</v>
      </c>
      <c r="F94" s="71">
        <v>1</v>
      </c>
      <c r="G94" s="67">
        <f>24000*0.042</f>
        <v>1008.0000000000001</v>
      </c>
      <c r="H94" s="65">
        <v>29</v>
      </c>
      <c r="I94" s="139">
        <f t="shared" si="3"/>
        <v>34.758620689655174</v>
      </c>
      <c r="J94" s="11"/>
      <c r="K94" s="11"/>
      <c r="L94" s="11"/>
    </row>
    <row r="95" spans="1:13" s="1" customFormat="1" ht="15" customHeight="1" thickBot="1" x14ac:dyDescent="0.3">
      <c r="A95" s="210" t="s">
        <v>164</v>
      </c>
      <c r="B95" s="211"/>
      <c r="C95" s="211"/>
      <c r="D95" s="219"/>
      <c r="E95" s="71" t="s">
        <v>31</v>
      </c>
      <c r="F95" s="71">
        <v>1</v>
      </c>
      <c r="G95" s="67">
        <f>25000*0.042</f>
        <v>1050</v>
      </c>
      <c r="H95" s="65">
        <v>29</v>
      </c>
      <c r="I95" s="139">
        <f t="shared" si="3"/>
        <v>36.206896551724135</v>
      </c>
      <c r="J95" s="13"/>
      <c r="K95" s="13"/>
      <c r="L95" s="13"/>
    </row>
    <row r="96" spans="1:13" ht="15" customHeight="1" thickBot="1" x14ac:dyDescent="0.3">
      <c r="A96" s="149" t="s">
        <v>74</v>
      </c>
      <c r="B96" s="150"/>
      <c r="C96" s="150"/>
      <c r="D96" s="150"/>
      <c r="E96" s="150"/>
      <c r="F96" s="150"/>
      <c r="G96" s="93">
        <f>SUM(G85:G95)</f>
        <v>20017.2</v>
      </c>
      <c r="I96" s="39">
        <f>SUM(I85:I95)</f>
        <v>690.24827586206902</v>
      </c>
      <c r="K96" s="11"/>
      <c r="L96" s="11"/>
      <c r="M96" s="11"/>
    </row>
    <row r="97" spans="1:13" ht="28.5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ht="15" customHeight="1" x14ac:dyDescent="0.25">
      <c r="A98" s="202" t="s">
        <v>70</v>
      </c>
      <c r="B98" s="202"/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</row>
    <row r="99" spans="1:13" ht="60" x14ac:dyDescent="0.25">
      <c r="A99" s="193" t="s">
        <v>32</v>
      </c>
      <c r="B99" s="194"/>
      <c r="C99" s="194"/>
      <c r="D99" s="194"/>
      <c r="E99" s="30" t="s">
        <v>7</v>
      </c>
      <c r="F99" s="9" t="s">
        <v>77</v>
      </c>
      <c r="G99" s="9" t="s">
        <v>68</v>
      </c>
      <c r="H99" s="9" t="s">
        <v>103</v>
      </c>
      <c r="I99" s="9" t="s">
        <v>93</v>
      </c>
      <c r="J99" s="11"/>
      <c r="K99" s="11"/>
      <c r="L99" s="11"/>
      <c r="M99" s="11"/>
    </row>
    <row r="100" spans="1:13" ht="15" customHeight="1" x14ac:dyDescent="0.25">
      <c r="A100" s="196" t="s">
        <v>166</v>
      </c>
      <c r="B100" s="197"/>
      <c r="C100" s="197"/>
      <c r="D100" s="197"/>
      <c r="E100" s="71" t="s">
        <v>31</v>
      </c>
      <c r="F100" s="71">
        <v>1</v>
      </c>
      <c r="G100" s="104">
        <f>9400*0.042</f>
        <v>394.8</v>
      </c>
      <c r="H100" s="65">
        <v>29</v>
      </c>
      <c r="I100" s="140">
        <f>G100/H100</f>
        <v>13.613793103448277</v>
      </c>
      <c r="J100" s="11"/>
      <c r="K100" s="11"/>
      <c r="L100" s="11"/>
      <c r="M100" s="11"/>
    </row>
    <row r="101" spans="1:13" ht="15" customHeight="1" x14ac:dyDescent="0.25">
      <c r="A101" s="196" t="s">
        <v>167</v>
      </c>
      <c r="B101" s="197"/>
      <c r="C101" s="197"/>
      <c r="D101" s="197"/>
      <c r="E101" s="71" t="s">
        <v>31</v>
      </c>
      <c r="F101" s="71">
        <v>1</v>
      </c>
      <c r="G101" s="104">
        <f>34580*0.042</f>
        <v>1452.3600000000001</v>
      </c>
      <c r="H101" s="65">
        <v>29</v>
      </c>
      <c r="I101" s="140">
        <f t="shared" ref="I101:I106" si="4">G101/H101</f>
        <v>50.081379310344829</v>
      </c>
      <c r="J101" s="11"/>
      <c r="K101" s="11"/>
      <c r="L101" s="11"/>
      <c r="M101" s="11"/>
    </row>
    <row r="102" spans="1:13" ht="15" customHeight="1" x14ac:dyDescent="0.25">
      <c r="A102" s="196" t="s">
        <v>168</v>
      </c>
      <c r="B102" s="197"/>
      <c r="C102" s="197"/>
      <c r="D102" s="197"/>
      <c r="E102" s="71" t="s">
        <v>31</v>
      </c>
      <c r="F102" s="71">
        <v>1</v>
      </c>
      <c r="G102" s="104">
        <f>110960*0.042</f>
        <v>4660.3200000000006</v>
      </c>
      <c r="H102" s="65">
        <v>29</v>
      </c>
      <c r="I102" s="140">
        <f t="shared" si="4"/>
        <v>160.70068965517243</v>
      </c>
      <c r="J102" s="11"/>
      <c r="K102" s="11"/>
      <c r="L102" s="11"/>
      <c r="M102" s="11"/>
    </row>
    <row r="103" spans="1:13" ht="15" customHeight="1" x14ac:dyDescent="0.25">
      <c r="A103" s="196" t="s">
        <v>169</v>
      </c>
      <c r="B103" s="197"/>
      <c r="C103" s="197"/>
      <c r="D103" s="197"/>
      <c r="E103" s="71" t="s">
        <v>31</v>
      </c>
      <c r="F103" s="71">
        <v>1</v>
      </c>
      <c r="G103" s="104">
        <f>10120*0.042</f>
        <v>425.04</v>
      </c>
      <c r="H103" s="65">
        <v>29</v>
      </c>
      <c r="I103" s="140">
        <f t="shared" si="4"/>
        <v>14.656551724137932</v>
      </c>
      <c r="J103" s="11"/>
      <c r="K103" s="11"/>
      <c r="L103" s="11"/>
      <c r="M103" s="11"/>
    </row>
    <row r="104" spans="1:13" ht="15" customHeight="1" x14ac:dyDescent="0.25">
      <c r="A104" s="196" t="s">
        <v>170</v>
      </c>
      <c r="B104" s="197"/>
      <c r="C104" s="197"/>
      <c r="D104" s="197"/>
      <c r="E104" s="71" t="s">
        <v>31</v>
      </c>
      <c r="F104" s="71">
        <v>1</v>
      </c>
      <c r="G104" s="104">
        <f>113400*0.042</f>
        <v>4762.8</v>
      </c>
      <c r="H104" s="65">
        <v>29</v>
      </c>
      <c r="I104" s="140">
        <f t="shared" si="4"/>
        <v>164.23448275862069</v>
      </c>
      <c r="J104" s="11"/>
      <c r="K104" s="11"/>
      <c r="L104" s="11"/>
      <c r="M104" s="11"/>
    </row>
    <row r="105" spans="1:13" ht="18" customHeight="1" x14ac:dyDescent="0.25">
      <c r="A105" s="196" t="s">
        <v>171</v>
      </c>
      <c r="B105" s="197"/>
      <c r="C105" s="197"/>
      <c r="D105" s="197"/>
      <c r="E105" s="71" t="s">
        <v>31</v>
      </c>
      <c r="F105" s="71">
        <v>1</v>
      </c>
      <c r="G105" s="89">
        <f>15000*0.042</f>
        <v>630</v>
      </c>
      <c r="H105" s="65">
        <v>29</v>
      </c>
      <c r="I105" s="140">
        <f t="shared" si="4"/>
        <v>21.724137931034484</v>
      </c>
      <c r="J105" s="11"/>
      <c r="K105" s="11"/>
      <c r="L105" s="11"/>
      <c r="M105" s="11"/>
    </row>
    <row r="106" spans="1:13" ht="28.5" customHeight="1" thickBot="1" x14ac:dyDescent="0.3">
      <c r="A106" s="196" t="s">
        <v>172</v>
      </c>
      <c r="B106" s="197"/>
      <c r="C106" s="197"/>
      <c r="D106" s="197"/>
      <c r="E106" s="71" t="s">
        <v>31</v>
      </c>
      <c r="F106" s="71">
        <v>1</v>
      </c>
      <c r="G106" s="89">
        <f>14400*0.042</f>
        <v>604.80000000000007</v>
      </c>
      <c r="H106" s="65">
        <v>29</v>
      </c>
      <c r="I106" s="140">
        <f t="shared" si="4"/>
        <v>20.855172413793106</v>
      </c>
      <c r="J106" s="11"/>
      <c r="K106" s="11"/>
      <c r="L106" s="11"/>
      <c r="M106" s="11"/>
    </row>
    <row r="107" spans="1:13" ht="15.75" hidden="1" customHeight="1" thickBot="1" x14ac:dyDescent="0.3">
      <c r="F107" s="95"/>
      <c r="H107" s="65">
        <v>5231</v>
      </c>
      <c r="I107" s="96"/>
      <c r="J107" s="11"/>
      <c r="K107" s="11"/>
      <c r="L107" s="11"/>
      <c r="M107" s="11"/>
    </row>
    <row r="108" spans="1:13" ht="14.25" hidden="1" customHeight="1" x14ac:dyDescent="0.25">
      <c r="F108" s="29"/>
      <c r="G108" s="80"/>
      <c r="H108" s="65"/>
      <c r="I108" s="72"/>
      <c r="J108" s="11"/>
      <c r="K108" s="11"/>
      <c r="L108" s="11"/>
      <c r="M108" s="11"/>
    </row>
    <row r="109" spans="1:13" ht="16.5" hidden="1" customHeight="1" x14ac:dyDescent="0.25">
      <c r="A109" s="196"/>
      <c r="B109" s="197"/>
      <c r="C109" s="197"/>
      <c r="D109" s="197"/>
      <c r="E109" s="148"/>
      <c r="F109" s="29"/>
      <c r="G109" s="78"/>
      <c r="H109" s="65">
        <v>3260</v>
      </c>
      <c r="I109" s="72">
        <f t="shared" ref="I109:I110" si="5">G109/H109</f>
        <v>0</v>
      </c>
      <c r="J109" s="11"/>
      <c r="K109" s="11"/>
      <c r="L109" s="11"/>
      <c r="M109" s="11"/>
    </row>
    <row r="110" spans="1:13" ht="17.25" hidden="1" customHeight="1" x14ac:dyDescent="0.25">
      <c r="A110" s="196"/>
      <c r="B110" s="197"/>
      <c r="C110" s="197"/>
      <c r="D110" s="197"/>
      <c r="E110" s="148"/>
      <c r="F110" s="79"/>
      <c r="G110" s="47"/>
      <c r="H110" s="65">
        <v>3260</v>
      </c>
      <c r="I110" s="72">
        <f t="shared" si="5"/>
        <v>0</v>
      </c>
      <c r="J110" s="11"/>
      <c r="K110" s="11"/>
      <c r="L110" s="11"/>
      <c r="M110" s="11"/>
    </row>
    <row r="111" spans="1:13" ht="20.25" customHeight="1" thickBot="1" x14ac:dyDescent="0.3">
      <c r="A111" s="215" t="s">
        <v>73</v>
      </c>
      <c r="B111" s="216"/>
      <c r="C111" s="216"/>
      <c r="D111" s="216"/>
      <c r="E111" s="126"/>
      <c r="F111" s="70"/>
      <c r="G111" s="92">
        <f>SUM(G100:G110)</f>
        <v>12930.119999999999</v>
      </c>
      <c r="H111" s="66"/>
      <c r="I111" s="39">
        <f>SUM(I100:I110)</f>
        <v>445.86620689655172</v>
      </c>
      <c r="J111" s="11"/>
      <c r="K111" s="41"/>
      <c r="L111" s="41"/>
      <c r="M111" s="11"/>
    </row>
    <row r="112" spans="1:13" s="113" customFormat="1" ht="20.25" customHeight="1" x14ac:dyDescent="0.25">
      <c r="A112" s="105"/>
      <c r="B112" s="106"/>
      <c r="C112" s="106"/>
      <c r="D112" s="106"/>
      <c r="E112" s="107"/>
      <c r="F112" s="108"/>
      <c r="G112" s="109"/>
      <c r="H112" s="110"/>
      <c r="I112" s="111"/>
      <c r="J112" s="112"/>
      <c r="K112" s="111"/>
      <c r="L112" s="111"/>
    </row>
    <row r="113" spans="1:13" s="113" customFormat="1" ht="20.25" customHeight="1" x14ac:dyDescent="0.25">
      <c r="A113" s="114"/>
      <c r="B113" s="114"/>
      <c r="C113" s="114"/>
      <c r="D113" s="114"/>
      <c r="E113" s="114"/>
      <c r="F113" s="114"/>
      <c r="G113" s="114"/>
      <c r="H113" s="114"/>
      <c r="I113" s="108"/>
      <c r="J113" s="109"/>
      <c r="K113" s="110"/>
      <c r="L113" s="110"/>
      <c r="M113" s="115"/>
    </row>
    <row r="114" spans="1:13" ht="15" customHeight="1" x14ac:dyDescent="0.25">
      <c r="A114" s="202" t="s">
        <v>122</v>
      </c>
      <c r="B114" s="202"/>
      <c r="C114" s="202"/>
      <c r="D114" s="202"/>
      <c r="E114" s="202"/>
      <c r="F114" s="202"/>
      <c r="G114" s="202"/>
      <c r="H114" s="202"/>
      <c r="I114" s="202"/>
      <c r="J114" s="202"/>
      <c r="K114" s="202"/>
      <c r="L114" s="202"/>
      <c r="M114" s="202"/>
    </row>
    <row r="115" spans="1:13" ht="60" x14ac:dyDescent="0.25">
      <c r="A115" s="193" t="s">
        <v>32</v>
      </c>
      <c r="B115" s="194"/>
      <c r="C115" s="194"/>
      <c r="D115" s="194"/>
      <c r="E115" s="9" t="s">
        <v>104</v>
      </c>
      <c r="F115" s="9" t="s">
        <v>68</v>
      </c>
      <c r="G115" s="9" t="s">
        <v>103</v>
      </c>
      <c r="H115" s="9" t="s">
        <v>93</v>
      </c>
      <c r="I115" s="11"/>
      <c r="J115" s="11"/>
      <c r="K115" s="11"/>
      <c r="L115" s="11"/>
    </row>
    <row r="116" spans="1:13" ht="15.75" thickBot="1" x14ac:dyDescent="0.3">
      <c r="A116" s="196" t="s">
        <v>107</v>
      </c>
      <c r="B116" s="197"/>
      <c r="C116" s="197"/>
      <c r="D116" s="197"/>
      <c r="E116" s="71" t="s">
        <v>31</v>
      </c>
      <c r="F116" s="104">
        <f>(10000)*0.042</f>
        <v>420</v>
      </c>
      <c r="G116" s="65">
        <v>29</v>
      </c>
      <c r="H116" s="140">
        <f t="shared" ref="H116" si="6">F116/G116</f>
        <v>14.482758620689655</v>
      </c>
      <c r="I116" s="11"/>
      <c r="J116" s="11"/>
      <c r="K116" s="11"/>
      <c r="L116" s="11"/>
    </row>
    <row r="117" spans="1:13" ht="15.75" hidden="1" customHeight="1" x14ac:dyDescent="0.25">
      <c r="E117" s="95"/>
      <c r="G117" s="9">
        <v>189</v>
      </c>
      <c r="H117" s="96"/>
      <c r="I117" s="11"/>
      <c r="J117" s="11"/>
      <c r="K117" s="11"/>
      <c r="L117" s="11"/>
    </row>
    <row r="118" spans="1:13" ht="14.25" hidden="1" customHeight="1" x14ac:dyDescent="0.25">
      <c r="E118" s="29"/>
      <c r="F118" s="80"/>
      <c r="G118" s="9">
        <v>189</v>
      </c>
      <c r="H118" s="72"/>
      <c r="I118" s="11"/>
      <c r="J118" s="11"/>
      <c r="K118" s="11"/>
      <c r="L118" s="11"/>
    </row>
    <row r="119" spans="1:13" ht="16.5" hidden="1" customHeight="1" thickBot="1" x14ac:dyDescent="0.3">
      <c r="A119" s="196"/>
      <c r="B119" s="197"/>
      <c r="C119" s="197"/>
      <c r="D119" s="197"/>
      <c r="E119" s="29"/>
      <c r="F119" s="78"/>
      <c r="G119" s="9">
        <v>189</v>
      </c>
      <c r="H119" s="72">
        <f t="shared" ref="H119:H120" si="7">F119/G119</f>
        <v>0</v>
      </c>
      <c r="I119" s="11"/>
      <c r="J119" s="11"/>
      <c r="K119" s="11"/>
      <c r="L119" s="11"/>
    </row>
    <row r="120" spans="1:13" ht="17.25" hidden="1" customHeight="1" x14ac:dyDescent="0.25">
      <c r="A120" s="196"/>
      <c r="B120" s="197"/>
      <c r="C120" s="197"/>
      <c r="D120" s="197"/>
      <c r="E120" s="79"/>
      <c r="F120" s="47"/>
      <c r="G120" s="9">
        <v>189</v>
      </c>
      <c r="H120" s="72">
        <f t="shared" si="7"/>
        <v>0</v>
      </c>
      <c r="I120" s="11"/>
      <c r="J120" s="11"/>
      <c r="K120" s="11"/>
      <c r="L120" s="11"/>
    </row>
    <row r="121" spans="1:13" ht="20.25" customHeight="1" thickBot="1" x14ac:dyDescent="0.3">
      <c r="A121" s="215" t="s">
        <v>73</v>
      </c>
      <c r="B121" s="216"/>
      <c r="C121" s="216"/>
      <c r="D121" s="216"/>
      <c r="E121" s="70"/>
      <c r="F121" s="92">
        <f>SUM(F116:F120)</f>
        <v>420</v>
      </c>
      <c r="G121" s="66"/>
      <c r="H121" s="73">
        <f>SUM(H116:H116)</f>
        <v>14.482758620689655</v>
      </c>
      <c r="I121" s="11"/>
      <c r="J121" s="41"/>
      <c r="K121" s="11"/>
      <c r="L121" s="11"/>
    </row>
    <row r="122" spans="1:13" ht="22.5" customHeight="1" x14ac:dyDescent="0.25">
      <c r="A122" s="116"/>
      <c r="B122" s="116"/>
      <c r="C122" s="116"/>
      <c r="D122" s="116"/>
      <c r="E122" s="117"/>
      <c r="F122" s="118"/>
      <c r="G122" s="119"/>
      <c r="H122" s="118"/>
      <c r="I122" s="120"/>
      <c r="J122" s="90"/>
      <c r="K122" s="121"/>
      <c r="L122" s="121"/>
      <c r="M122" s="69"/>
    </row>
    <row r="123" spans="1:13" ht="15.75" x14ac:dyDescent="0.25">
      <c r="A123" s="217" t="s">
        <v>105</v>
      </c>
      <c r="B123" s="217"/>
      <c r="C123" s="217"/>
      <c r="D123" s="217"/>
      <c r="E123" s="217"/>
      <c r="F123" s="217"/>
      <c r="G123" s="217"/>
      <c r="H123" s="217"/>
      <c r="I123" s="217"/>
      <c r="J123" s="217"/>
      <c r="K123" s="217"/>
      <c r="L123" s="217"/>
      <c r="M123" s="217"/>
    </row>
    <row r="124" spans="1:13" ht="75" x14ac:dyDescent="0.25">
      <c r="A124" s="218" t="s">
        <v>3</v>
      </c>
      <c r="B124" s="218"/>
      <c r="C124" s="218"/>
      <c r="D124" s="218"/>
      <c r="E124" s="9" t="s">
        <v>4</v>
      </c>
      <c r="F124" s="10" t="s">
        <v>0</v>
      </c>
      <c r="G124" s="42" t="s">
        <v>72</v>
      </c>
      <c r="H124" s="42" t="s">
        <v>63</v>
      </c>
      <c r="I124" s="9" t="s">
        <v>86</v>
      </c>
      <c r="J124" s="9" t="s">
        <v>93</v>
      </c>
      <c r="K124" s="9" t="s">
        <v>66</v>
      </c>
      <c r="L124" s="32"/>
      <c r="M124" s="32"/>
    </row>
    <row r="125" spans="1:13" x14ac:dyDescent="0.25">
      <c r="A125" s="227">
        <v>1</v>
      </c>
      <c r="B125" s="228"/>
      <c r="C125" s="228"/>
      <c r="D125" s="228"/>
      <c r="E125" s="30">
        <v>2</v>
      </c>
      <c r="F125" s="12">
        <v>3</v>
      </c>
      <c r="G125" s="30">
        <v>4</v>
      </c>
      <c r="H125" s="30" t="s">
        <v>165</v>
      </c>
      <c r="I125" s="31">
        <v>6</v>
      </c>
      <c r="J125" s="45">
        <v>7</v>
      </c>
      <c r="K125" s="46">
        <v>8</v>
      </c>
      <c r="L125" s="316"/>
      <c r="M125" s="32"/>
    </row>
    <row r="126" spans="1:13" ht="15.75" thickBot="1" x14ac:dyDescent="0.3">
      <c r="A126" s="205" t="s">
        <v>90</v>
      </c>
      <c r="B126" s="205"/>
      <c r="C126" s="205"/>
      <c r="D126" s="205"/>
      <c r="E126" s="47">
        <f>9144000/12/13.75</f>
        <v>55418.181818181816</v>
      </c>
      <c r="F126" s="47">
        <f>13.75*0.042</f>
        <v>0.57750000000000001</v>
      </c>
      <c r="G126" s="47">
        <f>7023041.475*0.042</f>
        <v>294967.74195</v>
      </c>
      <c r="H126" s="47">
        <f>(G126*1.302)</f>
        <v>384048.00001890003</v>
      </c>
      <c r="I126" s="65">
        <v>29</v>
      </c>
      <c r="J126" s="47">
        <f>H126/I126</f>
        <v>13243.034483410345</v>
      </c>
      <c r="K126" s="82">
        <f>H126/(8696900+23460820)*100</f>
        <v>1.1942637724904006</v>
      </c>
      <c r="L126" s="317"/>
      <c r="M126" s="18"/>
    </row>
    <row r="127" spans="1:13" ht="15.75" hidden="1" thickBot="1" x14ac:dyDescent="0.3">
      <c r="A127" s="212"/>
      <c r="B127" s="213"/>
      <c r="C127" s="213"/>
      <c r="D127" s="213"/>
      <c r="E127" s="47">
        <v>17865.98</v>
      </c>
      <c r="F127" s="83">
        <v>4</v>
      </c>
      <c r="G127" s="65"/>
      <c r="H127" s="54">
        <f>H6</f>
        <v>0</v>
      </c>
      <c r="I127" s="47" t="e">
        <f t="shared" ref="I127:I148" si="8">F127/G127*H127</f>
        <v>#DIV/0!</v>
      </c>
      <c r="J127" s="47">
        <f t="shared" ref="J127:J148" si="9">E127*F127*12*1.302</f>
        <v>1116552.28608</v>
      </c>
      <c r="K127" s="84" t="s">
        <v>50</v>
      </c>
      <c r="L127" s="318"/>
      <c r="M127" s="38" t="e">
        <f t="shared" ref="M127:M151" si="10">I127*J127</f>
        <v>#DIV/0!</v>
      </c>
    </row>
    <row r="128" spans="1:13" ht="15.75" hidden="1" thickBot="1" x14ac:dyDescent="0.3">
      <c r="A128" s="209"/>
      <c r="B128" s="209"/>
      <c r="C128" s="209"/>
      <c r="D128" s="209"/>
      <c r="E128" s="47">
        <v>9544</v>
      </c>
      <c r="F128" s="83">
        <v>1</v>
      </c>
      <c r="G128" s="65"/>
      <c r="H128" s="54">
        <f>H6</f>
        <v>0</v>
      </c>
      <c r="I128" s="47" t="e">
        <f t="shared" si="8"/>
        <v>#DIV/0!</v>
      </c>
      <c r="J128" s="47">
        <f t="shared" si="9"/>
        <v>149115.45600000001</v>
      </c>
      <c r="K128" s="54">
        <f>H128/11277167.39*100</f>
        <v>0</v>
      </c>
      <c r="L128" s="54"/>
      <c r="M128" s="15" t="e">
        <f t="shared" si="10"/>
        <v>#DIV/0!</v>
      </c>
    </row>
    <row r="129" spans="1:13" ht="15" hidden="1" customHeight="1" x14ac:dyDescent="0.25">
      <c r="A129" s="210"/>
      <c r="B129" s="211"/>
      <c r="C129" s="211"/>
      <c r="D129" s="211"/>
      <c r="E129" s="47">
        <v>11560</v>
      </c>
      <c r="F129" s="83">
        <v>1</v>
      </c>
      <c r="G129" s="65"/>
      <c r="H129" s="54">
        <f>H6</f>
        <v>0</v>
      </c>
      <c r="I129" s="47" t="e">
        <f t="shared" si="8"/>
        <v>#DIV/0!</v>
      </c>
      <c r="J129" s="47">
        <f t="shared" si="9"/>
        <v>180613.44</v>
      </c>
      <c r="K129" s="34"/>
      <c r="L129" s="34"/>
      <c r="M129" s="15" t="e">
        <f t="shared" si="10"/>
        <v>#DIV/0!</v>
      </c>
    </row>
    <row r="130" spans="1:13" ht="15.75" hidden="1" thickBot="1" x14ac:dyDescent="0.3">
      <c r="A130" s="205"/>
      <c r="B130" s="205"/>
      <c r="C130" s="205"/>
      <c r="D130" s="205"/>
      <c r="E130" s="47">
        <v>9544</v>
      </c>
      <c r="F130" s="85">
        <v>0.5</v>
      </c>
      <c r="G130" s="65"/>
      <c r="H130" s="54">
        <f>H6</f>
        <v>0</v>
      </c>
      <c r="I130" s="47" t="e">
        <f t="shared" si="8"/>
        <v>#DIV/0!</v>
      </c>
      <c r="J130" s="47">
        <f t="shared" si="9"/>
        <v>74557.728000000003</v>
      </c>
      <c r="K130" s="34"/>
      <c r="L130" s="34"/>
      <c r="M130" s="15" t="e">
        <f t="shared" si="10"/>
        <v>#DIV/0!</v>
      </c>
    </row>
    <row r="131" spans="1:13" ht="15.75" hidden="1" thickBot="1" x14ac:dyDescent="0.3">
      <c r="A131" s="205"/>
      <c r="B131" s="205"/>
      <c r="C131" s="205"/>
      <c r="D131" s="205"/>
      <c r="E131" s="47">
        <v>9544</v>
      </c>
      <c r="F131" s="83">
        <v>1</v>
      </c>
      <c r="G131" s="65"/>
      <c r="H131" s="54">
        <f>H6</f>
        <v>0</v>
      </c>
      <c r="I131" s="47" t="e">
        <f t="shared" si="8"/>
        <v>#DIV/0!</v>
      </c>
      <c r="J131" s="47">
        <f t="shared" si="9"/>
        <v>149115.45600000001</v>
      </c>
      <c r="K131" s="47"/>
      <c r="L131" s="47"/>
      <c r="M131" s="15" t="e">
        <f t="shared" si="10"/>
        <v>#DIV/0!</v>
      </c>
    </row>
    <row r="132" spans="1:13" ht="14.25" hidden="1" customHeight="1" x14ac:dyDescent="0.25">
      <c r="A132" s="205"/>
      <c r="B132" s="205"/>
      <c r="C132" s="205"/>
      <c r="D132" s="205"/>
      <c r="E132" s="47">
        <v>9544</v>
      </c>
      <c r="F132" s="83">
        <v>1</v>
      </c>
      <c r="G132" s="65"/>
      <c r="H132" s="54">
        <f>H6</f>
        <v>0</v>
      </c>
      <c r="I132" s="47" t="e">
        <f t="shared" si="8"/>
        <v>#DIV/0!</v>
      </c>
      <c r="J132" s="47">
        <f t="shared" si="9"/>
        <v>149115.45600000001</v>
      </c>
      <c r="K132" s="66"/>
      <c r="L132" s="66"/>
      <c r="M132" s="15" t="e">
        <f t="shared" si="10"/>
        <v>#DIV/0!</v>
      </c>
    </row>
    <row r="133" spans="1:13" ht="15.75" hidden="1" thickBot="1" x14ac:dyDescent="0.3">
      <c r="A133" s="196"/>
      <c r="B133" s="197"/>
      <c r="C133" s="197"/>
      <c r="D133" s="197"/>
      <c r="E133" s="47">
        <v>9544</v>
      </c>
      <c r="F133" s="47"/>
      <c r="G133" s="65"/>
      <c r="H133" s="54">
        <f>H6</f>
        <v>0</v>
      </c>
      <c r="I133" s="47" t="e">
        <f t="shared" si="8"/>
        <v>#DIV/0!</v>
      </c>
      <c r="J133" s="47">
        <f t="shared" si="9"/>
        <v>0</v>
      </c>
      <c r="K133" s="66"/>
      <c r="L133" s="66"/>
      <c r="M133" s="15" t="e">
        <f t="shared" si="10"/>
        <v>#DIV/0!</v>
      </c>
    </row>
    <row r="134" spans="1:13" ht="15.75" hidden="1" thickBot="1" x14ac:dyDescent="0.3">
      <c r="A134" s="196"/>
      <c r="B134" s="197"/>
      <c r="C134" s="197"/>
      <c r="D134" s="197"/>
      <c r="E134" s="47">
        <v>9544</v>
      </c>
      <c r="F134" s="86">
        <v>0.25</v>
      </c>
      <c r="G134" s="65"/>
      <c r="H134" s="54">
        <f>H6</f>
        <v>0</v>
      </c>
      <c r="I134" s="47" t="e">
        <f t="shared" si="8"/>
        <v>#DIV/0!</v>
      </c>
      <c r="J134" s="47">
        <f t="shared" si="9"/>
        <v>37278.864000000001</v>
      </c>
      <c r="K134" s="66"/>
      <c r="L134" s="66"/>
      <c r="M134" s="15" t="e">
        <f t="shared" si="10"/>
        <v>#DIV/0!</v>
      </c>
    </row>
    <row r="135" spans="1:13" ht="15.75" hidden="1" thickBot="1" x14ac:dyDescent="0.3">
      <c r="A135" s="196"/>
      <c r="B135" s="197"/>
      <c r="C135" s="197"/>
      <c r="D135" s="197"/>
      <c r="E135" s="47">
        <v>9544</v>
      </c>
      <c r="F135" s="47"/>
      <c r="G135" s="65"/>
      <c r="H135" s="54">
        <f>H6</f>
        <v>0</v>
      </c>
      <c r="I135" s="47" t="e">
        <f t="shared" si="8"/>
        <v>#DIV/0!</v>
      </c>
      <c r="J135" s="47">
        <f t="shared" si="9"/>
        <v>0</v>
      </c>
      <c r="K135" s="66"/>
      <c r="L135" s="66"/>
      <c r="M135" s="15" t="e">
        <f t="shared" si="10"/>
        <v>#DIV/0!</v>
      </c>
    </row>
    <row r="136" spans="1:13" ht="15.75" hidden="1" thickBot="1" x14ac:dyDescent="0.3">
      <c r="A136" s="196"/>
      <c r="B136" s="197"/>
      <c r="C136" s="197"/>
      <c r="D136" s="197"/>
      <c r="E136" s="47">
        <v>9544</v>
      </c>
      <c r="F136" s="85">
        <v>0.5</v>
      </c>
      <c r="G136" s="65"/>
      <c r="H136" s="54">
        <f>H6</f>
        <v>0</v>
      </c>
      <c r="I136" s="47" t="e">
        <f t="shared" si="8"/>
        <v>#DIV/0!</v>
      </c>
      <c r="J136" s="47">
        <f t="shared" si="9"/>
        <v>74557.728000000003</v>
      </c>
      <c r="K136" s="66"/>
      <c r="L136" s="66"/>
      <c r="M136" s="15" t="e">
        <f t="shared" si="10"/>
        <v>#DIV/0!</v>
      </c>
    </row>
    <row r="137" spans="1:13" ht="15.75" hidden="1" customHeight="1" x14ac:dyDescent="0.25">
      <c r="A137" s="196"/>
      <c r="B137" s="197"/>
      <c r="C137" s="197"/>
      <c r="D137" s="197"/>
      <c r="E137" s="47">
        <v>9544</v>
      </c>
      <c r="F137" s="83">
        <v>1</v>
      </c>
      <c r="G137" s="65"/>
      <c r="H137" s="54">
        <f>H6</f>
        <v>0</v>
      </c>
      <c r="I137" s="47" t="e">
        <f t="shared" si="8"/>
        <v>#DIV/0!</v>
      </c>
      <c r="J137" s="47">
        <f t="shared" si="9"/>
        <v>149115.45600000001</v>
      </c>
      <c r="K137" s="66"/>
      <c r="L137" s="66"/>
      <c r="M137" s="15" t="e">
        <f t="shared" si="10"/>
        <v>#DIV/0!</v>
      </c>
    </row>
    <row r="138" spans="1:13" ht="15" hidden="1" customHeight="1" thickBot="1" x14ac:dyDescent="0.3">
      <c r="A138" s="205"/>
      <c r="B138" s="205"/>
      <c r="C138" s="205"/>
      <c r="D138" s="205"/>
      <c r="E138" s="47">
        <v>9544</v>
      </c>
      <c r="F138" s="83">
        <v>1</v>
      </c>
      <c r="G138" s="65"/>
      <c r="H138" s="54">
        <f>H6</f>
        <v>0</v>
      </c>
      <c r="I138" s="47" t="e">
        <f t="shared" si="8"/>
        <v>#DIV/0!</v>
      </c>
      <c r="J138" s="47">
        <f t="shared" si="9"/>
        <v>149115.45600000001</v>
      </c>
      <c r="K138" s="66"/>
      <c r="L138" s="66"/>
      <c r="M138" s="15" t="e">
        <f t="shared" si="10"/>
        <v>#DIV/0!</v>
      </c>
    </row>
    <row r="139" spans="1:13" ht="15" hidden="1" customHeight="1" x14ac:dyDescent="0.25">
      <c r="A139" s="205"/>
      <c r="B139" s="205"/>
      <c r="C139" s="205"/>
      <c r="D139" s="205"/>
      <c r="E139" s="47">
        <v>9544</v>
      </c>
      <c r="F139" s="85">
        <v>5.5</v>
      </c>
      <c r="G139" s="65"/>
      <c r="H139" s="54">
        <f>H6</f>
        <v>0</v>
      </c>
      <c r="I139" s="47" t="e">
        <f t="shared" si="8"/>
        <v>#DIV/0!</v>
      </c>
      <c r="J139" s="47">
        <f t="shared" si="9"/>
        <v>820135.00800000003</v>
      </c>
      <c r="K139" s="66"/>
      <c r="L139" s="66"/>
      <c r="M139" s="15" t="e">
        <f t="shared" si="10"/>
        <v>#DIV/0!</v>
      </c>
    </row>
    <row r="140" spans="1:13" ht="15" hidden="1" customHeight="1" thickBot="1" x14ac:dyDescent="0.3">
      <c r="A140" s="205"/>
      <c r="B140" s="205"/>
      <c r="C140" s="205"/>
      <c r="D140" s="205"/>
      <c r="E140" s="47">
        <v>9544</v>
      </c>
      <c r="F140" s="83">
        <v>1</v>
      </c>
      <c r="G140" s="65"/>
      <c r="H140" s="54">
        <f>H6</f>
        <v>0</v>
      </c>
      <c r="I140" s="47" t="e">
        <f t="shared" si="8"/>
        <v>#DIV/0!</v>
      </c>
      <c r="J140" s="47">
        <f t="shared" si="9"/>
        <v>149115.45600000001</v>
      </c>
      <c r="K140" s="66"/>
      <c r="L140" s="66"/>
      <c r="M140" s="15" t="e">
        <f t="shared" si="10"/>
        <v>#DIV/0!</v>
      </c>
    </row>
    <row r="141" spans="1:13" ht="15" hidden="1" customHeight="1" x14ac:dyDescent="0.25">
      <c r="A141" s="205"/>
      <c r="B141" s="205"/>
      <c r="C141" s="205"/>
      <c r="D141" s="205"/>
      <c r="E141" s="47">
        <v>9544</v>
      </c>
      <c r="F141" s="85">
        <v>0.5</v>
      </c>
      <c r="G141" s="65"/>
      <c r="H141" s="54">
        <f>H6</f>
        <v>0</v>
      </c>
      <c r="I141" s="47" t="e">
        <f t="shared" si="8"/>
        <v>#DIV/0!</v>
      </c>
      <c r="J141" s="47">
        <f t="shared" si="9"/>
        <v>74557.728000000003</v>
      </c>
      <c r="K141" s="66"/>
      <c r="L141" s="66"/>
      <c r="M141" s="15" t="e">
        <f t="shared" si="10"/>
        <v>#DIV/0!</v>
      </c>
    </row>
    <row r="142" spans="1:13" ht="15" hidden="1" customHeight="1" x14ac:dyDescent="0.25">
      <c r="A142" s="205"/>
      <c r="B142" s="205"/>
      <c r="C142" s="205"/>
      <c r="D142" s="205"/>
      <c r="E142" s="47">
        <v>9544</v>
      </c>
      <c r="F142" s="85">
        <v>0.5</v>
      </c>
      <c r="G142" s="65"/>
      <c r="H142" s="54">
        <f>H6</f>
        <v>0</v>
      </c>
      <c r="I142" s="47" t="e">
        <f t="shared" si="8"/>
        <v>#DIV/0!</v>
      </c>
      <c r="J142" s="47">
        <f t="shared" si="9"/>
        <v>74557.728000000003</v>
      </c>
      <c r="K142" s="66"/>
      <c r="L142" s="66"/>
      <c r="M142" s="15" t="e">
        <f t="shared" si="10"/>
        <v>#DIV/0!</v>
      </c>
    </row>
    <row r="143" spans="1:13" ht="15.75" hidden="1" thickBot="1" x14ac:dyDescent="0.3">
      <c r="A143" s="205"/>
      <c r="B143" s="205"/>
      <c r="C143" s="205"/>
      <c r="D143" s="205"/>
      <c r="E143" s="47">
        <v>9544</v>
      </c>
      <c r="F143" s="83">
        <v>1</v>
      </c>
      <c r="G143" s="65"/>
      <c r="H143" s="54">
        <f>H6</f>
        <v>0</v>
      </c>
      <c r="I143" s="47" t="e">
        <f t="shared" si="8"/>
        <v>#DIV/0!</v>
      </c>
      <c r="J143" s="47">
        <f t="shared" si="9"/>
        <v>149115.45600000001</v>
      </c>
      <c r="K143" s="66"/>
      <c r="L143" s="66"/>
      <c r="M143" s="15" t="e">
        <f t="shared" si="10"/>
        <v>#DIV/0!</v>
      </c>
    </row>
    <row r="144" spans="1:13" ht="15.75" hidden="1" customHeight="1" x14ac:dyDescent="0.25">
      <c r="A144" s="205"/>
      <c r="B144" s="205"/>
      <c r="C144" s="205"/>
      <c r="D144" s="205"/>
      <c r="E144" s="47">
        <v>9544</v>
      </c>
      <c r="F144" s="83">
        <v>4</v>
      </c>
      <c r="G144" s="65"/>
      <c r="H144" s="54">
        <f>H6</f>
        <v>0</v>
      </c>
      <c r="I144" s="47" t="e">
        <f t="shared" si="8"/>
        <v>#DIV/0!</v>
      </c>
      <c r="J144" s="47">
        <f t="shared" si="9"/>
        <v>596461.82400000002</v>
      </c>
      <c r="K144" s="66"/>
      <c r="L144" s="66"/>
      <c r="M144" s="15" t="e">
        <f t="shared" si="10"/>
        <v>#DIV/0!</v>
      </c>
    </row>
    <row r="145" spans="1:13" ht="16.5" hidden="1" customHeight="1" x14ac:dyDescent="0.25">
      <c r="A145" s="196"/>
      <c r="B145" s="197"/>
      <c r="C145" s="197"/>
      <c r="D145" s="197"/>
      <c r="E145" s="47">
        <v>9544</v>
      </c>
      <c r="F145" s="83">
        <v>1</v>
      </c>
      <c r="G145" s="65"/>
      <c r="H145" s="54">
        <f>H6</f>
        <v>0</v>
      </c>
      <c r="I145" s="47" t="e">
        <f t="shared" si="8"/>
        <v>#DIV/0!</v>
      </c>
      <c r="J145" s="47">
        <f t="shared" si="9"/>
        <v>149115.45600000001</v>
      </c>
      <c r="K145" s="66"/>
      <c r="L145" s="66"/>
      <c r="M145" s="15" t="e">
        <f t="shared" si="10"/>
        <v>#DIV/0!</v>
      </c>
    </row>
    <row r="146" spans="1:13" ht="16.5" hidden="1" customHeight="1" thickBot="1" x14ac:dyDescent="0.3">
      <c r="A146" s="196"/>
      <c r="B146" s="197"/>
      <c r="C146" s="197"/>
      <c r="D146" s="197"/>
      <c r="E146" s="47">
        <v>9544</v>
      </c>
      <c r="F146" s="86">
        <v>1.75</v>
      </c>
      <c r="G146" s="65"/>
      <c r="H146" s="54">
        <f>H6</f>
        <v>0</v>
      </c>
      <c r="I146" s="47" t="e">
        <f t="shared" si="8"/>
        <v>#DIV/0!</v>
      </c>
      <c r="J146" s="47">
        <f t="shared" si="9"/>
        <v>260952.04800000001</v>
      </c>
      <c r="K146" s="66"/>
      <c r="L146" s="66"/>
      <c r="M146" s="15" t="e">
        <f t="shared" si="10"/>
        <v>#DIV/0!</v>
      </c>
    </row>
    <row r="147" spans="1:13" ht="16.5" hidden="1" customHeight="1" thickBot="1" x14ac:dyDescent="0.3">
      <c r="A147" s="196"/>
      <c r="B147" s="197"/>
      <c r="C147" s="197"/>
      <c r="D147" s="197"/>
      <c r="E147" s="47">
        <v>9544</v>
      </c>
      <c r="F147" s="54"/>
      <c r="G147" s="65"/>
      <c r="H147" s="54">
        <f>H6</f>
        <v>0</v>
      </c>
      <c r="I147" s="47" t="e">
        <f t="shared" si="8"/>
        <v>#DIV/0!</v>
      </c>
      <c r="J147" s="47">
        <f t="shared" si="9"/>
        <v>0</v>
      </c>
      <c r="K147" s="66"/>
      <c r="L147" s="66"/>
      <c r="M147" s="15" t="e">
        <f t="shared" si="10"/>
        <v>#DIV/0!</v>
      </c>
    </row>
    <row r="148" spans="1:13" ht="16.5" hidden="1" customHeight="1" thickBot="1" x14ac:dyDescent="0.3">
      <c r="A148" s="196"/>
      <c r="B148" s="197"/>
      <c r="C148" s="197"/>
      <c r="D148" s="197"/>
      <c r="E148" s="47">
        <v>9544</v>
      </c>
      <c r="F148" s="85">
        <v>0.5</v>
      </c>
      <c r="G148" s="65"/>
      <c r="H148" s="54">
        <f>H6</f>
        <v>0</v>
      </c>
      <c r="I148" s="47" t="e">
        <f t="shared" si="8"/>
        <v>#DIV/0!</v>
      </c>
      <c r="J148" s="47">
        <f t="shared" si="9"/>
        <v>74557.728000000003</v>
      </c>
      <c r="K148" s="66"/>
      <c r="L148" s="66"/>
      <c r="M148" s="15" t="e">
        <f t="shared" si="10"/>
        <v>#DIV/0!</v>
      </c>
    </row>
    <row r="149" spans="1:13" ht="15" hidden="1" customHeight="1" thickBot="1" x14ac:dyDescent="0.3">
      <c r="A149" s="196"/>
      <c r="B149" s="197"/>
      <c r="C149" s="197"/>
      <c r="D149" s="197"/>
      <c r="E149" s="47"/>
      <c r="F149" s="47"/>
      <c r="G149" s="47"/>
      <c r="H149" s="47"/>
      <c r="I149" s="47"/>
      <c r="J149" s="47"/>
      <c r="K149" s="66"/>
      <c r="L149" s="66"/>
      <c r="M149" s="15">
        <f t="shared" si="10"/>
        <v>0</v>
      </c>
    </row>
    <row r="150" spans="1:13" ht="15.75" hidden="1" customHeight="1" thickBot="1" x14ac:dyDescent="0.3">
      <c r="A150" s="196"/>
      <c r="B150" s="197"/>
      <c r="C150" s="197"/>
      <c r="D150" s="197"/>
      <c r="E150" s="47"/>
      <c r="F150" s="47"/>
      <c r="G150" s="47"/>
      <c r="H150" s="47"/>
      <c r="I150" s="47"/>
      <c r="J150" s="47"/>
      <c r="K150" s="66"/>
      <c r="L150" s="66"/>
      <c r="M150" s="15">
        <f t="shared" si="10"/>
        <v>0</v>
      </c>
    </row>
    <row r="151" spans="1:13" ht="14.25" hidden="1" customHeight="1" thickBot="1" x14ac:dyDescent="0.3">
      <c r="A151" s="196"/>
      <c r="B151" s="197"/>
      <c r="C151" s="197"/>
      <c r="D151" s="197"/>
      <c r="E151" s="47"/>
      <c r="F151" s="47"/>
      <c r="G151" s="47"/>
      <c r="H151" s="47"/>
      <c r="I151" s="65">
        <v>105</v>
      </c>
      <c r="J151" s="67">
        <f>H151/I151</f>
        <v>0</v>
      </c>
      <c r="K151" s="66"/>
      <c r="L151" s="66"/>
      <c r="M151" s="36">
        <f t="shared" si="10"/>
        <v>0</v>
      </c>
    </row>
    <row r="152" spans="1:13" ht="15.75" thickBot="1" x14ac:dyDescent="0.3">
      <c r="A152" s="226" t="s">
        <v>67</v>
      </c>
      <c r="B152" s="226"/>
      <c r="C152" s="226"/>
      <c r="D152" s="226"/>
      <c r="E152" s="87"/>
      <c r="F152" s="147"/>
      <c r="G152" s="147"/>
      <c r="H152" s="92">
        <f>H126</f>
        <v>384048.00001890003</v>
      </c>
      <c r="I152" s="68"/>
      <c r="J152" s="88">
        <f>J126</f>
        <v>13243.034483410345</v>
      </c>
      <c r="K152" s="66"/>
      <c r="L152" s="66"/>
      <c r="M152" s="18"/>
    </row>
    <row r="153" spans="1:13" ht="6" customHeight="1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9"/>
      <c r="L153" s="19"/>
      <c r="M153" s="19"/>
    </row>
    <row r="154" spans="1:13" ht="6" customHeight="1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9"/>
      <c r="L154" s="19"/>
      <c r="M154" s="19"/>
    </row>
    <row r="155" spans="1:13" ht="15.75" x14ac:dyDescent="0.25">
      <c r="A155" s="217" t="s">
        <v>92</v>
      </c>
      <c r="B155" s="217"/>
      <c r="C155" s="217"/>
      <c r="D155" s="217"/>
      <c r="E155" s="217"/>
      <c r="F155" s="217"/>
      <c r="G155" s="217"/>
      <c r="H155" s="217"/>
      <c r="I155" s="217"/>
      <c r="J155" s="217"/>
      <c r="K155" s="217"/>
      <c r="L155" s="217"/>
      <c r="M155" s="217"/>
    </row>
    <row r="156" spans="1:13" ht="75" x14ac:dyDescent="0.25">
      <c r="A156" s="218" t="s">
        <v>3</v>
      </c>
      <c r="B156" s="218"/>
      <c r="C156" s="218"/>
      <c r="D156" s="218"/>
      <c r="E156" s="9" t="s">
        <v>4</v>
      </c>
      <c r="F156" s="10" t="s">
        <v>0</v>
      </c>
      <c r="G156" s="42" t="s">
        <v>72</v>
      </c>
      <c r="H156" s="42" t="s">
        <v>63</v>
      </c>
      <c r="I156" s="9" t="s">
        <v>86</v>
      </c>
      <c r="J156" s="9" t="s">
        <v>93</v>
      </c>
      <c r="K156" s="9" t="s">
        <v>66</v>
      </c>
      <c r="L156" s="32"/>
      <c r="M156" s="32"/>
    </row>
    <row r="157" spans="1:13" x14ac:dyDescent="0.25">
      <c r="A157" s="227">
        <v>1</v>
      </c>
      <c r="B157" s="228"/>
      <c r="C157" s="228"/>
      <c r="D157" s="228"/>
      <c r="E157" s="30">
        <v>2</v>
      </c>
      <c r="F157" s="12">
        <v>3</v>
      </c>
      <c r="G157" s="30">
        <v>4</v>
      </c>
      <c r="H157" s="30">
        <v>5</v>
      </c>
      <c r="I157" s="31">
        <v>6</v>
      </c>
      <c r="J157" s="45">
        <v>7</v>
      </c>
      <c r="K157" s="46">
        <v>8</v>
      </c>
      <c r="L157" s="316"/>
      <c r="M157" s="32"/>
    </row>
    <row r="158" spans="1:13" ht="15.75" thickBot="1" x14ac:dyDescent="0.3">
      <c r="A158" s="205" t="s">
        <v>91</v>
      </c>
      <c r="B158" s="205"/>
      <c r="C158" s="205"/>
      <c r="D158" s="205"/>
      <c r="E158" s="47">
        <f>18861400/12/55.25</f>
        <v>28448.567119155352</v>
      </c>
      <c r="F158" s="47">
        <f>55.25*0.042</f>
        <v>2.3205</v>
      </c>
      <c r="G158" s="47">
        <f>14486482.34*0.042</f>
        <v>608432.25828000007</v>
      </c>
      <c r="H158" s="47">
        <f>G158*1.302</f>
        <v>792178.80028056016</v>
      </c>
      <c r="I158" s="65">
        <v>29</v>
      </c>
      <c r="J158" s="47">
        <f>H158/I158</f>
        <v>27316.510354502076</v>
      </c>
      <c r="K158" s="82">
        <f>H158/(8696900+23460820)*100</f>
        <v>2.4634171834339007</v>
      </c>
      <c r="L158" s="317"/>
      <c r="M158" s="18"/>
    </row>
    <row r="159" spans="1:13" ht="15.75" hidden="1" thickBot="1" x14ac:dyDescent="0.3">
      <c r="A159" s="212"/>
      <c r="B159" s="213"/>
      <c r="C159" s="213"/>
      <c r="D159" s="213"/>
      <c r="E159" s="47">
        <v>17865.98</v>
      </c>
      <c r="F159" s="83">
        <v>4</v>
      </c>
      <c r="G159" s="65"/>
      <c r="H159" s="54">
        <f>H39</f>
        <v>0</v>
      </c>
      <c r="I159" s="47" t="e">
        <f t="shared" ref="I159:I180" si="11">F159/G159*H159</f>
        <v>#DIV/0!</v>
      </c>
      <c r="J159" s="47">
        <f t="shared" ref="J159:J180" si="12">E159*F159*12*1.302</f>
        <v>1116552.28608</v>
      </c>
      <c r="K159" s="84" t="s">
        <v>50</v>
      </c>
      <c r="L159" s="318"/>
      <c r="M159" s="38" t="e">
        <f t="shared" ref="M159:M183" si="13">I159*J159</f>
        <v>#DIV/0!</v>
      </c>
    </row>
    <row r="160" spans="1:13" ht="15.75" hidden="1" thickBot="1" x14ac:dyDescent="0.3">
      <c r="A160" s="209"/>
      <c r="B160" s="209"/>
      <c r="C160" s="209"/>
      <c r="D160" s="209"/>
      <c r="E160" s="47">
        <v>9544</v>
      </c>
      <c r="F160" s="83">
        <v>1</v>
      </c>
      <c r="G160" s="65"/>
      <c r="H160" s="54">
        <f>H39</f>
        <v>0</v>
      </c>
      <c r="I160" s="47" t="e">
        <f t="shared" si="11"/>
        <v>#DIV/0!</v>
      </c>
      <c r="J160" s="47">
        <f t="shared" si="12"/>
        <v>149115.45600000001</v>
      </c>
      <c r="K160" s="54">
        <f>H160/11277167.39*100</f>
        <v>0</v>
      </c>
      <c r="L160" s="54"/>
      <c r="M160" s="15" t="e">
        <f t="shared" si="13"/>
        <v>#DIV/0!</v>
      </c>
    </row>
    <row r="161" spans="1:13" ht="15" hidden="1" customHeight="1" x14ac:dyDescent="0.25">
      <c r="A161" s="210"/>
      <c r="B161" s="211"/>
      <c r="C161" s="211"/>
      <c r="D161" s="211"/>
      <c r="E161" s="47">
        <v>11560</v>
      </c>
      <c r="F161" s="83">
        <v>1</v>
      </c>
      <c r="G161" s="65"/>
      <c r="H161" s="54">
        <f>H39</f>
        <v>0</v>
      </c>
      <c r="I161" s="47" t="e">
        <f t="shared" si="11"/>
        <v>#DIV/0!</v>
      </c>
      <c r="J161" s="47">
        <f t="shared" si="12"/>
        <v>180613.44</v>
      </c>
      <c r="K161" s="34"/>
      <c r="L161" s="34"/>
      <c r="M161" s="15" t="e">
        <f t="shared" si="13"/>
        <v>#DIV/0!</v>
      </c>
    </row>
    <row r="162" spans="1:13" ht="15.75" hidden="1" thickBot="1" x14ac:dyDescent="0.3">
      <c r="A162" s="205"/>
      <c r="B162" s="205"/>
      <c r="C162" s="205"/>
      <c r="D162" s="205"/>
      <c r="E162" s="47">
        <v>9544</v>
      </c>
      <c r="F162" s="85">
        <v>0.5</v>
      </c>
      <c r="G162" s="65"/>
      <c r="H162" s="54">
        <f>H39</f>
        <v>0</v>
      </c>
      <c r="I162" s="47" t="e">
        <f t="shared" si="11"/>
        <v>#DIV/0!</v>
      </c>
      <c r="J162" s="47">
        <f t="shared" si="12"/>
        <v>74557.728000000003</v>
      </c>
      <c r="K162" s="34"/>
      <c r="L162" s="34"/>
      <c r="M162" s="15" t="e">
        <f t="shared" si="13"/>
        <v>#DIV/0!</v>
      </c>
    </row>
    <row r="163" spans="1:13" ht="15.75" hidden="1" thickBot="1" x14ac:dyDescent="0.3">
      <c r="A163" s="205"/>
      <c r="B163" s="205"/>
      <c r="C163" s="205"/>
      <c r="D163" s="205"/>
      <c r="E163" s="47">
        <v>9544</v>
      </c>
      <c r="F163" s="83">
        <v>1</v>
      </c>
      <c r="G163" s="65"/>
      <c r="H163" s="54">
        <f>H39</f>
        <v>0</v>
      </c>
      <c r="I163" s="47" t="e">
        <f t="shared" si="11"/>
        <v>#DIV/0!</v>
      </c>
      <c r="J163" s="47">
        <f t="shared" si="12"/>
        <v>149115.45600000001</v>
      </c>
      <c r="K163" s="47"/>
      <c r="L163" s="47"/>
      <c r="M163" s="15" t="e">
        <f t="shared" si="13"/>
        <v>#DIV/0!</v>
      </c>
    </row>
    <row r="164" spans="1:13" ht="14.25" hidden="1" customHeight="1" x14ac:dyDescent="0.25">
      <c r="A164" s="205"/>
      <c r="B164" s="205"/>
      <c r="C164" s="205"/>
      <c r="D164" s="205"/>
      <c r="E164" s="47">
        <v>9544</v>
      </c>
      <c r="F164" s="83">
        <v>1</v>
      </c>
      <c r="G164" s="65"/>
      <c r="H164" s="54">
        <f>H39</f>
        <v>0</v>
      </c>
      <c r="I164" s="47" t="e">
        <f t="shared" si="11"/>
        <v>#DIV/0!</v>
      </c>
      <c r="J164" s="47">
        <f t="shared" si="12"/>
        <v>149115.45600000001</v>
      </c>
      <c r="K164" s="66"/>
      <c r="L164" s="66"/>
      <c r="M164" s="15" t="e">
        <f t="shared" si="13"/>
        <v>#DIV/0!</v>
      </c>
    </row>
    <row r="165" spans="1:13" ht="15.75" hidden="1" thickBot="1" x14ac:dyDescent="0.3">
      <c r="A165" s="196"/>
      <c r="B165" s="197"/>
      <c r="C165" s="197"/>
      <c r="D165" s="197"/>
      <c r="E165" s="47">
        <v>9544</v>
      </c>
      <c r="F165" s="47"/>
      <c r="G165" s="65"/>
      <c r="H165" s="54">
        <f>H39</f>
        <v>0</v>
      </c>
      <c r="I165" s="47" t="e">
        <f t="shared" si="11"/>
        <v>#DIV/0!</v>
      </c>
      <c r="J165" s="47">
        <f t="shared" si="12"/>
        <v>0</v>
      </c>
      <c r="K165" s="66"/>
      <c r="L165" s="66"/>
      <c r="M165" s="15" t="e">
        <f t="shared" si="13"/>
        <v>#DIV/0!</v>
      </c>
    </row>
    <row r="166" spans="1:13" ht="15.75" hidden="1" thickBot="1" x14ac:dyDescent="0.3">
      <c r="A166" s="196"/>
      <c r="B166" s="197"/>
      <c r="C166" s="197"/>
      <c r="D166" s="197"/>
      <c r="E166" s="47">
        <v>9544</v>
      </c>
      <c r="F166" s="86">
        <v>0.25</v>
      </c>
      <c r="G166" s="65"/>
      <c r="H166" s="54">
        <f>H39</f>
        <v>0</v>
      </c>
      <c r="I166" s="47" t="e">
        <f t="shared" si="11"/>
        <v>#DIV/0!</v>
      </c>
      <c r="J166" s="47">
        <f t="shared" si="12"/>
        <v>37278.864000000001</v>
      </c>
      <c r="K166" s="66"/>
      <c r="L166" s="66"/>
      <c r="M166" s="15" t="e">
        <f t="shared" si="13"/>
        <v>#DIV/0!</v>
      </c>
    </row>
    <row r="167" spans="1:13" ht="15.75" hidden="1" thickBot="1" x14ac:dyDescent="0.3">
      <c r="A167" s="196"/>
      <c r="B167" s="197"/>
      <c r="C167" s="197"/>
      <c r="D167" s="197"/>
      <c r="E167" s="47">
        <v>9544</v>
      </c>
      <c r="F167" s="47"/>
      <c r="G167" s="65"/>
      <c r="H167" s="54">
        <f>H39</f>
        <v>0</v>
      </c>
      <c r="I167" s="47" t="e">
        <f t="shared" si="11"/>
        <v>#DIV/0!</v>
      </c>
      <c r="J167" s="47">
        <f t="shared" si="12"/>
        <v>0</v>
      </c>
      <c r="K167" s="66"/>
      <c r="L167" s="66"/>
      <c r="M167" s="15" t="e">
        <f t="shared" si="13"/>
        <v>#DIV/0!</v>
      </c>
    </row>
    <row r="168" spans="1:13" ht="15.75" hidden="1" thickBot="1" x14ac:dyDescent="0.3">
      <c r="A168" s="196"/>
      <c r="B168" s="197"/>
      <c r="C168" s="197"/>
      <c r="D168" s="197"/>
      <c r="E168" s="47">
        <v>9544</v>
      </c>
      <c r="F168" s="85">
        <v>0.5</v>
      </c>
      <c r="G168" s="65"/>
      <c r="H168" s="54">
        <f>H39</f>
        <v>0</v>
      </c>
      <c r="I168" s="47" t="e">
        <f t="shared" si="11"/>
        <v>#DIV/0!</v>
      </c>
      <c r="J168" s="47">
        <f t="shared" si="12"/>
        <v>74557.728000000003</v>
      </c>
      <c r="K168" s="66"/>
      <c r="L168" s="66"/>
      <c r="M168" s="15" t="e">
        <f t="shared" si="13"/>
        <v>#DIV/0!</v>
      </c>
    </row>
    <row r="169" spans="1:13" ht="15.75" hidden="1" customHeight="1" thickBot="1" x14ac:dyDescent="0.3">
      <c r="A169" s="196"/>
      <c r="B169" s="197"/>
      <c r="C169" s="197"/>
      <c r="D169" s="197"/>
      <c r="E169" s="47">
        <v>9544</v>
      </c>
      <c r="F169" s="83">
        <v>1</v>
      </c>
      <c r="G169" s="65"/>
      <c r="H169" s="54">
        <f>H39</f>
        <v>0</v>
      </c>
      <c r="I169" s="47" t="e">
        <f t="shared" si="11"/>
        <v>#DIV/0!</v>
      </c>
      <c r="J169" s="47">
        <f t="shared" si="12"/>
        <v>149115.45600000001</v>
      </c>
      <c r="K169" s="66"/>
      <c r="L169" s="66"/>
      <c r="M169" s="15" t="e">
        <f t="shared" si="13"/>
        <v>#DIV/0!</v>
      </c>
    </row>
    <row r="170" spans="1:13" ht="15" hidden="1" customHeight="1" x14ac:dyDescent="0.25">
      <c r="A170" s="205"/>
      <c r="B170" s="205"/>
      <c r="C170" s="205"/>
      <c r="D170" s="205"/>
      <c r="E170" s="47">
        <v>9544</v>
      </c>
      <c r="F170" s="83">
        <v>1</v>
      </c>
      <c r="G170" s="65"/>
      <c r="H170" s="54">
        <f>H39</f>
        <v>0</v>
      </c>
      <c r="I170" s="47" t="e">
        <f t="shared" si="11"/>
        <v>#DIV/0!</v>
      </c>
      <c r="J170" s="47">
        <f t="shared" si="12"/>
        <v>149115.45600000001</v>
      </c>
      <c r="K170" s="66"/>
      <c r="L170" s="66"/>
      <c r="M170" s="15" t="e">
        <f t="shared" si="13"/>
        <v>#DIV/0!</v>
      </c>
    </row>
    <row r="171" spans="1:13" ht="15" hidden="1" customHeight="1" thickBot="1" x14ac:dyDescent="0.3">
      <c r="A171" s="205"/>
      <c r="B171" s="205"/>
      <c r="C171" s="205"/>
      <c r="D171" s="205"/>
      <c r="E171" s="47">
        <v>9544</v>
      </c>
      <c r="F171" s="85">
        <v>5.5</v>
      </c>
      <c r="G171" s="65"/>
      <c r="H171" s="54">
        <f>H39</f>
        <v>0</v>
      </c>
      <c r="I171" s="47" t="e">
        <f t="shared" si="11"/>
        <v>#DIV/0!</v>
      </c>
      <c r="J171" s="47">
        <f t="shared" si="12"/>
        <v>820135.00800000003</v>
      </c>
      <c r="K171" s="66"/>
      <c r="L171" s="66"/>
      <c r="M171" s="15" t="e">
        <f t="shared" si="13"/>
        <v>#DIV/0!</v>
      </c>
    </row>
    <row r="172" spans="1:13" ht="15" hidden="1" customHeight="1" x14ac:dyDescent="0.25">
      <c r="A172" s="205"/>
      <c r="B172" s="205"/>
      <c r="C172" s="205"/>
      <c r="D172" s="205"/>
      <c r="E172" s="47">
        <v>9544</v>
      </c>
      <c r="F172" s="83">
        <v>1</v>
      </c>
      <c r="G172" s="65"/>
      <c r="H172" s="54">
        <f>H39</f>
        <v>0</v>
      </c>
      <c r="I172" s="47" t="e">
        <f t="shared" si="11"/>
        <v>#DIV/0!</v>
      </c>
      <c r="J172" s="47">
        <f t="shared" si="12"/>
        <v>149115.45600000001</v>
      </c>
      <c r="K172" s="66"/>
      <c r="L172" s="66"/>
      <c r="M172" s="15" t="e">
        <f t="shared" si="13"/>
        <v>#DIV/0!</v>
      </c>
    </row>
    <row r="173" spans="1:13" ht="15" hidden="1" customHeight="1" x14ac:dyDescent="0.25">
      <c r="A173" s="205"/>
      <c r="B173" s="205"/>
      <c r="C173" s="205"/>
      <c r="D173" s="205"/>
      <c r="E173" s="47">
        <v>9544</v>
      </c>
      <c r="F173" s="85">
        <v>0.5</v>
      </c>
      <c r="G173" s="65"/>
      <c r="H173" s="54">
        <f>H39</f>
        <v>0</v>
      </c>
      <c r="I173" s="47" t="e">
        <f t="shared" si="11"/>
        <v>#DIV/0!</v>
      </c>
      <c r="J173" s="47">
        <f t="shared" si="12"/>
        <v>74557.728000000003</v>
      </c>
      <c r="K173" s="66"/>
      <c r="L173" s="66"/>
      <c r="M173" s="15" t="e">
        <f t="shared" si="13"/>
        <v>#DIV/0!</v>
      </c>
    </row>
    <row r="174" spans="1:13" ht="15" hidden="1" customHeight="1" x14ac:dyDescent="0.25">
      <c r="A174" s="205"/>
      <c r="B174" s="205"/>
      <c r="C174" s="205"/>
      <c r="D174" s="205"/>
      <c r="E174" s="47">
        <v>9544</v>
      </c>
      <c r="F174" s="85">
        <v>0.5</v>
      </c>
      <c r="G174" s="65"/>
      <c r="H174" s="54">
        <f>H39</f>
        <v>0</v>
      </c>
      <c r="I174" s="47" t="e">
        <f t="shared" si="11"/>
        <v>#DIV/0!</v>
      </c>
      <c r="J174" s="47">
        <f t="shared" si="12"/>
        <v>74557.728000000003</v>
      </c>
      <c r="K174" s="66"/>
      <c r="L174" s="66"/>
      <c r="M174" s="15" t="e">
        <f t="shared" si="13"/>
        <v>#DIV/0!</v>
      </c>
    </row>
    <row r="175" spans="1:13" ht="15.75" hidden="1" thickBot="1" x14ac:dyDescent="0.3">
      <c r="A175" s="205"/>
      <c r="B175" s="205"/>
      <c r="C175" s="205"/>
      <c r="D175" s="205"/>
      <c r="E175" s="47">
        <v>9544</v>
      </c>
      <c r="F175" s="83">
        <v>1</v>
      </c>
      <c r="G175" s="65"/>
      <c r="H175" s="54">
        <f>H39</f>
        <v>0</v>
      </c>
      <c r="I175" s="47" t="e">
        <f t="shared" si="11"/>
        <v>#DIV/0!</v>
      </c>
      <c r="J175" s="47">
        <f t="shared" si="12"/>
        <v>149115.45600000001</v>
      </c>
      <c r="K175" s="66"/>
      <c r="L175" s="66"/>
      <c r="M175" s="15" t="e">
        <f t="shared" si="13"/>
        <v>#DIV/0!</v>
      </c>
    </row>
    <row r="176" spans="1:13" ht="15.75" hidden="1" customHeight="1" x14ac:dyDescent="0.25">
      <c r="A176" s="205"/>
      <c r="B176" s="205"/>
      <c r="C176" s="205"/>
      <c r="D176" s="205"/>
      <c r="E176" s="47">
        <v>9544</v>
      </c>
      <c r="F176" s="83">
        <v>4</v>
      </c>
      <c r="G176" s="65"/>
      <c r="H176" s="54">
        <f>H39</f>
        <v>0</v>
      </c>
      <c r="I176" s="47" t="e">
        <f t="shared" si="11"/>
        <v>#DIV/0!</v>
      </c>
      <c r="J176" s="47">
        <f t="shared" si="12"/>
        <v>596461.82400000002</v>
      </c>
      <c r="K176" s="66"/>
      <c r="L176" s="66"/>
      <c r="M176" s="15" t="e">
        <f t="shared" si="13"/>
        <v>#DIV/0!</v>
      </c>
    </row>
    <row r="177" spans="1:13" ht="16.5" hidden="1" customHeight="1" x14ac:dyDescent="0.25">
      <c r="A177" s="196"/>
      <c r="B177" s="197"/>
      <c r="C177" s="197"/>
      <c r="D177" s="197"/>
      <c r="E177" s="47">
        <v>9544</v>
      </c>
      <c r="F177" s="83">
        <v>1</v>
      </c>
      <c r="G177" s="65"/>
      <c r="H177" s="54">
        <f>H39</f>
        <v>0</v>
      </c>
      <c r="I177" s="47" t="e">
        <f t="shared" si="11"/>
        <v>#DIV/0!</v>
      </c>
      <c r="J177" s="47">
        <f t="shared" si="12"/>
        <v>149115.45600000001</v>
      </c>
      <c r="K177" s="66"/>
      <c r="L177" s="66"/>
      <c r="M177" s="15" t="e">
        <f t="shared" si="13"/>
        <v>#DIV/0!</v>
      </c>
    </row>
    <row r="178" spans="1:13" ht="16.5" hidden="1" customHeight="1" thickBot="1" x14ac:dyDescent="0.3">
      <c r="A178" s="196"/>
      <c r="B178" s="197"/>
      <c r="C178" s="197"/>
      <c r="D178" s="197"/>
      <c r="E178" s="47">
        <v>9544</v>
      </c>
      <c r="F178" s="86">
        <v>1.75</v>
      </c>
      <c r="G178" s="65"/>
      <c r="H178" s="54">
        <f>H39</f>
        <v>0</v>
      </c>
      <c r="I178" s="47" t="e">
        <f t="shared" si="11"/>
        <v>#DIV/0!</v>
      </c>
      <c r="J178" s="47">
        <f t="shared" si="12"/>
        <v>260952.04800000001</v>
      </c>
      <c r="K178" s="66"/>
      <c r="L178" s="66"/>
      <c r="M178" s="15" t="e">
        <f t="shared" si="13"/>
        <v>#DIV/0!</v>
      </c>
    </row>
    <row r="179" spans="1:13" ht="16.5" hidden="1" customHeight="1" thickBot="1" x14ac:dyDescent="0.3">
      <c r="A179" s="196"/>
      <c r="B179" s="197"/>
      <c r="C179" s="197"/>
      <c r="D179" s="197"/>
      <c r="E179" s="47">
        <v>9544</v>
      </c>
      <c r="F179" s="54"/>
      <c r="G179" s="65"/>
      <c r="H179" s="54">
        <f>H39</f>
        <v>0</v>
      </c>
      <c r="I179" s="47" t="e">
        <f t="shared" si="11"/>
        <v>#DIV/0!</v>
      </c>
      <c r="J179" s="47">
        <f t="shared" si="12"/>
        <v>0</v>
      </c>
      <c r="K179" s="66"/>
      <c r="L179" s="66"/>
      <c r="M179" s="15" t="e">
        <f t="shared" si="13"/>
        <v>#DIV/0!</v>
      </c>
    </row>
    <row r="180" spans="1:13" ht="16.5" hidden="1" customHeight="1" thickBot="1" x14ac:dyDescent="0.3">
      <c r="A180" s="196"/>
      <c r="B180" s="197"/>
      <c r="C180" s="197"/>
      <c r="D180" s="197"/>
      <c r="E180" s="47">
        <v>9544</v>
      </c>
      <c r="F180" s="85">
        <v>0.5</v>
      </c>
      <c r="G180" s="65"/>
      <c r="H180" s="54">
        <f>H39</f>
        <v>0</v>
      </c>
      <c r="I180" s="47" t="e">
        <f t="shared" si="11"/>
        <v>#DIV/0!</v>
      </c>
      <c r="J180" s="47">
        <f t="shared" si="12"/>
        <v>74557.728000000003</v>
      </c>
      <c r="K180" s="66"/>
      <c r="L180" s="66"/>
      <c r="M180" s="15" t="e">
        <f t="shared" si="13"/>
        <v>#DIV/0!</v>
      </c>
    </row>
    <row r="181" spans="1:13" ht="15" hidden="1" customHeight="1" thickBot="1" x14ac:dyDescent="0.3">
      <c r="A181" s="196"/>
      <c r="B181" s="197"/>
      <c r="C181" s="197"/>
      <c r="D181" s="197"/>
      <c r="E181" s="47"/>
      <c r="F181" s="47"/>
      <c r="G181" s="47"/>
      <c r="H181" s="47"/>
      <c r="I181" s="47"/>
      <c r="J181" s="47"/>
      <c r="K181" s="66"/>
      <c r="L181" s="66"/>
      <c r="M181" s="15">
        <f t="shared" si="13"/>
        <v>0</v>
      </c>
    </row>
    <row r="182" spans="1:13" ht="15.75" hidden="1" customHeight="1" thickBot="1" x14ac:dyDescent="0.3">
      <c r="A182" s="196"/>
      <c r="B182" s="197"/>
      <c r="C182" s="197"/>
      <c r="D182" s="197"/>
      <c r="E182" s="47"/>
      <c r="F182" s="47"/>
      <c r="G182" s="47"/>
      <c r="H182" s="47"/>
      <c r="I182" s="47"/>
      <c r="J182" s="47"/>
      <c r="K182" s="66"/>
      <c r="L182" s="66"/>
      <c r="M182" s="15">
        <f t="shared" si="13"/>
        <v>0</v>
      </c>
    </row>
    <row r="183" spans="1:13" ht="14.25" hidden="1" customHeight="1" thickBot="1" x14ac:dyDescent="0.3">
      <c r="A183" s="196"/>
      <c r="B183" s="197"/>
      <c r="C183" s="197"/>
      <c r="D183" s="197"/>
      <c r="E183" s="47"/>
      <c r="F183" s="47"/>
      <c r="G183" s="47"/>
      <c r="H183" s="47"/>
      <c r="I183" s="65">
        <v>105</v>
      </c>
      <c r="J183" s="67">
        <f>H183/I183</f>
        <v>0</v>
      </c>
      <c r="K183" s="66"/>
      <c r="L183" s="66"/>
      <c r="M183" s="36">
        <f t="shared" si="13"/>
        <v>0</v>
      </c>
    </row>
    <row r="184" spans="1:13" ht="15.75" thickBot="1" x14ac:dyDescent="0.3">
      <c r="A184" s="226" t="s">
        <v>67</v>
      </c>
      <c r="B184" s="226"/>
      <c r="C184" s="226"/>
      <c r="D184" s="226"/>
      <c r="E184" s="87"/>
      <c r="F184" s="147"/>
      <c r="G184" s="147"/>
      <c r="H184" s="92">
        <f>H158</f>
        <v>792178.80028056016</v>
      </c>
      <c r="I184" s="68"/>
      <c r="J184" s="88">
        <f>J158</f>
        <v>27316.510354502076</v>
      </c>
      <c r="K184" s="66"/>
      <c r="L184" s="66"/>
      <c r="M184" s="18"/>
    </row>
    <row r="185" spans="1:13" ht="9" customHeight="1" x14ac:dyDescent="0.25">
      <c r="A185" s="11"/>
      <c r="B185" s="11"/>
      <c r="C185" s="11"/>
      <c r="D185" s="11"/>
      <c r="E185" s="11"/>
      <c r="F185" s="11"/>
      <c r="G185" s="11"/>
      <c r="H185" s="13"/>
      <c r="I185" s="13"/>
      <c r="J185" s="13"/>
      <c r="K185" s="11"/>
      <c r="L185" s="11"/>
      <c r="M185" s="11"/>
    </row>
    <row r="186" spans="1:13" x14ac:dyDescent="0.25">
      <c r="A186" s="220" t="s">
        <v>84</v>
      </c>
      <c r="B186" s="220"/>
      <c r="C186" s="220"/>
      <c r="D186" s="220"/>
      <c r="E186" s="220"/>
      <c r="F186" s="220"/>
      <c r="G186" s="220"/>
      <c r="H186" s="220"/>
      <c r="I186" s="220"/>
      <c r="J186" s="220"/>
      <c r="K186" s="220"/>
      <c r="L186" s="187"/>
      <c r="M186" s="11"/>
    </row>
    <row r="187" spans="1:13" ht="60" x14ac:dyDescent="0.25">
      <c r="A187" s="193" t="s">
        <v>85</v>
      </c>
      <c r="B187" s="194"/>
      <c r="C187" s="194"/>
      <c r="D187" s="195"/>
      <c r="E187" s="146" t="s">
        <v>7</v>
      </c>
      <c r="F187" s="146" t="s">
        <v>75</v>
      </c>
      <c r="G187" s="146" t="s">
        <v>60</v>
      </c>
      <c r="H187" s="146" t="s">
        <v>68</v>
      </c>
      <c r="I187" s="9" t="s">
        <v>86</v>
      </c>
      <c r="J187" s="9" t="s">
        <v>93</v>
      </c>
      <c r="K187" s="58"/>
      <c r="L187" s="32"/>
      <c r="M187" s="11"/>
    </row>
    <row r="188" spans="1:13" ht="36.75" customHeight="1" x14ac:dyDescent="0.25">
      <c r="A188" s="196" t="s">
        <v>173</v>
      </c>
      <c r="B188" s="197"/>
      <c r="C188" s="197"/>
      <c r="D188" s="198"/>
      <c r="E188" s="146"/>
      <c r="F188" s="146"/>
      <c r="G188" s="146"/>
      <c r="H188" s="127">
        <f>300000*0.042</f>
        <v>12600</v>
      </c>
      <c r="I188" s="65">
        <v>29</v>
      </c>
      <c r="J188" s="141">
        <f>H188/I188</f>
        <v>434.48275862068965</v>
      </c>
      <c r="K188" s="58"/>
      <c r="L188" s="32"/>
      <c r="M188" s="11"/>
    </row>
    <row r="189" spans="1:13" ht="34.5" customHeight="1" thickBot="1" x14ac:dyDescent="0.3">
      <c r="A189" s="196" t="s">
        <v>174</v>
      </c>
      <c r="B189" s="197"/>
      <c r="C189" s="197"/>
      <c r="D189" s="198"/>
      <c r="E189" s="146"/>
      <c r="F189" s="146"/>
      <c r="G189" s="146"/>
      <c r="H189" s="127">
        <f>140000*0.042</f>
        <v>5880</v>
      </c>
      <c r="I189" s="65">
        <v>29</v>
      </c>
      <c r="J189" s="141">
        <f t="shared" ref="J189" si="14">H189/I189</f>
        <v>202.75862068965517</v>
      </c>
      <c r="K189" s="58"/>
      <c r="L189" s="32"/>
      <c r="M189" s="11"/>
    </row>
    <row r="190" spans="1:13" ht="15.75" thickBot="1" x14ac:dyDescent="0.3">
      <c r="A190" s="199" t="s">
        <v>79</v>
      </c>
      <c r="B190" s="200"/>
      <c r="C190" s="200"/>
      <c r="D190" s="200"/>
      <c r="E190" s="200"/>
      <c r="F190" s="200"/>
      <c r="G190" s="201"/>
      <c r="H190" s="81">
        <f>H189+H188</f>
        <v>18480</v>
      </c>
      <c r="I190" s="77"/>
      <c r="J190" s="39">
        <f>SUM(J188:J189)</f>
        <v>637.24137931034488</v>
      </c>
      <c r="K190" s="11"/>
      <c r="L190" s="11"/>
      <c r="M190" s="11"/>
    </row>
    <row r="191" spans="1:13" ht="6.75" customHeight="1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13" ht="60" x14ac:dyDescent="0.25">
      <c r="A192" s="193" t="s">
        <v>85</v>
      </c>
      <c r="B192" s="194"/>
      <c r="C192" s="194"/>
      <c r="D192" s="195"/>
      <c r="E192" s="146" t="s">
        <v>175</v>
      </c>
      <c r="F192" s="146" t="s">
        <v>75</v>
      </c>
      <c r="G192" s="146" t="s">
        <v>60</v>
      </c>
      <c r="H192" s="146" t="s">
        <v>68</v>
      </c>
      <c r="I192" s="9" t="s">
        <v>86</v>
      </c>
      <c r="J192" s="9" t="s">
        <v>93</v>
      </c>
      <c r="K192" s="58"/>
      <c r="L192" s="32"/>
      <c r="M192" s="11"/>
    </row>
    <row r="193" spans="1:18" x14ac:dyDescent="0.25">
      <c r="A193" s="196" t="s">
        <v>108</v>
      </c>
      <c r="B193" s="197"/>
      <c r="C193" s="197"/>
      <c r="D193" s="198"/>
      <c r="E193" s="146">
        <v>120</v>
      </c>
      <c r="F193" s="146"/>
      <c r="G193" s="146"/>
      <c r="H193" s="127">
        <f>129600*0.042</f>
        <v>5443.2000000000007</v>
      </c>
      <c r="I193" s="65">
        <v>29</v>
      </c>
      <c r="J193" s="141">
        <f>H193/I193</f>
        <v>187.69655172413795</v>
      </c>
      <c r="K193" s="58"/>
      <c r="L193" s="32"/>
      <c r="M193" s="11"/>
    </row>
    <row r="194" spans="1:18" x14ac:dyDescent="0.25">
      <c r="A194" s="196" t="s">
        <v>109</v>
      </c>
      <c r="B194" s="197"/>
      <c r="C194" s="197"/>
      <c r="D194" s="198"/>
      <c r="E194" s="146">
        <v>640</v>
      </c>
      <c r="F194" s="146"/>
      <c r="G194" s="146"/>
      <c r="H194" s="127">
        <f>10800*0.042</f>
        <v>453.6</v>
      </c>
      <c r="I194" s="65">
        <v>29</v>
      </c>
      <c r="J194" s="141">
        <f t="shared" ref="J194:J195" si="15">H194/I194</f>
        <v>15.641379310344828</v>
      </c>
      <c r="K194" s="58"/>
      <c r="L194" s="32"/>
      <c r="M194" s="11"/>
    </row>
    <row r="195" spans="1:18" ht="18" customHeight="1" thickBot="1" x14ac:dyDescent="0.3">
      <c r="A195" s="196" t="s">
        <v>110</v>
      </c>
      <c r="B195" s="197"/>
      <c r="C195" s="197"/>
      <c r="D195" s="198"/>
      <c r="E195" s="146">
        <v>200</v>
      </c>
      <c r="F195" s="146"/>
      <c r="G195" s="146"/>
      <c r="H195" s="127">
        <f>15000*0.042</f>
        <v>630</v>
      </c>
      <c r="I195" s="65">
        <v>29</v>
      </c>
      <c r="J195" s="141">
        <f t="shared" si="15"/>
        <v>21.724137931034484</v>
      </c>
      <c r="K195" s="58"/>
      <c r="L195" s="32"/>
      <c r="M195" s="11"/>
    </row>
    <row r="196" spans="1:18" ht="15.75" thickBot="1" x14ac:dyDescent="0.3">
      <c r="A196" s="199" t="s">
        <v>79</v>
      </c>
      <c r="B196" s="200"/>
      <c r="C196" s="200"/>
      <c r="D196" s="200"/>
      <c r="E196" s="200"/>
      <c r="F196" s="200"/>
      <c r="G196" s="201"/>
      <c r="H196" s="81">
        <f>SUM(H193:H195)</f>
        <v>6526.8000000000011</v>
      </c>
      <c r="I196" s="77"/>
      <c r="J196" s="39">
        <f>SUM(J193:J195)</f>
        <v>225.06206896551726</v>
      </c>
      <c r="K196" s="11"/>
      <c r="L196" s="11"/>
      <c r="M196" s="11"/>
    </row>
    <row r="197" spans="1:18" ht="8.25" customHeight="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</row>
    <row r="198" spans="1:18" ht="7.5" customHeight="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18" x14ac:dyDescent="0.25">
      <c r="A199" s="202" t="s">
        <v>41</v>
      </c>
      <c r="B199" s="202"/>
      <c r="C199" s="202"/>
      <c r="D199" s="202"/>
      <c r="E199" s="202"/>
      <c r="F199" s="202"/>
      <c r="G199" s="202"/>
      <c r="H199" s="202"/>
      <c r="I199" s="202"/>
      <c r="J199" s="202"/>
      <c r="K199" s="202"/>
      <c r="L199" s="202"/>
      <c r="M199" s="202"/>
    </row>
    <row r="200" spans="1:18" ht="58.5" customHeight="1" x14ac:dyDescent="0.25">
      <c r="A200" s="206" t="s">
        <v>42</v>
      </c>
      <c r="B200" s="207"/>
      <c r="C200" s="208"/>
      <c r="D200" s="193" t="s">
        <v>43</v>
      </c>
      <c r="E200" s="203"/>
      <c r="F200" s="203"/>
      <c r="G200" s="203"/>
      <c r="H200" s="203"/>
      <c r="I200" s="203"/>
      <c r="J200" s="204"/>
      <c r="K200" s="191" t="s">
        <v>47</v>
      </c>
      <c r="L200" s="319"/>
    </row>
    <row r="201" spans="1:18" ht="24" customHeight="1" x14ac:dyDescent="0.25">
      <c r="A201" s="10" t="s">
        <v>44</v>
      </c>
      <c r="B201" s="164" t="s">
        <v>45</v>
      </c>
      <c r="C201" s="10" t="s">
        <v>46</v>
      </c>
      <c r="D201" s="9" t="s">
        <v>181</v>
      </c>
      <c r="E201" s="9" t="s">
        <v>182</v>
      </c>
      <c r="F201" s="9" t="s">
        <v>183</v>
      </c>
      <c r="G201" s="9" t="s">
        <v>184</v>
      </c>
      <c r="H201" s="9" t="s">
        <v>185</v>
      </c>
      <c r="I201" s="42" t="s">
        <v>186</v>
      </c>
      <c r="J201" s="160" t="s">
        <v>184</v>
      </c>
      <c r="K201" s="192"/>
      <c r="L201" s="319"/>
    </row>
    <row r="202" spans="1:18" ht="15.75" thickBot="1" x14ac:dyDescent="0.3">
      <c r="A202" s="15">
        <f>J152</f>
        <v>13243.034483410345</v>
      </c>
      <c r="B202" s="15"/>
      <c r="C202" s="15"/>
      <c r="D202" s="15">
        <f>J72</f>
        <v>124.75448275862071</v>
      </c>
      <c r="E202" s="15">
        <f>J81</f>
        <v>3468.910344827586</v>
      </c>
      <c r="F202" s="15">
        <f>I96</f>
        <v>690.24827586206902</v>
      </c>
      <c r="G202" s="15">
        <f>I111</f>
        <v>445.86620689655172</v>
      </c>
      <c r="H202" s="15">
        <f>H121</f>
        <v>14.482758620689655</v>
      </c>
      <c r="I202" s="143">
        <f>J184</f>
        <v>27316.510354502076</v>
      </c>
      <c r="J202" s="142">
        <f>J190+J196</f>
        <v>862.30344827586214</v>
      </c>
      <c r="K202" s="142">
        <f>SUM(D202:J202)+A202</f>
        <v>46166.110355153796</v>
      </c>
      <c r="L202" s="320"/>
    </row>
    <row r="203" spans="1:18" ht="11.25" customHeight="1" thickBot="1" x14ac:dyDescent="0.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R203" s="128">
        <f>K202*29</f>
        <v>1338817.20029946</v>
      </c>
    </row>
    <row r="204" spans="1:18" ht="15.75" thickBot="1" x14ac:dyDescent="0.3">
      <c r="A204" s="14" t="s">
        <v>88</v>
      </c>
      <c r="B204" s="14"/>
      <c r="C204" s="14"/>
      <c r="D204" s="11"/>
      <c r="E204" s="11"/>
      <c r="F204" s="11"/>
      <c r="G204" s="11"/>
      <c r="H204" s="11"/>
      <c r="I204" s="11"/>
      <c r="J204" s="91">
        <f>H72+H81+G96+G111+F121+H152+H184+H190+H196</f>
        <v>1338817.2002994602</v>
      </c>
      <c r="K204" s="11"/>
      <c r="L204" s="11"/>
      <c r="M204" s="11"/>
    </row>
    <row r="205" spans="1:18" ht="9" customHeight="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8" ht="9" customHeight="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18" ht="18.75" x14ac:dyDescent="0.3">
      <c r="A207" s="3" t="s">
        <v>176</v>
      </c>
      <c r="B207" s="3"/>
      <c r="C207" s="3"/>
      <c r="I207" s="3" t="s">
        <v>177</v>
      </c>
    </row>
    <row r="208" spans="1:18" ht="7.5" customHeight="1" x14ac:dyDescent="0.25"/>
    <row r="209" spans="1:3" ht="15.75" x14ac:dyDescent="0.25">
      <c r="A209" s="157" t="s">
        <v>61</v>
      </c>
      <c r="B209" s="7"/>
    </row>
    <row r="210" spans="1:3" ht="15.75" x14ac:dyDescent="0.25">
      <c r="A210" s="157" t="s">
        <v>111</v>
      </c>
      <c r="B210" s="7"/>
    </row>
    <row r="211" spans="1:3" ht="15.75" x14ac:dyDescent="0.25">
      <c r="A211" s="157" t="s">
        <v>112</v>
      </c>
      <c r="C211" s="7"/>
    </row>
    <row r="212" spans="1:3" ht="15.75" x14ac:dyDescent="0.25">
      <c r="A212" s="2"/>
      <c r="B212" s="2"/>
      <c r="C212" s="2"/>
    </row>
  </sheetData>
  <mergeCells count="201">
    <mergeCell ref="A2:D2"/>
    <mergeCell ref="E2:G2"/>
    <mergeCell ref="A3:B3"/>
    <mergeCell ref="A4:C4"/>
    <mergeCell ref="E4:F4"/>
    <mergeCell ref="H4:K4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2:E32"/>
    <mergeCell ref="G32:K32"/>
    <mergeCell ref="A33:E33"/>
    <mergeCell ref="G33:K33"/>
    <mergeCell ref="A34:E34"/>
    <mergeCell ref="G34:K34"/>
    <mergeCell ref="A35:E35"/>
    <mergeCell ref="G35:K35"/>
    <mergeCell ref="A36:E36"/>
    <mergeCell ref="G36:K36"/>
    <mergeCell ref="A41:D41"/>
    <mergeCell ref="G41:M41"/>
    <mergeCell ref="A42:M42"/>
    <mergeCell ref="A44:D44"/>
    <mergeCell ref="A45:D45"/>
    <mergeCell ref="A46:D46"/>
    <mergeCell ref="A40:E40"/>
    <mergeCell ref="G40:K40"/>
    <mergeCell ref="A38:E38"/>
    <mergeCell ref="G38:K38"/>
    <mergeCell ref="A39:E39"/>
    <mergeCell ref="G39:K39"/>
    <mergeCell ref="A53:D53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65:K65"/>
    <mergeCell ref="A67:M67"/>
    <mergeCell ref="A68:D68"/>
    <mergeCell ref="A69:D69"/>
    <mergeCell ref="A70:D70"/>
    <mergeCell ref="A59:D59"/>
    <mergeCell ref="A60:D60"/>
    <mergeCell ref="A61:D61"/>
    <mergeCell ref="A62:D62"/>
    <mergeCell ref="A63:D63"/>
    <mergeCell ref="A64:D64"/>
    <mergeCell ref="A77:D77"/>
    <mergeCell ref="A78:D78"/>
    <mergeCell ref="A79:D79"/>
    <mergeCell ref="A80:D80"/>
    <mergeCell ref="A81:D81"/>
    <mergeCell ref="A83:M83"/>
    <mergeCell ref="A71:D71"/>
    <mergeCell ref="A72:D72"/>
    <mergeCell ref="A74:M74"/>
    <mergeCell ref="A75:D75"/>
    <mergeCell ref="A76:D76"/>
    <mergeCell ref="A99:D99"/>
    <mergeCell ref="A100:D100"/>
    <mergeCell ref="A101:D101"/>
    <mergeCell ref="A102:D102"/>
    <mergeCell ref="A103:D103"/>
    <mergeCell ref="A84:D84"/>
    <mergeCell ref="A89:D89"/>
    <mergeCell ref="A90:D90"/>
    <mergeCell ref="A94:D94"/>
    <mergeCell ref="A85:D85"/>
    <mergeCell ref="A86:D86"/>
    <mergeCell ref="A87:D87"/>
    <mergeCell ref="A88:D88"/>
    <mergeCell ref="A91:D91"/>
    <mergeCell ref="A95:D95"/>
    <mergeCell ref="A98:M98"/>
    <mergeCell ref="A114:M114"/>
    <mergeCell ref="A115:D115"/>
    <mergeCell ref="A116:D116"/>
    <mergeCell ref="A104:D104"/>
    <mergeCell ref="A105:D105"/>
    <mergeCell ref="A106:D106"/>
    <mergeCell ref="A110:D110"/>
    <mergeCell ref="A111:D111"/>
    <mergeCell ref="A109:D109"/>
    <mergeCell ref="A127:D127"/>
    <mergeCell ref="A128:D128"/>
    <mergeCell ref="A129:D129"/>
    <mergeCell ref="A130:D130"/>
    <mergeCell ref="A131:D131"/>
    <mergeCell ref="A132:D132"/>
    <mergeCell ref="A119:D119"/>
    <mergeCell ref="A120:D120"/>
    <mergeCell ref="A121:D121"/>
    <mergeCell ref="A123:M123"/>
    <mergeCell ref="A124:D124"/>
    <mergeCell ref="A125:D125"/>
    <mergeCell ref="A126:D126"/>
    <mergeCell ref="A150:D150"/>
    <mergeCell ref="A151:D151"/>
    <mergeCell ref="A152:D152"/>
    <mergeCell ref="A144:D144"/>
    <mergeCell ref="A145:D145"/>
    <mergeCell ref="A146:D146"/>
    <mergeCell ref="A147:D147"/>
    <mergeCell ref="A148:D148"/>
    <mergeCell ref="A133:D133"/>
    <mergeCell ref="A138:D138"/>
    <mergeCell ref="A136:D136"/>
    <mergeCell ref="A137:D137"/>
    <mergeCell ref="A134:D134"/>
    <mergeCell ref="A135:D135"/>
    <mergeCell ref="A139:D139"/>
    <mergeCell ref="A140:D140"/>
    <mergeCell ref="A141:D141"/>
    <mergeCell ref="A142:D142"/>
    <mergeCell ref="A143:D143"/>
    <mergeCell ref="A149:D149"/>
    <mergeCell ref="A183:D183"/>
    <mergeCell ref="A184:D184"/>
    <mergeCell ref="A176:D176"/>
    <mergeCell ref="A177:D177"/>
    <mergeCell ref="A178:D178"/>
    <mergeCell ref="A179:D179"/>
    <mergeCell ref="A180:D180"/>
    <mergeCell ref="A190:G190"/>
    <mergeCell ref="A192:D192"/>
    <mergeCell ref="A181:D181"/>
    <mergeCell ref="A182:D182"/>
    <mergeCell ref="A199:M199"/>
    <mergeCell ref="A200:C200"/>
    <mergeCell ref="K200:K201"/>
    <mergeCell ref="A189:D189"/>
    <mergeCell ref="A196:G196"/>
    <mergeCell ref="A186:K186"/>
    <mergeCell ref="A187:D187"/>
    <mergeCell ref="A188:D188"/>
    <mergeCell ref="A193:D193"/>
    <mergeCell ref="A194:D194"/>
    <mergeCell ref="A195:D195"/>
    <mergeCell ref="D200:J200"/>
    <mergeCell ref="A155:M155"/>
    <mergeCell ref="A172:D172"/>
    <mergeCell ref="A173:D173"/>
    <mergeCell ref="A174:D174"/>
    <mergeCell ref="A175:D175"/>
    <mergeCell ref="A166:D166"/>
    <mergeCell ref="A167:D167"/>
    <mergeCell ref="A168:D168"/>
    <mergeCell ref="A169:D169"/>
    <mergeCell ref="A160:D160"/>
    <mergeCell ref="A161:D161"/>
    <mergeCell ref="A162:D162"/>
    <mergeCell ref="A163:D163"/>
    <mergeCell ref="A164:D164"/>
    <mergeCell ref="A165:D165"/>
    <mergeCell ref="A156:D156"/>
    <mergeCell ref="A157:D157"/>
    <mergeCell ref="A158:D158"/>
    <mergeCell ref="A159:D159"/>
    <mergeCell ref="A170:D170"/>
    <mergeCell ref="A171:D171"/>
  </mergeCells>
  <pageMargins left="0.70866141732283472" right="0.70866141732283472" top="0.15748031496062992" bottom="0.3937007874015748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1"/>
  <sheetViews>
    <sheetView topLeftCell="A22" zoomScale="80" zoomScaleNormal="80" workbookViewId="0">
      <selection activeCell="M40" sqref="M40"/>
    </sheetView>
  </sheetViews>
  <sheetFormatPr defaultRowHeight="15" x14ac:dyDescent="0.25"/>
  <cols>
    <col min="1" max="1" width="10.7109375" customWidth="1"/>
    <col min="2" max="3" width="6.140625" customWidth="1"/>
    <col min="4" max="4" width="12.140625" customWidth="1"/>
    <col min="5" max="5" width="13" customWidth="1"/>
    <col min="6" max="6" width="11.85546875" customWidth="1"/>
    <col min="7" max="7" width="14.5703125" customWidth="1"/>
    <col min="8" max="8" width="14.28515625" customWidth="1"/>
    <col min="9" max="9" width="11.5703125" customWidth="1"/>
    <col min="10" max="10" width="13.42578125" customWidth="1"/>
    <col min="11" max="11" width="11.140625" customWidth="1"/>
    <col min="12" max="12" width="11.140625" hidden="1" customWidth="1"/>
    <col min="13" max="13" width="13.140625" customWidth="1"/>
    <col min="17" max="17" width="14.5703125" customWidth="1"/>
  </cols>
  <sheetData>
    <row r="1" spans="1:13" hidden="1" x14ac:dyDescent="0.25"/>
    <row r="2" spans="1:13" ht="15.75" hidden="1" x14ac:dyDescent="0.25">
      <c r="A2" s="240"/>
      <c r="B2" s="240"/>
      <c r="C2" s="240"/>
      <c r="D2" s="240"/>
      <c r="E2" s="240"/>
      <c r="F2" s="240"/>
      <c r="G2" s="240"/>
    </row>
    <row r="3" spans="1:13" ht="15.75" hidden="1" customHeight="1" x14ac:dyDescent="0.25">
      <c r="A3" s="240"/>
      <c r="B3" s="240"/>
      <c r="C3" s="62"/>
      <c r="D3" s="62"/>
      <c r="E3" s="123"/>
      <c r="F3" s="62"/>
      <c r="G3" s="62"/>
    </row>
    <row r="4" spans="1:13" ht="27.75" customHeight="1" x14ac:dyDescent="0.25">
      <c r="A4" s="241"/>
      <c r="B4" s="241"/>
      <c r="C4" s="241"/>
      <c r="D4" s="158"/>
      <c r="E4" s="241"/>
      <c r="F4" s="241"/>
      <c r="G4" s="64"/>
      <c r="H4" s="257" t="s">
        <v>180</v>
      </c>
      <c r="I4" s="258"/>
      <c r="J4" s="258"/>
      <c r="K4" s="258"/>
      <c r="L4" s="188"/>
    </row>
    <row r="5" spans="1:13" ht="8.25" customHeight="1" x14ac:dyDescent="0.25">
      <c r="A5" s="4"/>
      <c r="B5" s="4"/>
      <c r="C5" s="4"/>
      <c r="D5" s="122"/>
      <c r="E5" s="4"/>
      <c r="F5" s="4"/>
      <c r="G5" s="122"/>
    </row>
    <row r="6" spans="1:13" ht="7.5" customHeight="1" x14ac:dyDescent="0.25">
      <c r="A6" s="124"/>
      <c r="B6" s="124"/>
      <c r="C6" s="124"/>
      <c r="D6" s="124"/>
      <c r="E6" s="124"/>
      <c r="F6" s="124"/>
      <c r="G6" s="124"/>
    </row>
    <row r="7" spans="1:13" ht="15.75" x14ac:dyDescent="0.25">
      <c r="A7" s="275" t="s">
        <v>178</v>
      </c>
      <c r="B7" s="276"/>
      <c r="C7" s="276"/>
      <c r="D7" s="276"/>
      <c r="E7" s="276"/>
      <c r="F7" s="276"/>
      <c r="G7" s="258"/>
      <c r="H7" s="258"/>
      <c r="I7" s="258"/>
      <c r="J7" s="258"/>
      <c r="K7" s="258"/>
      <c r="L7" s="258"/>
      <c r="M7" s="258"/>
    </row>
    <row r="8" spans="1:13" ht="15.75" x14ac:dyDescent="0.25">
      <c r="A8" s="275" t="s">
        <v>99</v>
      </c>
      <c r="B8" s="276"/>
      <c r="C8" s="276"/>
      <c r="D8" s="276"/>
      <c r="E8" s="276"/>
      <c r="F8" s="276"/>
      <c r="G8" s="258"/>
      <c r="H8" s="258"/>
      <c r="I8" s="258"/>
      <c r="J8" s="258"/>
      <c r="K8" s="258"/>
      <c r="L8" s="258"/>
      <c r="M8" s="258"/>
    </row>
    <row r="9" spans="1:13" ht="8.25" customHeight="1" x14ac:dyDescent="0.25"/>
    <row r="10" spans="1:13" ht="8.2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75" x14ac:dyDescent="0.25">
      <c r="A11" s="8" t="s">
        <v>218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17.25" customHeight="1" x14ac:dyDescent="0.25">
      <c r="A12" s="255" t="s">
        <v>151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</row>
    <row r="13" spans="1:13" ht="15.75" x14ac:dyDescent="0.25">
      <c r="A13" s="8" t="s">
        <v>81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75" x14ac:dyDescent="0.25">
      <c r="A14" s="8" t="s">
        <v>152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75" x14ac:dyDescent="0.25">
      <c r="A15" s="8" t="s">
        <v>147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51.75" customHeight="1" x14ac:dyDescent="0.25">
      <c r="A16" s="252" t="s">
        <v>90</v>
      </c>
      <c r="B16" s="252"/>
      <c r="C16" s="252"/>
      <c r="D16" s="252"/>
      <c r="E16" s="252"/>
      <c r="F16" s="9" t="s">
        <v>89</v>
      </c>
      <c r="G16" s="252" t="s">
        <v>91</v>
      </c>
      <c r="H16" s="252"/>
      <c r="I16" s="252"/>
      <c r="J16" s="252"/>
      <c r="K16" s="252"/>
      <c r="L16" s="189"/>
      <c r="M16" s="9" t="s">
        <v>89</v>
      </c>
    </row>
    <row r="17" spans="1:13" x14ac:dyDescent="0.25">
      <c r="A17" s="253" t="s">
        <v>127</v>
      </c>
      <c r="B17" s="253"/>
      <c r="C17" s="253"/>
      <c r="D17" s="253"/>
      <c r="E17" s="253"/>
      <c r="F17" s="315">
        <f>4.92*0.002</f>
        <v>9.8399999999999998E-3</v>
      </c>
      <c r="G17" s="254" t="s">
        <v>1</v>
      </c>
      <c r="H17" s="254"/>
      <c r="I17" s="254"/>
      <c r="J17" s="254"/>
      <c r="K17" s="254"/>
      <c r="L17" s="151">
        <v>1</v>
      </c>
      <c r="M17" s="151">
        <f>L17*0.002</f>
        <v>2E-3</v>
      </c>
    </row>
    <row r="18" spans="1:13" x14ac:dyDescent="0.25">
      <c r="A18" s="253" t="s">
        <v>128</v>
      </c>
      <c r="B18" s="253"/>
      <c r="C18" s="253"/>
      <c r="D18" s="253"/>
      <c r="E18" s="253"/>
      <c r="F18" s="315">
        <f>8.83*0.002</f>
        <v>1.7660000000000002E-2</v>
      </c>
      <c r="G18" s="246" t="s">
        <v>129</v>
      </c>
      <c r="H18" s="247"/>
      <c r="I18" s="247"/>
      <c r="J18" s="247"/>
      <c r="K18" s="248"/>
      <c r="L18" s="151">
        <v>4</v>
      </c>
      <c r="M18" s="151">
        <f t="shared" ref="M18:M40" si="0">L18*0.002</f>
        <v>8.0000000000000002E-3</v>
      </c>
    </row>
    <row r="19" spans="1:13" x14ac:dyDescent="0.25">
      <c r="A19" s="253"/>
      <c r="B19" s="253"/>
      <c r="C19" s="253"/>
      <c r="D19" s="253"/>
      <c r="E19" s="253"/>
      <c r="F19" s="315"/>
      <c r="G19" s="253" t="s">
        <v>130</v>
      </c>
      <c r="H19" s="253"/>
      <c r="I19" s="253"/>
      <c r="J19" s="253"/>
      <c r="K19" s="253"/>
      <c r="L19" s="151">
        <v>1</v>
      </c>
      <c r="M19" s="151">
        <f t="shared" si="0"/>
        <v>2E-3</v>
      </c>
    </row>
    <row r="20" spans="1:13" x14ac:dyDescent="0.25">
      <c r="A20" s="253"/>
      <c r="B20" s="253"/>
      <c r="C20" s="253"/>
      <c r="D20" s="253"/>
      <c r="E20" s="253"/>
      <c r="F20" s="315"/>
      <c r="G20" s="259" t="s">
        <v>97</v>
      </c>
      <c r="H20" s="260"/>
      <c r="I20" s="260"/>
      <c r="J20" s="260"/>
      <c r="K20" s="261"/>
      <c r="L20" s="151">
        <v>1</v>
      </c>
      <c r="M20" s="151">
        <f t="shared" si="0"/>
        <v>2E-3</v>
      </c>
    </row>
    <row r="21" spans="1:13" ht="15" customHeight="1" x14ac:dyDescent="0.25">
      <c r="A21" s="253"/>
      <c r="B21" s="253"/>
      <c r="C21" s="253"/>
      <c r="D21" s="253"/>
      <c r="E21" s="253"/>
      <c r="F21" s="315"/>
      <c r="G21" s="254" t="s">
        <v>131</v>
      </c>
      <c r="H21" s="254"/>
      <c r="I21" s="254"/>
      <c r="J21" s="254"/>
      <c r="K21" s="254"/>
      <c r="L21" s="151">
        <v>0.5</v>
      </c>
      <c r="M21" s="151">
        <f t="shared" si="0"/>
        <v>1E-3</v>
      </c>
    </row>
    <row r="22" spans="1:13" ht="15" customHeight="1" x14ac:dyDescent="0.25">
      <c r="A22" s="253"/>
      <c r="B22" s="253"/>
      <c r="C22" s="253"/>
      <c r="D22" s="253"/>
      <c r="E22" s="253"/>
      <c r="F22" s="315"/>
      <c r="G22" s="254" t="s">
        <v>95</v>
      </c>
      <c r="H22" s="254"/>
      <c r="I22" s="254"/>
      <c r="J22" s="254"/>
      <c r="K22" s="254"/>
      <c r="L22" s="152">
        <v>1</v>
      </c>
      <c r="M22" s="151">
        <f t="shared" si="0"/>
        <v>2E-3</v>
      </c>
    </row>
    <row r="23" spans="1:13" ht="15.75" customHeight="1" x14ac:dyDescent="0.25">
      <c r="A23" s="253"/>
      <c r="B23" s="253"/>
      <c r="C23" s="253"/>
      <c r="D23" s="253"/>
      <c r="E23" s="253"/>
      <c r="F23" s="315"/>
      <c r="G23" s="205" t="s">
        <v>132</v>
      </c>
      <c r="H23" s="205"/>
      <c r="I23" s="205"/>
      <c r="J23" s="205"/>
      <c r="K23" s="205"/>
      <c r="L23" s="152">
        <v>0.5</v>
      </c>
      <c r="M23" s="151">
        <f t="shared" si="0"/>
        <v>1E-3</v>
      </c>
    </row>
    <row r="24" spans="1:13" ht="15.75" hidden="1" customHeight="1" x14ac:dyDescent="0.25">
      <c r="A24" s="246"/>
      <c r="B24" s="247"/>
      <c r="C24" s="247"/>
      <c r="D24" s="247"/>
      <c r="E24" s="248"/>
      <c r="F24" s="315"/>
      <c r="G24" s="243"/>
      <c r="H24" s="244"/>
      <c r="I24" s="244"/>
      <c r="J24" s="244"/>
      <c r="K24" s="245"/>
      <c r="L24" s="152"/>
      <c r="M24" s="151">
        <f t="shared" si="0"/>
        <v>0</v>
      </c>
    </row>
    <row r="25" spans="1:13" ht="15.75" customHeight="1" x14ac:dyDescent="0.25">
      <c r="A25" s="246"/>
      <c r="B25" s="247"/>
      <c r="C25" s="247"/>
      <c r="D25" s="247"/>
      <c r="E25" s="248"/>
      <c r="F25" s="315"/>
      <c r="G25" s="243" t="s">
        <v>133</v>
      </c>
      <c r="H25" s="244"/>
      <c r="I25" s="244"/>
      <c r="J25" s="244"/>
      <c r="K25" s="245"/>
      <c r="L25" s="152">
        <v>1</v>
      </c>
      <c r="M25" s="151">
        <f t="shared" si="0"/>
        <v>2E-3</v>
      </c>
    </row>
    <row r="26" spans="1:13" ht="15.75" hidden="1" customHeight="1" x14ac:dyDescent="0.25">
      <c r="A26" s="246"/>
      <c r="B26" s="247"/>
      <c r="C26" s="247"/>
      <c r="D26" s="247"/>
      <c r="E26" s="248"/>
      <c r="F26" s="322"/>
      <c r="G26" s="243"/>
      <c r="H26" s="244"/>
      <c r="I26" s="244"/>
      <c r="J26" s="244"/>
      <c r="K26" s="245"/>
      <c r="L26" s="154"/>
      <c r="M26" s="151">
        <f t="shared" si="0"/>
        <v>0</v>
      </c>
    </row>
    <row r="27" spans="1:13" ht="15.75" customHeight="1" x14ac:dyDescent="0.25">
      <c r="A27" s="246"/>
      <c r="B27" s="247"/>
      <c r="C27" s="247"/>
      <c r="D27" s="247"/>
      <c r="E27" s="248"/>
      <c r="F27" s="322"/>
      <c r="G27" s="249" t="s">
        <v>134</v>
      </c>
      <c r="H27" s="250"/>
      <c r="I27" s="250"/>
      <c r="J27" s="250"/>
      <c r="K27" s="251"/>
      <c r="L27" s="154">
        <v>2</v>
      </c>
      <c r="M27" s="151">
        <f t="shared" si="0"/>
        <v>4.0000000000000001E-3</v>
      </c>
    </row>
    <row r="28" spans="1:13" ht="15.75" customHeight="1" x14ac:dyDescent="0.25">
      <c r="A28" s="246"/>
      <c r="B28" s="247"/>
      <c r="C28" s="247"/>
      <c r="D28" s="247"/>
      <c r="E28" s="248"/>
      <c r="F28" s="322"/>
      <c r="G28" s="243" t="s">
        <v>96</v>
      </c>
      <c r="H28" s="244"/>
      <c r="I28" s="244"/>
      <c r="J28" s="244"/>
      <c r="K28" s="245"/>
      <c r="L28" s="154">
        <v>1</v>
      </c>
      <c r="M28" s="151">
        <f t="shared" si="0"/>
        <v>2E-3</v>
      </c>
    </row>
    <row r="29" spans="1:13" ht="15" customHeight="1" x14ac:dyDescent="0.25">
      <c r="A29" s="242"/>
      <c r="B29" s="242"/>
      <c r="C29" s="242"/>
      <c r="D29" s="242"/>
      <c r="E29" s="242"/>
      <c r="F29" s="322"/>
      <c r="G29" s="205" t="s">
        <v>135</v>
      </c>
      <c r="H29" s="205"/>
      <c r="I29" s="205"/>
      <c r="J29" s="205"/>
      <c r="K29" s="205"/>
      <c r="L29" s="154">
        <v>4.75</v>
      </c>
      <c r="M29" s="151">
        <f t="shared" si="0"/>
        <v>9.4999999999999998E-3</v>
      </c>
    </row>
    <row r="30" spans="1:13" ht="15.75" customHeight="1" x14ac:dyDescent="0.25">
      <c r="A30" s="242"/>
      <c r="B30" s="242"/>
      <c r="C30" s="242"/>
      <c r="D30" s="242"/>
      <c r="E30" s="242"/>
      <c r="F30" s="322"/>
      <c r="G30" s="205" t="s">
        <v>136</v>
      </c>
      <c r="H30" s="205"/>
      <c r="I30" s="205"/>
      <c r="J30" s="205"/>
      <c r="K30" s="205"/>
      <c r="L30" s="154">
        <v>3.5</v>
      </c>
      <c r="M30" s="151">
        <f t="shared" si="0"/>
        <v>7.0000000000000001E-3</v>
      </c>
    </row>
    <row r="31" spans="1:13" x14ac:dyDescent="0.25">
      <c r="A31" s="214"/>
      <c r="B31" s="214"/>
      <c r="C31" s="214"/>
      <c r="D31" s="214"/>
      <c r="E31" s="214"/>
      <c r="F31" s="323"/>
      <c r="G31" s="205" t="s">
        <v>137</v>
      </c>
      <c r="H31" s="205"/>
      <c r="I31" s="205"/>
      <c r="J31" s="205"/>
      <c r="K31" s="205"/>
      <c r="L31" s="154">
        <v>2</v>
      </c>
      <c r="M31" s="151">
        <f t="shared" si="0"/>
        <v>4.0000000000000001E-3</v>
      </c>
    </row>
    <row r="32" spans="1:13" ht="27.75" customHeight="1" x14ac:dyDescent="0.25">
      <c r="A32" s="214"/>
      <c r="B32" s="214"/>
      <c r="C32" s="214"/>
      <c r="D32" s="214"/>
      <c r="E32" s="214"/>
      <c r="F32" s="323"/>
      <c r="G32" s="205" t="s">
        <v>138</v>
      </c>
      <c r="H32" s="205"/>
      <c r="I32" s="205"/>
      <c r="J32" s="205"/>
      <c r="K32" s="205"/>
      <c r="L32" s="154">
        <v>1</v>
      </c>
      <c r="M32" s="151">
        <f t="shared" si="0"/>
        <v>2E-3</v>
      </c>
    </row>
    <row r="33" spans="1:15" x14ac:dyDescent="0.25">
      <c r="A33" s="214"/>
      <c r="B33" s="214"/>
      <c r="C33" s="214"/>
      <c r="D33" s="214"/>
      <c r="E33" s="214"/>
      <c r="F33" s="323"/>
      <c r="G33" s="205" t="s">
        <v>139</v>
      </c>
      <c r="H33" s="205"/>
      <c r="I33" s="205"/>
      <c r="J33" s="205"/>
      <c r="K33" s="205"/>
      <c r="L33" s="154">
        <v>0.5</v>
      </c>
      <c r="M33" s="151">
        <f t="shared" si="0"/>
        <v>1E-3</v>
      </c>
    </row>
    <row r="34" spans="1:15" ht="12.75" customHeight="1" x14ac:dyDescent="0.25">
      <c r="A34" s="214"/>
      <c r="B34" s="214"/>
      <c r="C34" s="214"/>
      <c r="D34" s="214"/>
      <c r="E34" s="214"/>
      <c r="F34" s="323"/>
      <c r="G34" s="196" t="s">
        <v>140</v>
      </c>
      <c r="H34" s="197"/>
      <c r="I34" s="197"/>
      <c r="J34" s="197"/>
      <c r="K34" s="198"/>
      <c r="L34" s="154">
        <v>0.5</v>
      </c>
      <c r="M34" s="151">
        <f t="shared" si="0"/>
        <v>1E-3</v>
      </c>
    </row>
    <row r="35" spans="1:15" ht="15" customHeight="1" x14ac:dyDescent="0.25">
      <c r="A35" s="214"/>
      <c r="B35" s="214"/>
      <c r="C35" s="214"/>
      <c r="D35" s="214"/>
      <c r="E35" s="214"/>
      <c r="F35" s="323"/>
      <c r="G35" s="196" t="s">
        <v>141</v>
      </c>
      <c r="H35" s="197"/>
      <c r="I35" s="197"/>
      <c r="J35" s="197"/>
      <c r="K35" s="198"/>
      <c r="L35" s="154">
        <v>16</v>
      </c>
      <c r="M35" s="151">
        <f t="shared" si="0"/>
        <v>3.2000000000000001E-2</v>
      </c>
    </row>
    <row r="36" spans="1:15" x14ac:dyDescent="0.25">
      <c r="A36" s="229"/>
      <c r="B36" s="230"/>
      <c r="C36" s="230"/>
      <c r="D36" s="230"/>
      <c r="E36" s="231"/>
      <c r="F36" s="323"/>
      <c r="G36" s="246" t="s">
        <v>142</v>
      </c>
      <c r="H36" s="247"/>
      <c r="I36" s="247"/>
      <c r="J36" s="247"/>
      <c r="K36" s="273"/>
      <c r="L36" s="151">
        <v>2</v>
      </c>
      <c r="M36" s="151">
        <f t="shared" si="0"/>
        <v>4.0000000000000001E-3</v>
      </c>
    </row>
    <row r="37" spans="1:15" ht="15" customHeight="1" x14ac:dyDescent="0.25">
      <c r="A37" s="229"/>
      <c r="B37" s="230"/>
      <c r="C37" s="230"/>
      <c r="D37" s="230"/>
      <c r="E37" s="231"/>
      <c r="F37" s="323"/>
      <c r="G37" s="246" t="s">
        <v>143</v>
      </c>
      <c r="H37" s="247"/>
      <c r="I37" s="247"/>
      <c r="J37" s="247"/>
      <c r="K37" s="273"/>
      <c r="L37" s="151">
        <v>1</v>
      </c>
      <c r="M37" s="151">
        <f t="shared" si="0"/>
        <v>2E-3</v>
      </c>
    </row>
    <row r="38" spans="1:15" ht="15" customHeight="1" x14ac:dyDescent="0.25">
      <c r="A38" s="229"/>
      <c r="B38" s="230"/>
      <c r="C38" s="230"/>
      <c r="D38" s="230"/>
      <c r="E38" s="231"/>
      <c r="F38" s="323"/>
      <c r="G38" s="246" t="s">
        <v>144</v>
      </c>
      <c r="H38" s="247"/>
      <c r="I38" s="247"/>
      <c r="J38" s="247"/>
      <c r="K38" s="273"/>
      <c r="L38" s="151">
        <v>1</v>
      </c>
      <c r="M38" s="151">
        <f t="shared" si="0"/>
        <v>2E-3</v>
      </c>
    </row>
    <row r="39" spans="1:15" ht="15" customHeight="1" x14ac:dyDescent="0.25">
      <c r="A39" s="229"/>
      <c r="B39" s="230"/>
      <c r="C39" s="230"/>
      <c r="D39" s="230"/>
      <c r="E39" s="231"/>
      <c r="F39" s="323"/>
      <c r="G39" s="246" t="s">
        <v>145</v>
      </c>
      <c r="H39" s="247"/>
      <c r="I39" s="247"/>
      <c r="J39" s="247"/>
      <c r="K39" s="273"/>
      <c r="L39" s="154">
        <v>10</v>
      </c>
      <c r="M39" s="151">
        <f t="shared" si="0"/>
        <v>0.02</v>
      </c>
    </row>
    <row r="40" spans="1:15" ht="15" customHeight="1" x14ac:dyDescent="0.25">
      <c r="A40" s="224" t="s">
        <v>2</v>
      </c>
      <c r="B40" s="224"/>
      <c r="C40" s="224"/>
      <c r="D40" s="224"/>
      <c r="E40" s="224"/>
      <c r="F40" s="324">
        <f>SUM(F17:F35)</f>
        <v>2.7500000000000004E-2</v>
      </c>
      <c r="G40" s="262" t="s">
        <v>2</v>
      </c>
      <c r="H40" s="262"/>
      <c r="I40" s="262"/>
      <c r="J40" s="262"/>
      <c r="K40" s="262"/>
      <c r="L40" s="156">
        <f>SUM(L17:L39)</f>
        <v>55.25</v>
      </c>
      <c r="M40" s="324">
        <f t="shared" si="0"/>
        <v>0.1105</v>
      </c>
    </row>
    <row r="41" spans="1:15" ht="98.25" hidden="1" customHeight="1" x14ac:dyDescent="0.25">
      <c r="A41" s="224" t="s">
        <v>2</v>
      </c>
      <c r="B41" s="224"/>
      <c r="C41" s="224"/>
      <c r="D41" s="224"/>
      <c r="E41" s="100">
        <f>SUM(E17:E29)</f>
        <v>0</v>
      </c>
      <c r="F41" s="125"/>
      <c r="G41" s="225" t="s">
        <v>2</v>
      </c>
      <c r="H41" s="225"/>
      <c r="I41" s="225"/>
      <c r="J41" s="225"/>
      <c r="K41" s="225"/>
      <c r="L41" s="225"/>
      <c r="M41" s="225"/>
      <c r="N41" s="225"/>
      <c r="O41" s="125" t="e">
        <f>SUM(#REF!)</f>
        <v>#REF!</v>
      </c>
    </row>
    <row r="42" spans="1:15" hidden="1" x14ac:dyDescent="0.25">
      <c r="A42" s="220" t="s">
        <v>15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5" hidden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5" ht="80.25" hidden="1" customHeight="1" x14ac:dyDescent="0.25">
      <c r="A44" s="221" t="s">
        <v>6</v>
      </c>
      <c r="B44" s="221"/>
      <c r="C44" s="221"/>
      <c r="D44" s="221"/>
      <c r="E44" s="21" t="s">
        <v>7</v>
      </c>
      <c r="F44" s="21" t="s">
        <v>8</v>
      </c>
      <c r="G44" s="21" t="s">
        <v>9</v>
      </c>
      <c r="H44" s="21" t="s">
        <v>10</v>
      </c>
      <c r="I44" s="21"/>
      <c r="J44" s="21" t="s">
        <v>11</v>
      </c>
      <c r="K44" s="21" t="s">
        <v>12</v>
      </c>
      <c r="L44" s="21"/>
      <c r="M44" s="21" t="s">
        <v>5</v>
      </c>
    </row>
    <row r="45" spans="1:15" ht="15" hidden="1" customHeight="1" x14ac:dyDescent="0.25">
      <c r="A45" s="222">
        <v>1</v>
      </c>
      <c r="B45" s="223"/>
      <c r="C45" s="223"/>
      <c r="D45" s="223"/>
      <c r="E45" s="21">
        <v>2</v>
      </c>
      <c r="F45" s="21">
        <v>3</v>
      </c>
      <c r="G45" s="21">
        <v>4</v>
      </c>
      <c r="H45" s="21" t="s">
        <v>48</v>
      </c>
      <c r="I45" s="21"/>
      <c r="J45" s="21">
        <v>6</v>
      </c>
      <c r="K45" s="21">
        <v>7</v>
      </c>
      <c r="L45" s="21"/>
      <c r="M45" s="21" t="s">
        <v>49</v>
      </c>
    </row>
    <row r="46" spans="1:15" ht="15" hidden="1" customHeight="1" x14ac:dyDescent="0.25">
      <c r="A46" s="274" t="s">
        <v>51</v>
      </c>
      <c r="B46" s="274"/>
      <c r="C46" s="274"/>
      <c r="D46" s="274"/>
      <c r="E46" s="22" t="s">
        <v>13</v>
      </c>
      <c r="F46" s="21">
        <v>7</v>
      </c>
      <c r="G46" s="22">
        <v>10</v>
      </c>
      <c r="H46" s="23">
        <f>F46/G46</f>
        <v>0.7</v>
      </c>
      <c r="I46" s="23"/>
      <c r="J46" s="21">
        <v>20</v>
      </c>
      <c r="K46" s="24">
        <v>7100</v>
      </c>
      <c r="L46" s="24"/>
      <c r="M46" s="24">
        <f>H46*K46</f>
        <v>4970</v>
      </c>
    </row>
    <row r="47" spans="1:15" ht="15" hidden="1" customHeight="1" x14ac:dyDescent="0.25">
      <c r="A47" s="274" t="s">
        <v>52</v>
      </c>
      <c r="B47" s="274"/>
      <c r="C47" s="274"/>
      <c r="D47" s="274"/>
      <c r="E47" s="22" t="s">
        <v>13</v>
      </c>
      <c r="F47" s="21">
        <v>1</v>
      </c>
      <c r="G47" s="22">
        <v>10</v>
      </c>
      <c r="H47" s="23">
        <f t="shared" ref="H47:H63" si="1">F47/G47</f>
        <v>0.1</v>
      </c>
      <c r="I47" s="23"/>
      <c r="J47" s="21">
        <v>20</v>
      </c>
      <c r="K47" s="24">
        <v>538700</v>
      </c>
      <c r="L47" s="24"/>
      <c r="M47" s="24">
        <f t="shared" ref="M47:M64" si="2">H47*K47</f>
        <v>53870</v>
      </c>
    </row>
    <row r="48" spans="1:15" ht="15" hidden="1" customHeight="1" x14ac:dyDescent="0.25">
      <c r="A48" s="274" t="s">
        <v>53</v>
      </c>
      <c r="B48" s="274"/>
      <c r="C48" s="274"/>
      <c r="D48" s="274"/>
      <c r="E48" s="22" t="s">
        <v>13</v>
      </c>
      <c r="F48" s="21">
        <v>1</v>
      </c>
      <c r="G48" s="22">
        <v>10</v>
      </c>
      <c r="H48" s="23">
        <f t="shared" si="1"/>
        <v>0.1</v>
      </c>
      <c r="I48" s="23"/>
      <c r="J48" s="21">
        <v>20</v>
      </c>
      <c r="K48" s="24">
        <v>380000</v>
      </c>
      <c r="L48" s="24"/>
      <c r="M48" s="24">
        <f t="shared" si="2"/>
        <v>38000</v>
      </c>
    </row>
    <row r="49" spans="1:13" ht="12.75" hidden="1" customHeight="1" x14ac:dyDescent="0.25">
      <c r="A49" s="274"/>
      <c r="B49" s="274"/>
      <c r="C49" s="274"/>
      <c r="D49" s="274"/>
      <c r="E49" s="22" t="s">
        <v>13</v>
      </c>
      <c r="F49" s="21"/>
      <c r="G49" s="22">
        <v>10</v>
      </c>
      <c r="H49" s="23">
        <f t="shared" si="1"/>
        <v>0</v>
      </c>
      <c r="I49" s="23"/>
      <c r="J49" s="21"/>
      <c r="K49" s="24"/>
      <c r="L49" s="24"/>
      <c r="M49" s="24">
        <f t="shared" si="2"/>
        <v>0</v>
      </c>
    </row>
    <row r="50" spans="1:13" ht="15" hidden="1" customHeight="1" x14ac:dyDescent="0.25">
      <c r="A50" s="274"/>
      <c r="B50" s="274"/>
      <c r="C50" s="274"/>
      <c r="D50" s="274"/>
      <c r="E50" s="22" t="s">
        <v>13</v>
      </c>
      <c r="F50" s="21"/>
      <c r="G50" s="22">
        <v>10</v>
      </c>
      <c r="H50" s="23">
        <f t="shared" si="1"/>
        <v>0</v>
      </c>
      <c r="I50" s="23"/>
      <c r="J50" s="21"/>
      <c r="K50" s="24"/>
      <c r="L50" s="24"/>
      <c r="M50" s="24">
        <f t="shared" si="2"/>
        <v>0</v>
      </c>
    </row>
    <row r="51" spans="1:13" ht="15" hidden="1" customHeight="1" x14ac:dyDescent="0.25">
      <c r="A51" s="266"/>
      <c r="B51" s="267"/>
      <c r="C51" s="267"/>
      <c r="D51" s="267"/>
      <c r="E51" s="22" t="s">
        <v>13</v>
      </c>
      <c r="F51" s="21"/>
      <c r="G51" s="22">
        <v>10</v>
      </c>
      <c r="H51" s="23">
        <f t="shared" si="1"/>
        <v>0</v>
      </c>
      <c r="I51" s="23"/>
      <c r="J51" s="21"/>
      <c r="K51" s="24"/>
      <c r="L51" s="24"/>
      <c r="M51" s="24">
        <f t="shared" si="2"/>
        <v>0</v>
      </c>
    </row>
    <row r="52" spans="1:13" ht="15" hidden="1" customHeight="1" x14ac:dyDescent="0.25">
      <c r="A52" s="266"/>
      <c r="B52" s="267"/>
      <c r="C52" s="267"/>
      <c r="D52" s="267"/>
      <c r="E52" s="22" t="s">
        <v>13</v>
      </c>
      <c r="F52" s="21"/>
      <c r="G52" s="22">
        <v>10</v>
      </c>
      <c r="H52" s="23">
        <f t="shared" si="1"/>
        <v>0</v>
      </c>
      <c r="I52" s="23"/>
      <c r="J52" s="21"/>
      <c r="K52" s="24"/>
      <c r="L52" s="24"/>
      <c r="M52" s="24">
        <f t="shared" si="2"/>
        <v>0</v>
      </c>
    </row>
    <row r="53" spans="1:13" ht="15" hidden="1" customHeight="1" x14ac:dyDescent="0.25">
      <c r="A53" s="266"/>
      <c r="B53" s="267"/>
      <c r="C53" s="267"/>
      <c r="D53" s="267"/>
      <c r="E53" s="22" t="s">
        <v>13</v>
      </c>
      <c r="F53" s="21"/>
      <c r="G53" s="22">
        <v>10</v>
      </c>
      <c r="H53" s="23">
        <f t="shared" si="1"/>
        <v>0</v>
      </c>
      <c r="I53" s="23"/>
      <c r="J53" s="21"/>
      <c r="K53" s="24"/>
      <c r="L53" s="24"/>
      <c r="M53" s="24">
        <f t="shared" si="2"/>
        <v>0</v>
      </c>
    </row>
    <row r="54" spans="1:13" ht="15" hidden="1" customHeight="1" x14ac:dyDescent="0.25">
      <c r="A54" s="266"/>
      <c r="B54" s="267"/>
      <c r="C54" s="267"/>
      <c r="D54" s="267"/>
      <c r="E54" s="22" t="s">
        <v>13</v>
      </c>
      <c r="F54" s="21"/>
      <c r="G54" s="22">
        <v>10</v>
      </c>
      <c r="H54" s="23">
        <f t="shared" si="1"/>
        <v>0</v>
      </c>
      <c r="I54" s="23"/>
      <c r="J54" s="21"/>
      <c r="K54" s="24"/>
      <c r="L54" s="24"/>
      <c r="M54" s="24">
        <f t="shared" si="2"/>
        <v>0</v>
      </c>
    </row>
    <row r="55" spans="1:13" ht="15" hidden="1" customHeight="1" x14ac:dyDescent="0.25">
      <c r="A55" s="266"/>
      <c r="B55" s="267"/>
      <c r="C55" s="267"/>
      <c r="D55" s="267"/>
      <c r="E55" s="22" t="s">
        <v>13</v>
      </c>
      <c r="F55" s="21"/>
      <c r="G55" s="22">
        <v>10</v>
      </c>
      <c r="H55" s="23">
        <f t="shared" si="1"/>
        <v>0</v>
      </c>
      <c r="I55" s="23"/>
      <c r="J55" s="21"/>
      <c r="K55" s="24"/>
      <c r="L55" s="24"/>
      <c r="M55" s="24">
        <f t="shared" si="2"/>
        <v>0</v>
      </c>
    </row>
    <row r="56" spans="1:13" hidden="1" x14ac:dyDescent="0.25">
      <c r="A56" s="238"/>
      <c r="B56" s="239"/>
      <c r="C56" s="239"/>
      <c r="D56" s="239"/>
      <c r="E56" s="22" t="s">
        <v>13</v>
      </c>
      <c r="F56" s="22"/>
      <c r="G56" s="22">
        <v>10</v>
      </c>
      <c r="H56" s="23">
        <f t="shared" si="1"/>
        <v>0</v>
      </c>
      <c r="I56" s="23"/>
      <c r="J56" s="22"/>
      <c r="K56" s="25"/>
      <c r="L56" s="25"/>
      <c r="M56" s="24">
        <f t="shared" si="2"/>
        <v>0</v>
      </c>
    </row>
    <row r="57" spans="1:13" hidden="1" x14ac:dyDescent="0.25">
      <c r="A57" s="238"/>
      <c r="B57" s="239"/>
      <c r="C57" s="239"/>
      <c r="D57" s="239"/>
      <c r="E57" s="22" t="s">
        <v>13</v>
      </c>
      <c r="F57" s="22"/>
      <c r="G57" s="22">
        <v>10</v>
      </c>
      <c r="H57" s="23">
        <f t="shared" si="1"/>
        <v>0</v>
      </c>
      <c r="I57" s="23"/>
      <c r="J57" s="22"/>
      <c r="K57" s="25"/>
      <c r="L57" s="25"/>
      <c r="M57" s="24">
        <f t="shared" si="2"/>
        <v>0</v>
      </c>
    </row>
    <row r="58" spans="1:13" hidden="1" x14ac:dyDescent="0.25">
      <c r="A58" s="238"/>
      <c r="B58" s="239"/>
      <c r="C58" s="239"/>
      <c r="D58" s="239"/>
      <c r="E58" s="22" t="s">
        <v>13</v>
      </c>
      <c r="F58" s="22"/>
      <c r="G58" s="22">
        <v>10</v>
      </c>
      <c r="H58" s="23">
        <f t="shared" si="1"/>
        <v>0</v>
      </c>
      <c r="I58" s="23"/>
      <c r="J58" s="22"/>
      <c r="K58" s="25"/>
      <c r="L58" s="25"/>
      <c r="M58" s="24">
        <f t="shared" si="2"/>
        <v>0</v>
      </c>
    </row>
    <row r="59" spans="1:13" hidden="1" x14ac:dyDescent="0.25">
      <c r="A59" s="238"/>
      <c r="B59" s="239"/>
      <c r="C59" s="239"/>
      <c r="D59" s="239"/>
      <c r="E59" s="22" t="s">
        <v>13</v>
      </c>
      <c r="F59" s="22"/>
      <c r="G59" s="22">
        <v>10</v>
      </c>
      <c r="H59" s="23">
        <f t="shared" si="1"/>
        <v>0</v>
      </c>
      <c r="I59" s="23"/>
      <c r="J59" s="22"/>
      <c r="K59" s="25"/>
      <c r="L59" s="25"/>
      <c r="M59" s="24">
        <f t="shared" si="2"/>
        <v>0</v>
      </c>
    </row>
    <row r="60" spans="1:13" hidden="1" x14ac:dyDescent="0.25">
      <c r="A60" s="238"/>
      <c r="B60" s="239"/>
      <c r="C60" s="239"/>
      <c r="D60" s="239"/>
      <c r="E60" s="22" t="s">
        <v>13</v>
      </c>
      <c r="F60" s="22"/>
      <c r="G60" s="22">
        <v>10</v>
      </c>
      <c r="H60" s="23">
        <f t="shared" si="1"/>
        <v>0</v>
      </c>
      <c r="I60" s="23"/>
      <c r="J60" s="22"/>
      <c r="K60" s="25"/>
      <c r="L60" s="25"/>
      <c r="M60" s="24">
        <f t="shared" si="2"/>
        <v>0</v>
      </c>
    </row>
    <row r="61" spans="1:13" hidden="1" x14ac:dyDescent="0.25">
      <c r="A61" s="238"/>
      <c r="B61" s="239"/>
      <c r="C61" s="239"/>
      <c r="D61" s="239"/>
      <c r="E61" s="22" t="s">
        <v>13</v>
      </c>
      <c r="F61" s="22"/>
      <c r="G61" s="22">
        <v>10</v>
      </c>
      <c r="H61" s="23">
        <f t="shared" si="1"/>
        <v>0</v>
      </c>
      <c r="I61" s="23"/>
      <c r="J61" s="22"/>
      <c r="K61" s="25"/>
      <c r="L61" s="25"/>
      <c r="M61" s="24">
        <f t="shared" si="2"/>
        <v>0</v>
      </c>
    </row>
    <row r="62" spans="1:13" hidden="1" x14ac:dyDescent="0.25">
      <c r="A62" s="238"/>
      <c r="B62" s="239"/>
      <c r="C62" s="239"/>
      <c r="D62" s="239"/>
      <c r="E62" s="22" t="s">
        <v>13</v>
      </c>
      <c r="F62" s="22"/>
      <c r="G62" s="22">
        <v>10</v>
      </c>
      <c r="H62" s="23">
        <f t="shared" si="1"/>
        <v>0</v>
      </c>
      <c r="I62" s="23"/>
      <c r="J62" s="22"/>
      <c r="K62" s="25"/>
      <c r="L62" s="25"/>
      <c r="M62" s="24">
        <f t="shared" si="2"/>
        <v>0</v>
      </c>
    </row>
    <row r="63" spans="1:13" hidden="1" x14ac:dyDescent="0.25">
      <c r="A63" s="238"/>
      <c r="B63" s="239"/>
      <c r="C63" s="239"/>
      <c r="D63" s="239"/>
      <c r="E63" s="22" t="s">
        <v>13</v>
      </c>
      <c r="F63" s="22"/>
      <c r="G63" s="22">
        <v>10</v>
      </c>
      <c r="H63" s="23">
        <f t="shared" si="1"/>
        <v>0</v>
      </c>
      <c r="I63" s="23"/>
      <c r="J63" s="22"/>
      <c r="K63" s="25"/>
      <c r="L63" s="25"/>
      <c r="M63" s="24">
        <f t="shared" si="2"/>
        <v>0</v>
      </c>
    </row>
    <row r="64" spans="1:13" hidden="1" x14ac:dyDescent="0.25">
      <c r="A64" s="232" t="s">
        <v>82</v>
      </c>
      <c r="B64" s="232"/>
      <c r="C64" s="232"/>
      <c r="D64" s="232"/>
      <c r="E64" s="22"/>
      <c r="F64" s="22"/>
      <c r="G64" s="22"/>
      <c r="H64" s="26"/>
      <c r="I64" s="26"/>
      <c r="J64" s="22"/>
      <c r="K64" s="25"/>
      <c r="L64" s="25"/>
      <c r="M64" s="25">
        <f t="shared" si="2"/>
        <v>0</v>
      </c>
    </row>
    <row r="65" spans="1:13" ht="9" hidden="1" customHeight="1" x14ac:dyDescent="0.25">
      <c r="A65" s="233" t="s">
        <v>14</v>
      </c>
      <c r="B65" s="234"/>
      <c r="C65" s="234"/>
      <c r="D65" s="234"/>
      <c r="E65" s="234"/>
      <c r="F65" s="234"/>
      <c r="G65" s="234"/>
      <c r="H65" s="234"/>
      <c r="I65" s="234"/>
      <c r="J65" s="234"/>
      <c r="K65" s="235"/>
      <c r="L65" s="190"/>
      <c r="M65" s="25">
        <f>M64+M48+M47+M46</f>
        <v>96840</v>
      </c>
    </row>
    <row r="66" spans="1:13" ht="20.25" customHeigh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25">
      <c r="A67" s="202" t="s">
        <v>117</v>
      </c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</row>
    <row r="68" spans="1:13" ht="73.5" customHeight="1" x14ac:dyDescent="0.25">
      <c r="A68" s="218" t="s">
        <v>17</v>
      </c>
      <c r="B68" s="218"/>
      <c r="C68" s="218"/>
      <c r="D68" s="218"/>
      <c r="E68" s="9" t="s">
        <v>106</v>
      </c>
      <c r="F68" s="29" t="s">
        <v>75</v>
      </c>
      <c r="G68" s="9" t="s">
        <v>60</v>
      </c>
      <c r="H68" s="9" t="s">
        <v>68</v>
      </c>
      <c r="I68" s="9" t="s">
        <v>86</v>
      </c>
      <c r="J68" s="9" t="s">
        <v>93</v>
      </c>
      <c r="K68" s="11"/>
      <c r="L68" s="11"/>
      <c r="M68" s="11"/>
    </row>
    <row r="69" spans="1:13" ht="18.75" customHeight="1" x14ac:dyDescent="0.25">
      <c r="A69" s="236">
        <v>1</v>
      </c>
      <c r="B69" s="237"/>
      <c r="C69" s="237"/>
      <c r="D69" s="237"/>
      <c r="E69" s="9">
        <v>2</v>
      </c>
      <c r="F69" s="9">
        <v>3</v>
      </c>
      <c r="G69" s="30">
        <v>4</v>
      </c>
      <c r="H69" s="30">
        <v>5</v>
      </c>
      <c r="I69" s="31">
        <v>6</v>
      </c>
      <c r="J69" s="31" t="s">
        <v>65</v>
      </c>
      <c r="K69" s="11"/>
      <c r="L69" s="11"/>
      <c r="M69" s="32"/>
    </row>
    <row r="70" spans="1:13" x14ac:dyDescent="0.25">
      <c r="A70" s="268" t="s">
        <v>71</v>
      </c>
      <c r="B70" s="268"/>
      <c r="C70" s="268"/>
      <c r="D70" s="268"/>
      <c r="E70" s="34">
        <v>5</v>
      </c>
      <c r="F70" s="33">
        <v>12</v>
      </c>
      <c r="G70" s="47">
        <v>687.02</v>
      </c>
      <c r="H70" s="47">
        <f>41221.2*0.002</f>
        <v>82.442399999999992</v>
      </c>
      <c r="I70" s="65">
        <v>1</v>
      </c>
      <c r="J70" s="47">
        <f>H70/I70</f>
        <v>82.442399999999992</v>
      </c>
      <c r="K70" s="11"/>
      <c r="L70" s="11"/>
      <c r="M70" s="19"/>
    </row>
    <row r="71" spans="1:13" ht="15.75" thickBot="1" x14ac:dyDescent="0.3">
      <c r="A71" s="268" t="s">
        <v>83</v>
      </c>
      <c r="B71" s="268"/>
      <c r="C71" s="268"/>
      <c r="D71" s="268"/>
      <c r="E71" s="34">
        <v>1</v>
      </c>
      <c r="F71" s="34">
        <v>12</v>
      </c>
      <c r="G71" s="47">
        <v>3743.23</v>
      </c>
      <c r="H71" s="47">
        <f>44918.8*0.002</f>
        <v>89.837600000000009</v>
      </c>
      <c r="I71" s="65">
        <v>1</v>
      </c>
      <c r="J71" s="47">
        <f>H71/I71</f>
        <v>89.837600000000009</v>
      </c>
      <c r="K71" s="11"/>
      <c r="L71" s="11"/>
      <c r="M71" s="11"/>
    </row>
    <row r="72" spans="1:13" ht="15.75" thickBot="1" x14ac:dyDescent="0.3">
      <c r="A72" s="269" t="s">
        <v>29</v>
      </c>
      <c r="B72" s="270"/>
      <c r="C72" s="270"/>
      <c r="D72" s="270"/>
      <c r="E72" s="75"/>
      <c r="F72" s="75"/>
      <c r="G72" s="75"/>
      <c r="H72" s="92">
        <f>SUM(H70:H71)</f>
        <v>172.28</v>
      </c>
      <c r="I72" s="68"/>
      <c r="J72" s="76">
        <f>SUM(J70:J71)</f>
        <v>172.28</v>
      </c>
      <c r="K72" s="11"/>
      <c r="L72" s="11"/>
      <c r="M72" s="11"/>
    </row>
    <row r="73" spans="1:13" ht="12.75" customHeight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x14ac:dyDescent="0.25">
      <c r="A74" s="202" t="s">
        <v>16</v>
      </c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</row>
    <row r="75" spans="1:13" ht="73.5" customHeight="1" x14ac:dyDescent="0.25">
      <c r="A75" s="218" t="s">
        <v>17</v>
      </c>
      <c r="B75" s="218"/>
      <c r="C75" s="218"/>
      <c r="D75" s="218"/>
      <c r="E75" s="9" t="s">
        <v>7</v>
      </c>
      <c r="F75" s="29" t="s">
        <v>75</v>
      </c>
      <c r="G75" s="9" t="s">
        <v>60</v>
      </c>
      <c r="H75" s="9" t="s">
        <v>68</v>
      </c>
      <c r="I75" s="9" t="s">
        <v>86</v>
      </c>
      <c r="J75" s="9" t="s">
        <v>93</v>
      </c>
      <c r="K75" s="11"/>
      <c r="L75" s="11"/>
      <c r="M75" s="11"/>
    </row>
    <row r="76" spans="1:13" ht="18.75" customHeight="1" x14ac:dyDescent="0.25">
      <c r="A76" s="236">
        <v>1</v>
      </c>
      <c r="B76" s="237"/>
      <c r="C76" s="237"/>
      <c r="D76" s="237"/>
      <c r="E76" s="9">
        <v>2</v>
      </c>
      <c r="F76" s="9">
        <v>3</v>
      </c>
      <c r="G76" s="30">
        <v>4</v>
      </c>
      <c r="H76" s="30">
        <v>5</v>
      </c>
      <c r="I76" s="31">
        <v>6</v>
      </c>
      <c r="J76" s="31" t="s">
        <v>65</v>
      </c>
      <c r="K76" s="11"/>
      <c r="L76" s="11"/>
      <c r="M76" s="32"/>
    </row>
    <row r="77" spans="1:13" x14ac:dyDescent="0.25">
      <c r="A77" s="268" t="s">
        <v>23</v>
      </c>
      <c r="B77" s="268"/>
      <c r="C77" s="268"/>
      <c r="D77" s="268"/>
      <c r="E77" s="34" t="s">
        <v>26</v>
      </c>
      <c r="F77" s="33">
        <v>123860</v>
      </c>
      <c r="G77" s="47">
        <v>6.62</v>
      </c>
      <c r="H77" s="47">
        <f>820000*0.002</f>
        <v>1640</v>
      </c>
      <c r="I77" s="65">
        <v>1</v>
      </c>
      <c r="J77" s="47">
        <f>H77/I77</f>
        <v>1640</v>
      </c>
      <c r="K77" s="11"/>
      <c r="L77" s="11"/>
      <c r="M77" s="19"/>
    </row>
    <row r="78" spans="1:13" x14ac:dyDescent="0.25">
      <c r="A78" s="268" t="s">
        <v>24</v>
      </c>
      <c r="B78" s="268"/>
      <c r="C78" s="268"/>
      <c r="D78" s="268"/>
      <c r="E78" s="34" t="s">
        <v>27</v>
      </c>
      <c r="F78" s="34">
        <v>660</v>
      </c>
      <c r="G78" s="47">
        <v>1618.59</v>
      </c>
      <c r="H78" s="47">
        <f>1259700*0.002</f>
        <v>2519.4</v>
      </c>
      <c r="I78" s="65">
        <v>1</v>
      </c>
      <c r="J78" s="47">
        <f>H78/I78</f>
        <v>2519.4</v>
      </c>
      <c r="K78" s="11"/>
      <c r="L78" s="11"/>
      <c r="M78" s="11"/>
    </row>
    <row r="79" spans="1:13" x14ac:dyDescent="0.25">
      <c r="A79" s="268" t="s">
        <v>69</v>
      </c>
      <c r="B79" s="268"/>
      <c r="C79" s="268"/>
      <c r="D79" s="268"/>
      <c r="E79" s="34" t="s">
        <v>28</v>
      </c>
      <c r="F79" s="34">
        <v>2600</v>
      </c>
      <c r="G79" s="47">
        <v>39.22</v>
      </c>
      <c r="H79" s="47">
        <f>150000*0.002</f>
        <v>300</v>
      </c>
      <c r="I79" s="65">
        <v>1</v>
      </c>
      <c r="J79" s="47">
        <f>H79/I79</f>
        <v>300</v>
      </c>
      <c r="K79" s="11"/>
      <c r="L79" s="11"/>
      <c r="M79" s="11"/>
    </row>
    <row r="80" spans="1:13" ht="15.75" thickBot="1" x14ac:dyDescent="0.3">
      <c r="A80" s="272" t="s">
        <v>25</v>
      </c>
      <c r="B80" s="272"/>
      <c r="C80" s="272"/>
      <c r="D80" s="272"/>
      <c r="E80" s="74" t="s">
        <v>28</v>
      </c>
      <c r="F80" s="34">
        <v>2800</v>
      </c>
      <c r="G80" s="67">
        <v>53.32</v>
      </c>
      <c r="H80" s="67">
        <f>165500*0.002</f>
        <v>331</v>
      </c>
      <c r="I80" s="65">
        <v>1</v>
      </c>
      <c r="J80" s="67">
        <f>H80/I80</f>
        <v>331</v>
      </c>
      <c r="K80" s="11"/>
      <c r="L80" s="11"/>
      <c r="M80" s="11"/>
    </row>
    <row r="81" spans="1:13" ht="15.75" thickBot="1" x14ac:dyDescent="0.3">
      <c r="A81" s="269" t="s">
        <v>29</v>
      </c>
      <c r="B81" s="270"/>
      <c r="C81" s="270"/>
      <c r="D81" s="270"/>
      <c r="E81" s="75"/>
      <c r="F81" s="75"/>
      <c r="G81" s="75"/>
      <c r="H81" s="92">
        <f>SUM(H77:H80)</f>
        <v>4790.3999999999996</v>
      </c>
      <c r="I81" s="68"/>
      <c r="J81" s="76">
        <f>SUM(J77:J80)</f>
        <v>4790.3999999999996</v>
      </c>
      <c r="K81" s="11"/>
      <c r="L81" s="11"/>
      <c r="M81" s="11"/>
    </row>
    <row r="82" spans="1:13" ht="16.5" customHeight="1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11"/>
      <c r="L82" s="11"/>
      <c r="M82" s="11"/>
    </row>
    <row r="83" spans="1:13" x14ac:dyDescent="0.25">
      <c r="A83" s="202" t="s">
        <v>30</v>
      </c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</row>
    <row r="84" spans="1:13" ht="75" x14ac:dyDescent="0.25">
      <c r="A84" s="271" t="s">
        <v>32</v>
      </c>
      <c r="B84" s="271"/>
      <c r="C84" s="271"/>
      <c r="D84" s="271"/>
      <c r="E84" s="30" t="s">
        <v>7</v>
      </c>
      <c r="F84" s="30" t="s">
        <v>18</v>
      </c>
      <c r="G84" s="9" t="s">
        <v>68</v>
      </c>
      <c r="H84" s="9" t="s">
        <v>103</v>
      </c>
      <c r="I84" s="9" t="s">
        <v>93</v>
      </c>
      <c r="J84" s="11"/>
      <c r="K84" s="11"/>
      <c r="L84" s="11"/>
    </row>
    <row r="85" spans="1:13" ht="15" customHeight="1" x14ac:dyDescent="0.25">
      <c r="A85" s="263" t="s">
        <v>155</v>
      </c>
      <c r="B85" s="264"/>
      <c r="C85" s="264"/>
      <c r="D85" s="265"/>
      <c r="E85" s="71" t="s">
        <v>31</v>
      </c>
      <c r="F85" s="30">
        <v>1</v>
      </c>
      <c r="G85" s="9">
        <f>38400*0.002</f>
        <v>76.8</v>
      </c>
      <c r="H85" s="65">
        <v>1</v>
      </c>
      <c r="I85" s="139">
        <f>G85/H85</f>
        <v>76.8</v>
      </c>
      <c r="J85" s="11"/>
      <c r="K85" s="11"/>
      <c r="L85" s="11"/>
    </row>
    <row r="86" spans="1:13" ht="15" customHeight="1" x14ac:dyDescent="0.25">
      <c r="A86" s="263" t="s">
        <v>156</v>
      </c>
      <c r="B86" s="264"/>
      <c r="C86" s="264"/>
      <c r="D86" s="265"/>
      <c r="E86" s="71" t="s">
        <v>31</v>
      </c>
      <c r="F86" s="71">
        <v>1</v>
      </c>
      <c r="G86" s="104">
        <f>160000*0.002</f>
        <v>320</v>
      </c>
      <c r="H86" s="65">
        <v>1</v>
      </c>
      <c r="I86" s="139">
        <f>G86/H86</f>
        <v>320</v>
      </c>
      <c r="J86" s="11"/>
      <c r="K86" s="11"/>
      <c r="L86" s="11"/>
    </row>
    <row r="87" spans="1:13" ht="15" customHeight="1" x14ac:dyDescent="0.25">
      <c r="A87" s="263" t="s">
        <v>157</v>
      </c>
      <c r="B87" s="264"/>
      <c r="C87" s="264"/>
      <c r="D87" s="265"/>
      <c r="E87" s="71" t="s">
        <v>31</v>
      </c>
      <c r="F87" s="71">
        <v>1</v>
      </c>
      <c r="G87" s="104">
        <f>99000*0.002</f>
        <v>198</v>
      </c>
      <c r="H87" s="65">
        <v>1</v>
      </c>
      <c r="I87" s="139">
        <f t="shared" ref="I87:I95" si="3">G87/H87</f>
        <v>198</v>
      </c>
      <c r="J87" s="11"/>
      <c r="K87" s="11"/>
      <c r="L87" s="11"/>
    </row>
    <row r="88" spans="1:13" ht="15" customHeight="1" x14ac:dyDescent="0.25">
      <c r="A88" s="263" t="s">
        <v>158</v>
      </c>
      <c r="B88" s="264"/>
      <c r="C88" s="264"/>
      <c r="D88" s="265"/>
      <c r="E88" s="71" t="s">
        <v>31</v>
      </c>
      <c r="F88" s="71">
        <v>1</v>
      </c>
      <c r="G88" s="104">
        <f>9600*0.002</f>
        <v>19.2</v>
      </c>
      <c r="H88" s="65">
        <v>1</v>
      </c>
      <c r="I88" s="139">
        <f t="shared" si="3"/>
        <v>19.2</v>
      </c>
      <c r="J88" s="11"/>
      <c r="K88" s="11"/>
      <c r="L88" s="11"/>
    </row>
    <row r="89" spans="1:13" ht="15" customHeight="1" x14ac:dyDescent="0.25">
      <c r="A89" s="263" t="s">
        <v>102</v>
      </c>
      <c r="B89" s="264"/>
      <c r="C89" s="264"/>
      <c r="D89" s="265"/>
      <c r="E89" s="71" t="s">
        <v>31</v>
      </c>
      <c r="F89" s="71">
        <v>1</v>
      </c>
      <c r="G89" s="104">
        <f>3300*0.002</f>
        <v>6.6000000000000005</v>
      </c>
      <c r="H89" s="65">
        <v>1</v>
      </c>
      <c r="I89" s="139">
        <f t="shared" si="3"/>
        <v>6.6000000000000005</v>
      </c>
      <c r="J89" s="11"/>
      <c r="K89" s="11"/>
      <c r="L89" s="11"/>
    </row>
    <row r="90" spans="1:13" ht="15" customHeight="1" x14ac:dyDescent="0.25">
      <c r="A90" s="210" t="s">
        <v>159</v>
      </c>
      <c r="B90" s="211"/>
      <c r="C90" s="211"/>
      <c r="D90" s="219"/>
      <c r="E90" s="71" t="s">
        <v>31</v>
      </c>
      <c r="F90" s="71">
        <v>1</v>
      </c>
      <c r="G90" s="47">
        <f>32500*0.002</f>
        <v>65</v>
      </c>
      <c r="H90" s="65">
        <v>1</v>
      </c>
      <c r="I90" s="139">
        <f t="shared" si="3"/>
        <v>65</v>
      </c>
      <c r="J90" s="11"/>
      <c r="K90" s="11"/>
      <c r="L90" s="11"/>
    </row>
    <row r="91" spans="1:13" ht="28.5" customHeight="1" x14ac:dyDescent="0.25">
      <c r="A91" s="263" t="s">
        <v>160</v>
      </c>
      <c r="B91" s="264"/>
      <c r="C91" s="264"/>
      <c r="D91" s="265"/>
      <c r="E91" s="71" t="s">
        <v>31</v>
      </c>
      <c r="F91" s="71">
        <v>1</v>
      </c>
      <c r="G91" s="89">
        <f>51600*0.002</f>
        <v>103.2</v>
      </c>
      <c r="H91" s="65">
        <v>1</v>
      </c>
      <c r="I91" s="139">
        <f t="shared" si="3"/>
        <v>103.2</v>
      </c>
      <c r="J91" s="11"/>
      <c r="K91" s="18"/>
      <c r="L91" s="18"/>
    </row>
    <row r="92" spans="1:13" ht="16.5" customHeight="1" x14ac:dyDescent="0.25">
      <c r="A92" s="102" t="s">
        <v>161</v>
      </c>
      <c r="B92" s="103"/>
      <c r="C92" s="103"/>
      <c r="D92" s="103"/>
      <c r="E92" s="71" t="s">
        <v>31</v>
      </c>
      <c r="F92" s="71">
        <v>1</v>
      </c>
      <c r="G92" s="47">
        <f>3200*0.002</f>
        <v>6.4</v>
      </c>
      <c r="H92" s="65">
        <v>1</v>
      </c>
      <c r="I92" s="139">
        <f t="shared" si="3"/>
        <v>6.4</v>
      </c>
      <c r="J92" s="11"/>
      <c r="K92" s="11"/>
      <c r="L92" s="11"/>
    </row>
    <row r="93" spans="1:13" ht="15" customHeight="1" x14ac:dyDescent="0.25">
      <c r="A93" s="102" t="s">
        <v>162</v>
      </c>
      <c r="B93" s="103"/>
      <c r="C93" s="103"/>
      <c r="D93" s="103"/>
      <c r="E93" s="71" t="s">
        <v>31</v>
      </c>
      <c r="F93" s="71">
        <v>1</v>
      </c>
      <c r="G93" s="47">
        <f>30000*0.002</f>
        <v>60</v>
      </c>
      <c r="H93" s="65">
        <v>1</v>
      </c>
      <c r="I93" s="139">
        <f t="shared" si="3"/>
        <v>60</v>
      </c>
      <c r="J93" s="11"/>
      <c r="K93" s="11"/>
      <c r="L93" s="11"/>
    </row>
    <row r="94" spans="1:13" ht="15" customHeight="1" x14ac:dyDescent="0.25">
      <c r="A94" s="210" t="s">
        <v>163</v>
      </c>
      <c r="B94" s="211"/>
      <c r="C94" s="211"/>
      <c r="D94" s="219"/>
      <c r="E94" s="71" t="s">
        <v>31</v>
      </c>
      <c r="F94" s="71">
        <v>1</v>
      </c>
      <c r="G94" s="67">
        <f>24000*0.002</f>
        <v>48</v>
      </c>
      <c r="H94" s="65">
        <v>1</v>
      </c>
      <c r="I94" s="139">
        <f t="shared" si="3"/>
        <v>48</v>
      </c>
      <c r="J94" s="11"/>
      <c r="K94" s="11"/>
      <c r="L94" s="11"/>
    </row>
    <row r="95" spans="1:13" s="1" customFormat="1" ht="15" customHeight="1" thickBot="1" x14ac:dyDescent="0.3">
      <c r="A95" s="210" t="s">
        <v>164</v>
      </c>
      <c r="B95" s="211"/>
      <c r="C95" s="211"/>
      <c r="D95" s="219"/>
      <c r="E95" s="71" t="s">
        <v>31</v>
      </c>
      <c r="F95" s="71">
        <v>1</v>
      </c>
      <c r="G95" s="67">
        <f>25000*0.002</f>
        <v>50</v>
      </c>
      <c r="H95" s="65">
        <v>1</v>
      </c>
      <c r="I95" s="139">
        <f t="shared" si="3"/>
        <v>50</v>
      </c>
      <c r="J95" s="13"/>
      <c r="K95" s="13"/>
      <c r="L95" s="13"/>
    </row>
    <row r="96" spans="1:13" ht="15" customHeight="1" thickBot="1" x14ac:dyDescent="0.3">
      <c r="A96" s="149" t="s">
        <v>74</v>
      </c>
      <c r="B96" s="150"/>
      <c r="C96" s="150"/>
      <c r="D96" s="150"/>
      <c r="E96" s="150"/>
      <c r="F96" s="150"/>
      <c r="G96" s="93">
        <f>SUM(G85:G95)</f>
        <v>953.2</v>
      </c>
      <c r="I96" s="39">
        <f>SUM(I85:I95)</f>
        <v>953.2</v>
      </c>
      <c r="K96" s="11"/>
      <c r="L96" s="11"/>
      <c r="M96" s="11"/>
    </row>
    <row r="97" spans="1:13" ht="28.5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ht="15" customHeight="1" x14ac:dyDescent="0.25">
      <c r="A98" s="202" t="s">
        <v>70</v>
      </c>
      <c r="B98" s="202"/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</row>
    <row r="99" spans="1:13" ht="75" x14ac:dyDescent="0.25">
      <c r="A99" s="193" t="s">
        <v>32</v>
      </c>
      <c r="B99" s="194"/>
      <c r="C99" s="194"/>
      <c r="D99" s="194"/>
      <c r="E99" s="30" t="s">
        <v>7</v>
      </c>
      <c r="F99" s="9" t="s">
        <v>77</v>
      </c>
      <c r="G99" s="9" t="s">
        <v>68</v>
      </c>
      <c r="H99" s="9" t="s">
        <v>103</v>
      </c>
      <c r="I99" s="9" t="s">
        <v>93</v>
      </c>
      <c r="J99" s="11"/>
      <c r="K99" s="11"/>
      <c r="L99" s="11"/>
      <c r="M99" s="11"/>
    </row>
    <row r="100" spans="1:13" ht="15" customHeight="1" x14ac:dyDescent="0.25">
      <c r="A100" s="196" t="s">
        <v>166</v>
      </c>
      <c r="B100" s="197"/>
      <c r="C100" s="197"/>
      <c r="D100" s="197"/>
      <c r="E100" s="71" t="s">
        <v>31</v>
      </c>
      <c r="F100" s="71">
        <v>1</v>
      </c>
      <c r="G100" s="104">
        <f>9400*0.002</f>
        <v>18.8</v>
      </c>
      <c r="H100" s="65">
        <v>1</v>
      </c>
      <c r="I100" s="140">
        <f>G100/H100</f>
        <v>18.8</v>
      </c>
      <c r="J100" s="11"/>
      <c r="K100" s="11"/>
      <c r="L100" s="11"/>
      <c r="M100" s="11"/>
    </row>
    <row r="101" spans="1:13" ht="15" customHeight="1" x14ac:dyDescent="0.25">
      <c r="A101" s="196" t="s">
        <v>167</v>
      </c>
      <c r="B101" s="197"/>
      <c r="C101" s="197"/>
      <c r="D101" s="197"/>
      <c r="E101" s="71" t="s">
        <v>31</v>
      </c>
      <c r="F101" s="71">
        <v>1</v>
      </c>
      <c r="G101" s="104">
        <f>34580*0.002</f>
        <v>69.16</v>
      </c>
      <c r="H101" s="65">
        <v>1</v>
      </c>
      <c r="I101" s="140">
        <f t="shared" ref="I101:I106" si="4">G101/H101</f>
        <v>69.16</v>
      </c>
      <c r="J101" s="11"/>
      <c r="K101" s="11"/>
      <c r="L101" s="11"/>
      <c r="M101" s="11"/>
    </row>
    <row r="102" spans="1:13" ht="15" customHeight="1" x14ac:dyDescent="0.25">
      <c r="A102" s="196" t="s">
        <v>168</v>
      </c>
      <c r="B102" s="197"/>
      <c r="C102" s="197"/>
      <c r="D102" s="197"/>
      <c r="E102" s="71" t="s">
        <v>31</v>
      </c>
      <c r="F102" s="71">
        <v>1</v>
      </c>
      <c r="G102" s="104">
        <f>110960*0.002</f>
        <v>221.92000000000002</v>
      </c>
      <c r="H102" s="65">
        <v>1</v>
      </c>
      <c r="I102" s="140">
        <f t="shared" si="4"/>
        <v>221.92000000000002</v>
      </c>
      <c r="J102" s="11"/>
      <c r="K102" s="11"/>
      <c r="L102" s="11"/>
      <c r="M102" s="11"/>
    </row>
    <row r="103" spans="1:13" ht="15" customHeight="1" x14ac:dyDescent="0.25">
      <c r="A103" s="196" t="s">
        <v>169</v>
      </c>
      <c r="B103" s="197"/>
      <c r="C103" s="197"/>
      <c r="D103" s="197"/>
      <c r="E103" s="71" t="s">
        <v>31</v>
      </c>
      <c r="F103" s="71">
        <v>1</v>
      </c>
      <c r="G103" s="104">
        <f>10120*0.002</f>
        <v>20.240000000000002</v>
      </c>
      <c r="H103" s="65">
        <v>1</v>
      </c>
      <c r="I103" s="140">
        <f t="shared" si="4"/>
        <v>20.240000000000002</v>
      </c>
      <c r="J103" s="11"/>
      <c r="K103" s="11"/>
      <c r="L103" s="11"/>
      <c r="M103" s="11"/>
    </row>
    <row r="104" spans="1:13" ht="15" customHeight="1" x14ac:dyDescent="0.25">
      <c r="A104" s="196" t="s">
        <v>170</v>
      </c>
      <c r="B104" s="197"/>
      <c r="C104" s="197"/>
      <c r="D104" s="197"/>
      <c r="E104" s="71" t="s">
        <v>31</v>
      </c>
      <c r="F104" s="71">
        <v>1</v>
      </c>
      <c r="G104" s="104">
        <f>113400*0.002</f>
        <v>226.8</v>
      </c>
      <c r="H104" s="65">
        <v>1</v>
      </c>
      <c r="I104" s="140">
        <f t="shared" si="4"/>
        <v>226.8</v>
      </c>
      <c r="J104" s="11"/>
      <c r="K104" s="11"/>
      <c r="L104" s="11"/>
      <c r="M104" s="11"/>
    </row>
    <row r="105" spans="1:13" ht="18" customHeight="1" x14ac:dyDescent="0.25">
      <c r="A105" s="196" t="s">
        <v>171</v>
      </c>
      <c r="B105" s="197"/>
      <c r="C105" s="197"/>
      <c r="D105" s="197"/>
      <c r="E105" s="71" t="s">
        <v>31</v>
      </c>
      <c r="F105" s="71">
        <v>1</v>
      </c>
      <c r="G105" s="89">
        <f>15000*0.002</f>
        <v>30</v>
      </c>
      <c r="H105" s="65">
        <v>1</v>
      </c>
      <c r="I105" s="140">
        <f t="shared" si="4"/>
        <v>30</v>
      </c>
      <c r="J105" s="11"/>
      <c r="K105" s="11"/>
      <c r="L105" s="11"/>
      <c r="M105" s="11"/>
    </row>
    <row r="106" spans="1:13" ht="28.5" customHeight="1" thickBot="1" x14ac:dyDescent="0.3">
      <c r="A106" s="196" t="s">
        <v>172</v>
      </c>
      <c r="B106" s="197"/>
      <c r="C106" s="197"/>
      <c r="D106" s="197"/>
      <c r="E106" s="71" t="s">
        <v>31</v>
      </c>
      <c r="F106" s="71">
        <v>1</v>
      </c>
      <c r="G106" s="89">
        <f>14400*0.002</f>
        <v>28.8</v>
      </c>
      <c r="H106" s="65">
        <v>1</v>
      </c>
      <c r="I106" s="140">
        <f t="shared" si="4"/>
        <v>28.8</v>
      </c>
      <c r="J106" s="11"/>
      <c r="K106" s="11"/>
      <c r="L106" s="11"/>
      <c r="M106" s="11"/>
    </row>
    <row r="107" spans="1:13" ht="15.75" hidden="1" customHeight="1" thickBot="1" x14ac:dyDescent="0.3">
      <c r="F107" s="95"/>
      <c r="H107" s="65">
        <v>5231</v>
      </c>
      <c r="I107" s="96"/>
      <c r="J107" s="11"/>
      <c r="K107" s="11"/>
      <c r="L107" s="11"/>
      <c r="M107" s="11"/>
    </row>
    <row r="108" spans="1:13" ht="14.25" hidden="1" customHeight="1" x14ac:dyDescent="0.25">
      <c r="F108" s="29"/>
      <c r="G108" s="80"/>
      <c r="H108" s="65"/>
      <c r="I108" s="72"/>
      <c r="J108" s="11"/>
      <c r="K108" s="11"/>
      <c r="L108" s="11"/>
      <c r="M108" s="11"/>
    </row>
    <row r="109" spans="1:13" ht="16.5" hidden="1" customHeight="1" x14ac:dyDescent="0.25">
      <c r="A109" s="196"/>
      <c r="B109" s="197"/>
      <c r="C109" s="197"/>
      <c r="D109" s="197"/>
      <c r="E109" s="148"/>
      <c r="F109" s="29"/>
      <c r="G109" s="78"/>
      <c r="H109" s="65">
        <v>3260</v>
      </c>
      <c r="I109" s="72">
        <f t="shared" ref="I109:I110" si="5">G109/H109</f>
        <v>0</v>
      </c>
      <c r="J109" s="11"/>
      <c r="K109" s="11"/>
      <c r="L109" s="11"/>
      <c r="M109" s="11"/>
    </row>
    <row r="110" spans="1:13" ht="17.25" hidden="1" customHeight="1" x14ac:dyDescent="0.25">
      <c r="A110" s="196"/>
      <c r="B110" s="197"/>
      <c r="C110" s="197"/>
      <c r="D110" s="197"/>
      <c r="E110" s="148"/>
      <c r="F110" s="79"/>
      <c r="G110" s="47"/>
      <c r="H110" s="65">
        <v>3260</v>
      </c>
      <c r="I110" s="72">
        <f t="shared" si="5"/>
        <v>0</v>
      </c>
      <c r="J110" s="11"/>
      <c r="K110" s="11"/>
      <c r="L110" s="11"/>
      <c r="M110" s="11"/>
    </row>
    <row r="111" spans="1:13" ht="20.25" customHeight="1" thickBot="1" x14ac:dyDescent="0.3">
      <c r="A111" s="215" t="s">
        <v>73</v>
      </c>
      <c r="B111" s="216"/>
      <c r="C111" s="216"/>
      <c r="D111" s="216"/>
      <c r="E111" s="126"/>
      <c r="F111" s="70"/>
      <c r="G111" s="92">
        <f>SUM(G100:G110)</f>
        <v>615.72</v>
      </c>
      <c r="H111" s="66"/>
      <c r="I111" s="39">
        <f>SUM(I100:I110)</f>
        <v>615.72</v>
      </c>
      <c r="J111" s="11"/>
      <c r="K111" s="41"/>
      <c r="L111" s="41"/>
      <c r="M111" s="11"/>
    </row>
    <row r="112" spans="1:13" s="113" customFormat="1" ht="12" customHeight="1" x14ac:dyDescent="0.25">
      <c r="A112" s="114"/>
      <c r="B112" s="114"/>
      <c r="C112" s="114"/>
      <c r="D112" s="114"/>
      <c r="E112" s="114"/>
      <c r="F112" s="114"/>
      <c r="G112" s="114"/>
      <c r="H112" s="114"/>
      <c r="I112" s="108"/>
      <c r="J112" s="109"/>
      <c r="K112" s="110"/>
      <c r="L112" s="110"/>
      <c r="M112" s="115"/>
    </row>
    <row r="113" spans="1:13" ht="15" customHeight="1" x14ac:dyDescent="0.25">
      <c r="A113" s="202" t="s">
        <v>122</v>
      </c>
      <c r="B113" s="202"/>
      <c r="C113" s="202"/>
      <c r="D113" s="202"/>
      <c r="E113" s="202"/>
      <c r="F113" s="202"/>
      <c r="G113" s="202"/>
      <c r="H113" s="202"/>
      <c r="I113" s="202"/>
      <c r="J113" s="202"/>
      <c r="K113" s="202"/>
      <c r="L113" s="202"/>
      <c r="M113" s="202"/>
    </row>
    <row r="114" spans="1:13" ht="60" x14ac:dyDescent="0.25">
      <c r="A114" s="193" t="s">
        <v>32</v>
      </c>
      <c r="B114" s="194"/>
      <c r="C114" s="194"/>
      <c r="D114" s="194"/>
      <c r="E114" s="9" t="s">
        <v>104</v>
      </c>
      <c r="F114" s="9" t="s">
        <v>68</v>
      </c>
      <c r="G114" s="9" t="s">
        <v>103</v>
      </c>
      <c r="H114" s="9" t="s">
        <v>93</v>
      </c>
      <c r="I114" s="11"/>
      <c r="J114" s="11"/>
      <c r="K114" s="11"/>
      <c r="L114" s="11"/>
    </row>
    <row r="115" spans="1:13" ht="15.75" thickBot="1" x14ac:dyDescent="0.3">
      <c r="A115" s="196" t="s">
        <v>107</v>
      </c>
      <c r="B115" s="197"/>
      <c r="C115" s="197"/>
      <c r="D115" s="197"/>
      <c r="E115" s="71" t="s">
        <v>31</v>
      </c>
      <c r="F115" s="104">
        <f>(10000)*0.002</f>
        <v>20</v>
      </c>
      <c r="G115" s="65">
        <v>1</v>
      </c>
      <c r="H115" s="140">
        <f t="shared" ref="H115" si="6">F115/G115</f>
        <v>20</v>
      </c>
      <c r="I115" s="11"/>
      <c r="J115" s="11"/>
      <c r="K115" s="11"/>
      <c r="L115" s="11"/>
    </row>
    <row r="116" spans="1:13" ht="15.75" hidden="1" customHeight="1" x14ac:dyDescent="0.25">
      <c r="E116" s="95"/>
      <c r="G116" s="9">
        <v>189</v>
      </c>
      <c r="H116" s="96"/>
      <c r="I116" s="11"/>
      <c r="J116" s="11"/>
      <c r="K116" s="11"/>
      <c r="L116" s="11"/>
    </row>
    <row r="117" spans="1:13" ht="14.25" hidden="1" customHeight="1" x14ac:dyDescent="0.25">
      <c r="E117" s="29"/>
      <c r="F117" s="80"/>
      <c r="G117" s="9">
        <v>189</v>
      </c>
      <c r="H117" s="72"/>
      <c r="I117" s="11"/>
      <c r="J117" s="11"/>
      <c r="K117" s="11"/>
      <c r="L117" s="11"/>
    </row>
    <row r="118" spans="1:13" ht="16.5" hidden="1" customHeight="1" thickBot="1" x14ac:dyDescent="0.3">
      <c r="A118" s="196"/>
      <c r="B118" s="197"/>
      <c r="C118" s="197"/>
      <c r="D118" s="197"/>
      <c r="E118" s="29"/>
      <c r="F118" s="78"/>
      <c r="G118" s="9">
        <v>189</v>
      </c>
      <c r="H118" s="72">
        <f t="shared" ref="H118:H119" si="7">F118/G118</f>
        <v>0</v>
      </c>
      <c r="I118" s="11"/>
      <c r="J118" s="11"/>
      <c r="K118" s="11"/>
      <c r="L118" s="11"/>
    </row>
    <row r="119" spans="1:13" ht="17.25" hidden="1" customHeight="1" x14ac:dyDescent="0.25">
      <c r="A119" s="196"/>
      <c r="B119" s="197"/>
      <c r="C119" s="197"/>
      <c r="D119" s="197"/>
      <c r="E119" s="79"/>
      <c r="F119" s="47"/>
      <c r="G119" s="9">
        <v>189</v>
      </c>
      <c r="H119" s="72">
        <f t="shared" si="7"/>
        <v>0</v>
      </c>
      <c r="I119" s="11"/>
      <c r="J119" s="11"/>
      <c r="K119" s="11"/>
      <c r="L119" s="11"/>
    </row>
    <row r="120" spans="1:13" ht="20.25" customHeight="1" thickBot="1" x14ac:dyDescent="0.3">
      <c r="A120" s="215" t="s">
        <v>73</v>
      </c>
      <c r="B120" s="216"/>
      <c r="C120" s="216"/>
      <c r="D120" s="216"/>
      <c r="E120" s="70"/>
      <c r="F120" s="92">
        <f>SUM(F115:F119)</f>
        <v>20</v>
      </c>
      <c r="G120" s="66"/>
      <c r="H120" s="73">
        <f>SUM(H115:H115)</f>
        <v>20</v>
      </c>
      <c r="I120" s="11"/>
      <c r="J120" s="41"/>
      <c r="K120" s="11"/>
      <c r="L120" s="11"/>
    </row>
    <row r="121" spans="1:13" ht="11.25" customHeight="1" x14ac:dyDescent="0.25">
      <c r="A121" s="116"/>
      <c r="B121" s="116"/>
      <c r="C121" s="116"/>
      <c r="D121" s="116"/>
      <c r="E121" s="117"/>
      <c r="F121" s="118"/>
      <c r="G121" s="119"/>
      <c r="H121" s="118"/>
      <c r="I121" s="120"/>
      <c r="J121" s="90"/>
      <c r="K121" s="121"/>
      <c r="L121" s="121"/>
      <c r="M121" s="69"/>
    </row>
    <row r="122" spans="1:13" ht="15.75" x14ac:dyDescent="0.25">
      <c r="A122" s="217" t="s">
        <v>105</v>
      </c>
      <c r="B122" s="217"/>
      <c r="C122" s="217"/>
      <c r="D122" s="217"/>
      <c r="E122" s="217"/>
      <c r="F122" s="217"/>
      <c r="G122" s="217"/>
      <c r="H122" s="217"/>
      <c r="I122" s="217"/>
      <c r="J122" s="217"/>
      <c r="K122" s="217"/>
      <c r="L122" s="217"/>
      <c r="M122" s="217"/>
    </row>
    <row r="123" spans="1:13" ht="75" x14ac:dyDescent="0.25">
      <c r="A123" s="218" t="s">
        <v>3</v>
      </c>
      <c r="B123" s="218"/>
      <c r="C123" s="218"/>
      <c r="D123" s="218"/>
      <c r="E123" s="9" t="s">
        <v>4</v>
      </c>
      <c r="F123" s="10" t="s">
        <v>0</v>
      </c>
      <c r="G123" s="42" t="s">
        <v>72</v>
      </c>
      <c r="H123" s="42" t="s">
        <v>63</v>
      </c>
      <c r="I123" s="9" t="s">
        <v>86</v>
      </c>
      <c r="J123" s="9" t="s">
        <v>93</v>
      </c>
      <c r="K123" s="9" t="s">
        <v>66</v>
      </c>
      <c r="L123" s="32"/>
      <c r="M123" s="32"/>
    </row>
    <row r="124" spans="1:13" x14ac:dyDescent="0.25">
      <c r="A124" s="227">
        <v>1</v>
      </c>
      <c r="B124" s="228"/>
      <c r="C124" s="228"/>
      <c r="D124" s="228"/>
      <c r="E124" s="30">
        <v>2</v>
      </c>
      <c r="F124" s="12">
        <v>3</v>
      </c>
      <c r="G124" s="30">
        <v>4</v>
      </c>
      <c r="H124" s="30" t="s">
        <v>165</v>
      </c>
      <c r="I124" s="31">
        <v>6</v>
      </c>
      <c r="J124" s="45">
        <v>7</v>
      </c>
      <c r="K124" s="46">
        <v>8</v>
      </c>
      <c r="L124" s="316"/>
      <c r="M124" s="32"/>
    </row>
    <row r="125" spans="1:13" ht="15.75" thickBot="1" x14ac:dyDescent="0.3">
      <c r="A125" s="205" t="s">
        <v>90</v>
      </c>
      <c r="B125" s="205"/>
      <c r="C125" s="205"/>
      <c r="D125" s="205"/>
      <c r="E125" s="47">
        <f>9144000/12/13.75</f>
        <v>55418.181818181816</v>
      </c>
      <c r="F125" s="47">
        <f>13.75*0.002</f>
        <v>2.75E-2</v>
      </c>
      <c r="G125" s="47">
        <f>7023041.475*0.002</f>
        <v>14046.08295</v>
      </c>
      <c r="H125" s="47">
        <f>(G125*1.302)</f>
        <v>18288.0000009</v>
      </c>
      <c r="I125" s="65">
        <v>1</v>
      </c>
      <c r="J125" s="47">
        <f>H125/I125</f>
        <v>18288.0000009</v>
      </c>
      <c r="K125" s="82">
        <f>H125/(8696900+23460820)*100</f>
        <v>5.6869703451923832E-2</v>
      </c>
      <c r="L125" s="317"/>
      <c r="M125" s="18"/>
    </row>
    <row r="126" spans="1:13" ht="15.75" hidden="1" thickBot="1" x14ac:dyDescent="0.3">
      <c r="A126" s="212"/>
      <c r="B126" s="213"/>
      <c r="C126" s="213"/>
      <c r="D126" s="213"/>
      <c r="E126" s="47">
        <v>17865.98</v>
      </c>
      <c r="F126" s="83">
        <v>4</v>
      </c>
      <c r="G126" s="65"/>
      <c r="H126" s="54">
        <f>H6</f>
        <v>0</v>
      </c>
      <c r="I126" s="47" t="e">
        <f t="shared" ref="I126:I147" si="8">F126/G126*H126</f>
        <v>#DIV/0!</v>
      </c>
      <c r="J126" s="47">
        <f t="shared" ref="J126:J147" si="9">E126*F126*12*1.302</f>
        <v>1116552.28608</v>
      </c>
      <c r="K126" s="84" t="s">
        <v>50</v>
      </c>
      <c r="L126" s="318"/>
      <c r="M126" s="38" t="e">
        <f t="shared" ref="M126:M150" si="10">I126*J126</f>
        <v>#DIV/0!</v>
      </c>
    </row>
    <row r="127" spans="1:13" ht="15.75" hidden="1" thickBot="1" x14ac:dyDescent="0.3">
      <c r="A127" s="209"/>
      <c r="B127" s="209"/>
      <c r="C127" s="209"/>
      <c r="D127" s="209"/>
      <c r="E127" s="47">
        <v>9544</v>
      </c>
      <c r="F127" s="83">
        <v>1</v>
      </c>
      <c r="G127" s="65"/>
      <c r="H127" s="54">
        <f>H6</f>
        <v>0</v>
      </c>
      <c r="I127" s="47" t="e">
        <f t="shared" si="8"/>
        <v>#DIV/0!</v>
      </c>
      <c r="J127" s="47">
        <f t="shared" si="9"/>
        <v>149115.45600000001</v>
      </c>
      <c r="K127" s="54">
        <f>H127/11277167.39*100</f>
        <v>0</v>
      </c>
      <c r="L127" s="54"/>
      <c r="M127" s="15" t="e">
        <f t="shared" si="10"/>
        <v>#DIV/0!</v>
      </c>
    </row>
    <row r="128" spans="1:13" ht="15" hidden="1" customHeight="1" x14ac:dyDescent="0.25">
      <c r="A128" s="210"/>
      <c r="B128" s="211"/>
      <c r="C128" s="211"/>
      <c r="D128" s="211"/>
      <c r="E128" s="47">
        <v>11560</v>
      </c>
      <c r="F128" s="83">
        <v>1</v>
      </c>
      <c r="G128" s="65"/>
      <c r="H128" s="54">
        <f>H6</f>
        <v>0</v>
      </c>
      <c r="I128" s="47" t="e">
        <f t="shared" si="8"/>
        <v>#DIV/0!</v>
      </c>
      <c r="J128" s="47">
        <f t="shared" si="9"/>
        <v>180613.44</v>
      </c>
      <c r="K128" s="34"/>
      <c r="L128" s="34"/>
      <c r="M128" s="15" t="e">
        <f t="shared" si="10"/>
        <v>#DIV/0!</v>
      </c>
    </row>
    <row r="129" spans="1:13" ht="15.75" hidden="1" thickBot="1" x14ac:dyDescent="0.3">
      <c r="A129" s="205"/>
      <c r="B129" s="205"/>
      <c r="C129" s="205"/>
      <c r="D129" s="205"/>
      <c r="E129" s="47">
        <v>9544</v>
      </c>
      <c r="F129" s="85">
        <v>0.5</v>
      </c>
      <c r="G129" s="65"/>
      <c r="H129" s="54">
        <f>H6</f>
        <v>0</v>
      </c>
      <c r="I129" s="47" t="e">
        <f t="shared" si="8"/>
        <v>#DIV/0!</v>
      </c>
      <c r="J129" s="47">
        <f t="shared" si="9"/>
        <v>74557.728000000003</v>
      </c>
      <c r="K129" s="34"/>
      <c r="L129" s="34"/>
      <c r="M129" s="15" t="e">
        <f t="shared" si="10"/>
        <v>#DIV/0!</v>
      </c>
    </row>
    <row r="130" spans="1:13" ht="15.75" hidden="1" thickBot="1" x14ac:dyDescent="0.3">
      <c r="A130" s="205"/>
      <c r="B130" s="205"/>
      <c r="C130" s="205"/>
      <c r="D130" s="205"/>
      <c r="E130" s="47">
        <v>9544</v>
      </c>
      <c r="F130" s="83">
        <v>1</v>
      </c>
      <c r="G130" s="65"/>
      <c r="H130" s="54">
        <f>H6</f>
        <v>0</v>
      </c>
      <c r="I130" s="47" t="e">
        <f t="shared" si="8"/>
        <v>#DIV/0!</v>
      </c>
      <c r="J130" s="47">
        <f t="shared" si="9"/>
        <v>149115.45600000001</v>
      </c>
      <c r="K130" s="47"/>
      <c r="L130" s="47"/>
      <c r="M130" s="15" t="e">
        <f t="shared" si="10"/>
        <v>#DIV/0!</v>
      </c>
    </row>
    <row r="131" spans="1:13" ht="14.25" hidden="1" customHeight="1" x14ac:dyDescent="0.25">
      <c r="A131" s="205"/>
      <c r="B131" s="205"/>
      <c r="C131" s="205"/>
      <c r="D131" s="205"/>
      <c r="E131" s="47">
        <v>9544</v>
      </c>
      <c r="F131" s="83">
        <v>1</v>
      </c>
      <c r="G131" s="65"/>
      <c r="H131" s="54">
        <f>H6</f>
        <v>0</v>
      </c>
      <c r="I131" s="47" t="e">
        <f t="shared" si="8"/>
        <v>#DIV/0!</v>
      </c>
      <c r="J131" s="47">
        <f t="shared" si="9"/>
        <v>149115.45600000001</v>
      </c>
      <c r="K131" s="66"/>
      <c r="L131" s="66"/>
      <c r="M131" s="15" t="e">
        <f t="shared" si="10"/>
        <v>#DIV/0!</v>
      </c>
    </row>
    <row r="132" spans="1:13" ht="15.75" hidden="1" thickBot="1" x14ac:dyDescent="0.3">
      <c r="A132" s="196"/>
      <c r="B132" s="197"/>
      <c r="C132" s="197"/>
      <c r="D132" s="197"/>
      <c r="E132" s="47">
        <v>9544</v>
      </c>
      <c r="F132" s="47"/>
      <c r="G132" s="65"/>
      <c r="H132" s="54">
        <f>H6</f>
        <v>0</v>
      </c>
      <c r="I132" s="47" t="e">
        <f t="shared" si="8"/>
        <v>#DIV/0!</v>
      </c>
      <c r="J132" s="47">
        <f t="shared" si="9"/>
        <v>0</v>
      </c>
      <c r="K132" s="66"/>
      <c r="L132" s="66"/>
      <c r="M132" s="15" t="e">
        <f t="shared" si="10"/>
        <v>#DIV/0!</v>
      </c>
    </row>
    <row r="133" spans="1:13" ht="15.75" hidden="1" thickBot="1" x14ac:dyDescent="0.3">
      <c r="A133" s="196"/>
      <c r="B133" s="197"/>
      <c r="C133" s="197"/>
      <c r="D133" s="197"/>
      <c r="E133" s="47">
        <v>9544</v>
      </c>
      <c r="F133" s="86">
        <v>0.25</v>
      </c>
      <c r="G133" s="65"/>
      <c r="H133" s="54">
        <f>H6</f>
        <v>0</v>
      </c>
      <c r="I133" s="47" t="e">
        <f t="shared" si="8"/>
        <v>#DIV/0!</v>
      </c>
      <c r="J133" s="47">
        <f t="shared" si="9"/>
        <v>37278.864000000001</v>
      </c>
      <c r="K133" s="66"/>
      <c r="L133" s="66"/>
      <c r="M133" s="15" t="e">
        <f t="shared" si="10"/>
        <v>#DIV/0!</v>
      </c>
    </row>
    <row r="134" spans="1:13" ht="15.75" hidden="1" thickBot="1" x14ac:dyDescent="0.3">
      <c r="A134" s="196"/>
      <c r="B134" s="197"/>
      <c r="C134" s="197"/>
      <c r="D134" s="197"/>
      <c r="E134" s="47">
        <v>9544</v>
      </c>
      <c r="F134" s="47"/>
      <c r="G134" s="65"/>
      <c r="H134" s="54">
        <f>H6</f>
        <v>0</v>
      </c>
      <c r="I134" s="47" t="e">
        <f t="shared" si="8"/>
        <v>#DIV/0!</v>
      </c>
      <c r="J134" s="47">
        <f t="shared" si="9"/>
        <v>0</v>
      </c>
      <c r="K134" s="66"/>
      <c r="L134" s="66"/>
      <c r="M134" s="15" t="e">
        <f t="shared" si="10"/>
        <v>#DIV/0!</v>
      </c>
    </row>
    <row r="135" spans="1:13" ht="15.75" hidden="1" thickBot="1" x14ac:dyDescent="0.3">
      <c r="A135" s="196"/>
      <c r="B135" s="197"/>
      <c r="C135" s="197"/>
      <c r="D135" s="197"/>
      <c r="E135" s="47">
        <v>9544</v>
      </c>
      <c r="F135" s="85">
        <v>0.5</v>
      </c>
      <c r="G135" s="65"/>
      <c r="H135" s="54">
        <f>H6</f>
        <v>0</v>
      </c>
      <c r="I135" s="47" t="e">
        <f t="shared" si="8"/>
        <v>#DIV/0!</v>
      </c>
      <c r="J135" s="47">
        <f t="shared" si="9"/>
        <v>74557.728000000003</v>
      </c>
      <c r="K135" s="66"/>
      <c r="L135" s="66"/>
      <c r="M135" s="15" t="e">
        <f t="shared" si="10"/>
        <v>#DIV/0!</v>
      </c>
    </row>
    <row r="136" spans="1:13" ht="15.75" hidden="1" customHeight="1" x14ac:dyDescent="0.25">
      <c r="A136" s="196"/>
      <c r="B136" s="197"/>
      <c r="C136" s="197"/>
      <c r="D136" s="197"/>
      <c r="E136" s="47">
        <v>9544</v>
      </c>
      <c r="F136" s="83">
        <v>1</v>
      </c>
      <c r="G136" s="65"/>
      <c r="H136" s="54">
        <f>H6</f>
        <v>0</v>
      </c>
      <c r="I136" s="47" t="e">
        <f t="shared" si="8"/>
        <v>#DIV/0!</v>
      </c>
      <c r="J136" s="47">
        <f t="shared" si="9"/>
        <v>149115.45600000001</v>
      </c>
      <c r="K136" s="66"/>
      <c r="L136" s="66"/>
      <c r="M136" s="15" t="e">
        <f t="shared" si="10"/>
        <v>#DIV/0!</v>
      </c>
    </row>
    <row r="137" spans="1:13" ht="15" hidden="1" customHeight="1" thickBot="1" x14ac:dyDescent="0.3">
      <c r="A137" s="205"/>
      <c r="B137" s="205"/>
      <c r="C137" s="205"/>
      <c r="D137" s="205"/>
      <c r="E137" s="47">
        <v>9544</v>
      </c>
      <c r="F137" s="83">
        <v>1</v>
      </c>
      <c r="G137" s="65"/>
      <c r="H137" s="54">
        <f>H6</f>
        <v>0</v>
      </c>
      <c r="I137" s="47" t="e">
        <f t="shared" si="8"/>
        <v>#DIV/0!</v>
      </c>
      <c r="J137" s="47">
        <f t="shared" si="9"/>
        <v>149115.45600000001</v>
      </c>
      <c r="K137" s="66"/>
      <c r="L137" s="66"/>
      <c r="M137" s="15" t="e">
        <f t="shared" si="10"/>
        <v>#DIV/0!</v>
      </c>
    </row>
    <row r="138" spans="1:13" ht="15" hidden="1" customHeight="1" x14ac:dyDescent="0.25">
      <c r="A138" s="205"/>
      <c r="B138" s="205"/>
      <c r="C138" s="205"/>
      <c r="D138" s="205"/>
      <c r="E138" s="47">
        <v>9544</v>
      </c>
      <c r="F138" s="85">
        <v>5.5</v>
      </c>
      <c r="G138" s="65"/>
      <c r="H138" s="54">
        <f>H6</f>
        <v>0</v>
      </c>
      <c r="I138" s="47" t="e">
        <f t="shared" si="8"/>
        <v>#DIV/0!</v>
      </c>
      <c r="J138" s="47">
        <f t="shared" si="9"/>
        <v>820135.00800000003</v>
      </c>
      <c r="K138" s="66"/>
      <c r="L138" s="66"/>
      <c r="M138" s="15" t="e">
        <f t="shared" si="10"/>
        <v>#DIV/0!</v>
      </c>
    </row>
    <row r="139" spans="1:13" ht="15" hidden="1" customHeight="1" thickBot="1" x14ac:dyDescent="0.3">
      <c r="A139" s="205"/>
      <c r="B139" s="205"/>
      <c r="C139" s="205"/>
      <c r="D139" s="205"/>
      <c r="E139" s="47">
        <v>9544</v>
      </c>
      <c r="F139" s="83">
        <v>1</v>
      </c>
      <c r="G139" s="65"/>
      <c r="H139" s="54">
        <f>H6</f>
        <v>0</v>
      </c>
      <c r="I139" s="47" t="e">
        <f t="shared" si="8"/>
        <v>#DIV/0!</v>
      </c>
      <c r="J139" s="47">
        <f t="shared" si="9"/>
        <v>149115.45600000001</v>
      </c>
      <c r="K139" s="66"/>
      <c r="L139" s="66"/>
      <c r="M139" s="15" t="e">
        <f t="shared" si="10"/>
        <v>#DIV/0!</v>
      </c>
    </row>
    <row r="140" spans="1:13" ht="15" hidden="1" customHeight="1" x14ac:dyDescent="0.25">
      <c r="A140" s="205"/>
      <c r="B140" s="205"/>
      <c r="C140" s="205"/>
      <c r="D140" s="205"/>
      <c r="E140" s="47">
        <v>9544</v>
      </c>
      <c r="F140" s="85">
        <v>0.5</v>
      </c>
      <c r="G140" s="65"/>
      <c r="H140" s="54">
        <f>H6</f>
        <v>0</v>
      </c>
      <c r="I140" s="47" t="e">
        <f t="shared" si="8"/>
        <v>#DIV/0!</v>
      </c>
      <c r="J140" s="47">
        <f t="shared" si="9"/>
        <v>74557.728000000003</v>
      </c>
      <c r="K140" s="66"/>
      <c r="L140" s="66"/>
      <c r="M140" s="15" t="e">
        <f t="shared" si="10"/>
        <v>#DIV/0!</v>
      </c>
    </row>
    <row r="141" spans="1:13" ht="15" hidden="1" customHeight="1" x14ac:dyDescent="0.25">
      <c r="A141" s="205"/>
      <c r="B141" s="205"/>
      <c r="C141" s="205"/>
      <c r="D141" s="205"/>
      <c r="E141" s="47">
        <v>9544</v>
      </c>
      <c r="F141" s="85">
        <v>0.5</v>
      </c>
      <c r="G141" s="65"/>
      <c r="H141" s="54">
        <f>H6</f>
        <v>0</v>
      </c>
      <c r="I141" s="47" t="e">
        <f t="shared" si="8"/>
        <v>#DIV/0!</v>
      </c>
      <c r="J141" s="47">
        <f t="shared" si="9"/>
        <v>74557.728000000003</v>
      </c>
      <c r="K141" s="66"/>
      <c r="L141" s="66"/>
      <c r="M141" s="15" t="e">
        <f t="shared" si="10"/>
        <v>#DIV/0!</v>
      </c>
    </row>
    <row r="142" spans="1:13" ht="15.75" hidden="1" thickBot="1" x14ac:dyDescent="0.3">
      <c r="A142" s="205"/>
      <c r="B142" s="205"/>
      <c r="C142" s="205"/>
      <c r="D142" s="205"/>
      <c r="E142" s="47">
        <v>9544</v>
      </c>
      <c r="F142" s="83">
        <v>1</v>
      </c>
      <c r="G142" s="65"/>
      <c r="H142" s="54">
        <f>H6</f>
        <v>0</v>
      </c>
      <c r="I142" s="47" t="e">
        <f t="shared" si="8"/>
        <v>#DIV/0!</v>
      </c>
      <c r="J142" s="47">
        <f t="shared" si="9"/>
        <v>149115.45600000001</v>
      </c>
      <c r="K142" s="66"/>
      <c r="L142" s="66"/>
      <c r="M142" s="15" t="e">
        <f t="shared" si="10"/>
        <v>#DIV/0!</v>
      </c>
    </row>
    <row r="143" spans="1:13" ht="15.75" hidden="1" customHeight="1" x14ac:dyDescent="0.25">
      <c r="A143" s="205"/>
      <c r="B143" s="205"/>
      <c r="C143" s="205"/>
      <c r="D143" s="205"/>
      <c r="E143" s="47">
        <v>9544</v>
      </c>
      <c r="F143" s="83">
        <v>4</v>
      </c>
      <c r="G143" s="65"/>
      <c r="H143" s="54">
        <f>H6</f>
        <v>0</v>
      </c>
      <c r="I143" s="47" t="e">
        <f t="shared" si="8"/>
        <v>#DIV/0!</v>
      </c>
      <c r="J143" s="47">
        <f t="shared" si="9"/>
        <v>596461.82400000002</v>
      </c>
      <c r="K143" s="66"/>
      <c r="L143" s="66"/>
      <c r="M143" s="15" t="e">
        <f t="shared" si="10"/>
        <v>#DIV/0!</v>
      </c>
    </row>
    <row r="144" spans="1:13" ht="16.5" hidden="1" customHeight="1" x14ac:dyDescent="0.25">
      <c r="A144" s="196"/>
      <c r="B144" s="197"/>
      <c r="C144" s="197"/>
      <c r="D144" s="197"/>
      <c r="E144" s="47">
        <v>9544</v>
      </c>
      <c r="F144" s="83">
        <v>1</v>
      </c>
      <c r="G144" s="65"/>
      <c r="H144" s="54">
        <f>H6</f>
        <v>0</v>
      </c>
      <c r="I144" s="47" t="e">
        <f t="shared" si="8"/>
        <v>#DIV/0!</v>
      </c>
      <c r="J144" s="47">
        <f t="shared" si="9"/>
        <v>149115.45600000001</v>
      </c>
      <c r="K144" s="66"/>
      <c r="L144" s="66"/>
      <c r="M144" s="15" t="e">
        <f t="shared" si="10"/>
        <v>#DIV/0!</v>
      </c>
    </row>
    <row r="145" spans="1:13" ht="16.5" hidden="1" customHeight="1" thickBot="1" x14ac:dyDescent="0.3">
      <c r="A145" s="196"/>
      <c r="B145" s="197"/>
      <c r="C145" s="197"/>
      <c r="D145" s="197"/>
      <c r="E145" s="47">
        <v>9544</v>
      </c>
      <c r="F145" s="86">
        <v>1.75</v>
      </c>
      <c r="G145" s="65"/>
      <c r="H145" s="54">
        <f>H6</f>
        <v>0</v>
      </c>
      <c r="I145" s="47" t="e">
        <f t="shared" si="8"/>
        <v>#DIV/0!</v>
      </c>
      <c r="J145" s="47">
        <f t="shared" si="9"/>
        <v>260952.04800000001</v>
      </c>
      <c r="K145" s="66"/>
      <c r="L145" s="66"/>
      <c r="M145" s="15" t="e">
        <f t="shared" si="10"/>
        <v>#DIV/0!</v>
      </c>
    </row>
    <row r="146" spans="1:13" ht="16.5" hidden="1" customHeight="1" thickBot="1" x14ac:dyDescent="0.3">
      <c r="A146" s="196"/>
      <c r="B146" s="197"/>
      <c r="C146" s="197"/>
      <c r="D146" s="197"/>
      <c r="E146" s="47">
        <v>9544</v>
      </c>
      <c r="F146" s="54"/>
      <c r="G146" s="65"/>
      <c r="H146" s="54">
        <f>H6</f>
        <v>0</v>
      </c>
      <c r="I146" s="47" t="e">
        <f t="shared" si="8"/>
        <v>#DIV/0!</v>
      </c>
      <c r="J146" s="47">
        <f t="shared" si="9"/>
        <v>0</v>
      </c>
      <c r="K146" s="66"/>
      <c r="L146" s="66"/>
      <c r="M146" s="15" t="e">
        <f t="shared" si="10"/>
        <v>#DIV/0!</v>
      </c>
    </row>
    <row r="147" spans="1:13" ht="16.5" hidden="1" customHeight="1" thickBot="1" x14ac:dyDescent="0.3">
      <c r="A147" s="196"/>
      <c r="B147" s="197"/>
      <c r="C147" s="197"/>
      <c r="D147" s="197"/>
      <c r="E147" s="47">
        <v>9544</v>
      </c>
      <c r="F147" s="85">
        <v>0.5</v>
      </c>
      <c r="G147" s="65"/>
      <c r="H147" s="54">
        <f>H6</f>
        <v>0</v>
      </c>
      <c r="I147" s="47" t="e">
        <f t="shared" si="8"/>
        <v>#DIV/0!</v>
      </c>
      <c r="J147" s="47">
        <f t="shared" si="9"/>
        <v>74557.728000000003</v>
      </c>
      <c r="K147" s="66"/>
      <c r="L147" s="66"/>
      <c r="M147" s="15" t="e">
        <f t="shared" si="10"/>
        <v>#DIV/0!</v>
      </c>
    </row>
    <row r="148" spans="1:13" ht="15" hidden="1" customHeight="1" thickBot="1" x14ac:dyDescent="0.3">
      <c r="A148" s="196"/>
      <c r="B148" s="197"/>
      <c r="C148" s="197"/>
      <c r="D148" s="197"/>
      <c r="E148" s="47"/>
      <c r="F148" s="47"/>
      <c r="G148" s="47"/>
      <c r="H148" s="47"/>
      <c r="I148" s="47"/>
      <c r="J148" s="47"/>
      <c r="K148" s="66"/>
      <c r="L148" s="66"/>
      <c r="M148" s="15">
        <f t="shared" si="10"/>
        <v>0</v>
      </c>
    </row>
    <row r="149" spans="1:13" ht="15.75" hidden="1" customHeight="1" thickBot="1" x14ac:dyDescent="0.3">
      <c r="A149" s="196"/>
      <c r="B149" s="197"/>
      <c r="C149" s="197"/>
      <c r="D149" s="197"/>
      <c r="E149" s="47"/>
      <c r="F149" s="47"/>
      <c r="G149" s="47"/>
      <c r="H149" s="47"/>
      <c r="I149" s="47"/>
      <c r="J149" s="47"/>
      <c r="K149" s="66"/>
      <c r="L149" s="66"/>
      <c r="M149" s="15">
        <f t="shared" si="10"/>
        <v>0</v>
      </c>
    </row>
    <row r="150" spans="1:13" ht="14.25" hidden="1" customHeight="1" thickBot="1" x14ac:dyDescent="0.3">
      <c r="A150" s="196"/>
      <c r="B150" s="197"/>
      <c r="C150" s="197"/>
      <c r="D150" s="197"/>
      <c r="E150" s="47"/>
      <c r="F150" s="47"/>
      <c r="G150" s="47"/>
      <c r="H150" s="47"/>
      <c r="I150" s="65">
        <v>105</v>
      </c>
      <c r="J150" s="67">
        <f>H150/I150</f>
        <v>0</v>
      </c>
      <c r="K150" s="66"/>
      <c r="L150" s="66"/>
      <c r="M150" s="36">
        <f t="shared" si="10"/>
        <v>0</v>
      </c>
    </row>
    <row r="151" spans="1:13" ht="15.75" thickBot="1" x14ac:dyDescent="0.3">
      <c r="A151" s="226" t="s">
        <v>67</v>
      </c>
      <c r="B151" s="226"/>
      <c r="C151" s="226"/>
      <c r="D151" s="226"/>
      <c r="E151" s="87"/>
      <c r="F151" s="147"/>
      <c r="G151" s="147"/>
      <c r="H151" s="92">
        <f>H125</f>
        <v>18288.0000009</v>
      </c>
      <c r="I151" s="68"/>
      <c r="J151" s="88">
        <f>J125</f>
        <v>18288.0000009</v>
      </c>
      <c r="K151" s="66"/>
      <c r="L151" s="66"/>
      <c r="M151" s="18"/>
    </row>
    <row r="152" spans="1:13" ht="12" customHeigh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9"/>
      <c r="L152" s="19"/>
      <c r="M152" s="19"/>
    </row>
    <row r="153" spans="1:13" ht="15.75" x14ac:dyDescent="0.25">
      <c r="A153" s="217" t="s">
        <v>92</v>
      </c>
      <c r="B153" s="217"/>
      <c r="C153" s="217"/>
      <c r="D153" s="217"/>
      <c r="E153" s="217"/>
      <c r="F153" s="217"/>
      <c r="G153" s="217"/>
      <c r="H153" s="217"/>
      <c r="I153" s="217"/>
      <c r="J153" s="217"/>
      <c r="K153" s="217"/>
      <c r="L153" s="217"/>
      <c r="M153" s="217"/>
    </row>
    <row r="154" spans="1:13" ht="75" x14ac:dyDescent="0.25">
      <c r="A154" s="218" t="s">
        <v>3</v>
      </c>
      <c r="B154" s="218"/>
      <c r="C154" s="218"/>
      <c r="D154" s="218"/>
      <c r="E154" s="9" t="s">
        <v>4</v>
      </c>
      <c r="F154" s="10" t="s">
        <v>0</v>
      </c>
      <c r="G154" s="42" t="s">
        <v>72</v>
      </c>
      <c r="H154" s="42" t="s">
        <v>63</v>
      </c>
      <c r="I154" s="9" t="s">
        <v>86</v>
      </c>
      <c r="J154" s="9" t="s">
        <v>93</v>
      </c>
      <c r="K154" s="9" t="s">
        <v>66</v>
      </c>
      <c r="L154" s="32"/>
      <c r="M154" s="32"/>
    </row>
    <row r="155" spans="1:13" x14ac:dyDescent="0.25">
      <c r="A155" s="227">
        <v>1</v>
      </c>
      <c r="B155" s="228"/>
      <c r="C155" s="228"/>
      <c r="D155" s="228"/>
      <c r="E155" s="30">
        <v>2</v>
      </c>
      <c r="F155" s="12">
        <v>3</v>
      </c>
      <c r="G155" s="30">
        <v>4</v>
      </c>
      <c r="H155" s="30">
        <v>5</v>
      </c>
      <c r="I155" s="31">
        <v>6</v>
      </c>
      <c r="J155" s="45">
        <v>7</v>
      </c>
      <c r="K155" s="46">
        <v>8</v>
      </c>
      <c r="L155" s="316"/>
      <c r="M155" s="32"/>
    </row>
    <row r="156" spans="1:13" ht="15.75" thickBot="1" x14ac:dyDescent="0.3">
      <c r="A156" s="205" t="s">
        <v>91</v>
      </c>
      <c r="B156" s="205"/>
      <c r="C156" s="205"/>
      <c r="D156" s="205"/>
      <c r="E156" s="47">
        <f>18861400/12/55.25</f>
        <v>28448.567119155352</v>
      </c>
      <c r="F156" s="47">
        <f>55.25*0.002</f>
        <v>0.1105</v>
      </c>
      <c r="G156" s="47">
        <f>14486482.34*0.002</f>
        <v>28972.964680000001</v>
      </c>
      <c r="H156" s="47">
        <f>G156*1.302</f>
        <v>37722.80001336</v>
      </c>
      <c r="I156" s="65">
        <v>1</v>
      </c>
      <c r="J156" s="47">
        <f>H156/I156</f>
        <v>37722.80001336</v>
      </c>
      <c r="K156" s="82">
        <f>H156/(8696900+23460820)*100</f>
        <v>0.11730558016351907</v>
      </c>
      <c r="L156" s="317"/>
      <c r="M156" s="18"/>
    </row>
    <row r="157" spans="1:13" ht="15.75" hidden="1" thickBot="1" x14ac:dyDescent="0.3">
      <c r="A157" s="212"/>
      <c r="B157" s="213"/>
      <c r="C157" s="213"/>
      <c r="D157" s="213"/>
      <c r="E157" s="47">
        <v>17865.98</v>
      </c>
      <c r="F157" s="83">
        <v>4</v>
      </c>
      <c r="G157" s="65"/>
      <c r="H157" s="54">
        <f>H39</f>
        <v>0</v>
      </c>
      <c r="I157" s="47" t="e">
        <f t="shared" ref="I157:I178" si="11">F157/G157*H157</f>
        <v>#DIV/0!</v>
      </c>
      <c r="J157" s="47">
        <f t="shared" ref="J157:J178" si="12">E157*F157*12*1.302</f>
        <v>1116552.28608</v>
      </c>
      <c r="K157" s="84" t="s">
        <v>50</v>
      </c>
      <c r="L157" s="318"/>
      <c r="M157" s="38" t="e">
        <f t="shared" ref="M157:M181" si="13">I157*J157</f>
        <v>#DIV/0!</v>
      </c>
    </row>
    <row r="158" spans="1:13" ht="15.75" hidden="1" thickBot="1" x14ac:dyDescent="0.3">
      <c r="A158" s="209"/>
      <c r="B158" s="209"/>
      <c r="C158" s="209"/>
      <c r="D158" s="209"/>
      <c r="E158" s="47">
        <v>9544</v>
      </c>
      <c r="F158" s="83">
        <v>1</v>
      </c>
      <c r="G158" s="65"/>
      <c r="H158" s="54">
        <f>H39</f>
        <v>0</v>
      </c>
      <c r="I158" s="47" t="e">
        <f t="shared" si="11"/>
        <v>#DIV/0!</v>
      </c>
      <c r="J158" s="47">
        <f t="shared" si="12"/>
        <v>149115.45600000001</v>
      </c>
      <c r="K158" s="54">
        <f>H158/11277167.39*100</f>
        <v>0</v>
      </c>
      <c r="L158" s="54"/>
      <c r="M158" s="15" t="e">
        <f t="shared" si="13"/>
        <v>#DIV/0!</v>
      </c>
    </row>
    <row r="159" spans="1:13" ht="15" hidden="1" customHeight="1" x14ac:dyDescent="0.25">
      <c r="A159" s="210"/>
      <c r="B159" s="211"/>
      <c r="C159" s="211"/>
      <c r="D159" s="211"/>
      <c r="E159" s="47">
        <v>11560</v>
      </c>
      <c r="F159" s="83">
        <v>1</v>
      </c>
      <c r="G159" s="65"/>
      <c r="H159" s="54">
        <f>H39</f>
        <v>0</v>
      </c>
      <c r="I159" s="47" t="e">
        <f t="shared" si="11"/>
        <v>#DIV/0!</v>
      </c>
      <c r="J159" s="47">
        <f t="shared" si="12"/>
        <v>180613.44</v>
      </c>
      <c r="K159" s="34"/>
      <c r="L159" s="34"/>
      <c r="M159" s="15" t="e">
        <f t="shared" si="13"/>
        <v>#DIV/0!</v>
      </c>
    </row>
    <row r="160" spans="1:13" ht="15.75" hidden="1" thickBot="1" x14ac:dyDescent="0.3">
      <c r="A160" s="205"/>
      <c r="B160" s="205"/>
      <c r="C160" s="205"/>
      <c r="D160" s="205"/>
      <c r="E160" s="47">
        <v>9544</v>
      </c>
      <c r="F160" s="85">
        <v>0.5</v>
      </c>
      <c r="G160" s="65"/>
      <c r="H160" s="54">
        <f>H39</f>
        <v>0</v>
      </c>
      <c r="I160" s="47" t="e">
        <f t="shared" si="11"/>
        <v>#DIV/0!</v>
      </c>
      <c r="J160" s="47">
        <f t="shared" si="12"/>
        <v>74557.728000000003</v>
      </c>
      <c r="K160" s="34"/>
      <c r="L160" s="34"/>
      <c r="M160" s="15" t="e">
        <f t="shared" si="13"/>
        <v>#DIV/0!</v>
      </c>
    </row>
    <row r="161" spans="1:13" ht="15.75" hidden="1" thickBot="1" x14ac:dyDescent="0.3">
      <c r="A161" s="205"/>
      <c r="B161" s="205"/>
      <c r="C161" s="205"/>
      <c r="D161" s="205"/>
      <c r="E161" s="47">
        <v>9544</v>
      </c>
      <c r="F161" s="83">
        <v>1</v>
      </c>
      <c r="G161" s="65"/>
      <c r="H161" s="54">
        <f>H39</f>
        <v>0</v>
      </c>
      <c r="I161" s="47" t="e">
        <f t="shared" si="11"/>
        <v>#DIV/0!</v>
      </c>
      <c r="J161" s="47">
        <f t="shared" si="12"/>
        <v>149115.45600000001</v>
      </c>
      <c r="K161" s="47"/>
      <c r="L161" s="47"/>
      <c r="M161" s="15" t="e">
        <f t="shared" si="13"/>
        <v>#DIV/0!</v>
      </c>
    </row>
    <row r="162" spans="1:13" ht="14.25" hidden="1" customHeight="1" x14ac:dyDescent="0.25">
      <c r="A162" s="205"/>
      <c r="B162" s="205"/>
      <c r="C162" s="205"/>
      <c r="D162" s="205"/>
      <c r="E162" s="47">
        <v>9544</v>
      </c>
      <c r="F162" s="83">
        <v>1</v>
      </c>
      <c r="G162" s="65"/>
      <c r="H162" s="54">
        <f>H39</f>
        <v>0</v>
      </c>
      <c r="I162" s="47" t="e">
        <f t="shared" si="11"/>
        <v>#DIV/0!</v>
      </c>
      <c r="J162" s="47">
        <f t="shared" si="12"/>
        <v>149115.45600000001</v>
      </c>
      <c r="K162" s="66"/>
      <c r="L162" s="66"/>
      <c r="M162" s="15" t="e">
        <f t="shared" si="13"/>
        <v>#DIV/0!</v>
      </c>
    </row>
    <row r="163" spans="1:13" ht="15.75" hidden="1" thickBot="1" x14ac:dyDescent="0.3">
      <c r="A163" s="196"/>
      <c r="B163" s="197"/>
      <c r="C163" s="197"/>
      <c r="D163" s="197"/>
      <c r="E163" s="47">
        <v>9544</v>
      </c>
      <c r="F163" s="47"/>
      <c r="G163" s="65"/>
      <c r="H163" s="54">
        <f>H39</f>
        <v>0</v>
      </c>
      <c r="I163" s="47" t="e">
        <f t="shared" si="11"/>
        <v>#DIV/0!</v>
      </c>
      <c r="J163" s="47">
        <f t="shared" si="12"/>
        <v>0</v>
      </c>
      <c r="K163" s="66"/>
      <c r="L163" s="66"/>
      <c r="M163" s="15" t="e">
        <f t="shared" si="13"/>
        <v>#DIV/0!</v>
      </c>
    </row>
    <row r="164" spans="1:13" ht="15.75" hidden="1" thickBot="1" x14ac:dyDescent="0.3">
      <c r="A164" s="196"/>
      <c r="B164" s="197"/>
      <c r="C164" s="197"/>
      <c r="D164" s="197"/>
      <c r="E164" s="47">
        <v>9544</v>
      </c>
      <c r="F164" s="86">
        <v>0.25</v>
      </c>
      <c r="G164" s="65"/>
      <c r="H164" s="54">
        <f>H39</f>
        <v>0</v>
      </c>
      <c r="I164" s="47" t="e">
        <f t="shared" si="11"/>
        <v>#DIV/0!</v>
      </c>
      <c r="J164" s="47">
        <f t="shared" si="12"/>
        <v>37278.864000000001</v>
      </c>
      <c r="K164" s="66"/>
      <c r="L164" s="66"/>
      <c r="M164" s="15" t="e">
        <f t="shared" si="13"/>
        <v>#DIV/0!</v>
      </c>
    </row>
    <row r="165" spans="1:13" ht="15.75" hidden="1" thickBot="1" x14ac:dyDescent="0.3">
      <c r="A165" s="196"/>
      <c r="B165" s="197"/>
      <c r="C165" s="197"/>
      <c r="D165" s="197"/>
      <c r="E165" s="47">
        <v>9544</v>
      </c>
      <c r="F165" s="47"/>
      <c r="G165" s="65"/>
      <c r="H165" s="54">
        <f>H39</f>
        <v>0</v>
      </c>
      <c r="I165" s="47" t="e">
        <f t="shared" si="11"/>
        <v>#DIV/0!</v>
      </c>
      <c r="J165" s="47">
        <f t="shared" si="12"/>
        <v>0</v>
      </c>
      <c r="K165" s="66"/>
      <c r="L165" s="66"/>
      <c r="M165" s="15" t="e">
        <f t="shared" si="13"/>
        <v>#DIV/0!</v>
      </c>
    </row>
    <row r="166" spans="1:13" ht="15.75" hidden="1" thickBot="1" x14ac:dyDescent="0.3">
      <c r="A166" s="196"/>
      <c r="B166" s="197"/>
      <c r="C166" s="197"/>
      <c r="D166" s="197"/>
      <c r="E166" s="47">
        <v>9544</v>
      </c>
      <c r="F166" s="85">
        <v>0.5</v>
      </c>
      <c r="G166" s="65"/>
      <c r="H166" s="54">
        <f>H39</f>
        <v>0</v>
      </c>
      <c r="I166" s="47" t="e">
        <f t="shared" si="11"/>
        <v>#DIV/0!</v>
      </c>
      <c r="J166" s="47">
        <f t="shared" si="12"/>
        <v>74557.728000000003</v>
      </c>
      <c r="K166" s="66"/>
      <c r="L166" s="66"/>
      <c r="M166" s="15" t="e">
        <f t="shared" si="13"/>
        <v>#DIV/0!</v>
      </c>
    </row>
    <row r="167" spans="1:13" ht="15.75" hidden="1" customHeight="1" thickBot="1" x14ac:dyDescent="0.3">
      <c r="A167" s="196"/>
      <c r="B167" s="197"/>
      <c r="C167" s="197"/>
      <c r="D167" s="197"/>
      <c r="E167" s="47">
        <v>9544</v>
      </c>
      <c r="F167" s="83">
        <v>1</v>
      </c>
      <c r="G167" s="65"/>
      <c r="H167" s="54">
        <f>H39</f>
        <v>0</v>
      </c>
      <c r="I167" s="47" t="e">
        <f t="shared" si="11"/>
        <v>#DIV/0!</v>
      </c>
      <c r="J167" s="47">
        <f t="shared" si="12"/>
        <v>149115.45600000001</v>
      </c>
      <c r="K167" s="66"/>
      <c r="L167" s="66"/>
      <c r="M167" s="15" t="e">
        <f t="shared" si="13"/>
        <v>#DIV/0!</v>
      </c>
    </row>
    <row r="168" spans="1:13" ht="15" hidden="1" customHeight="1" x14ac:dyDescent="0.25">
      <c r="A168" s="205"/>
      <c r="B168" s="205"/>
      <c r="C168" s="205"/>
      <c r="D168" s="205"/>
      <c r="E168" s="47">
        <v>9544</v>
      </c>
      <c r="F168" s="83">
        <v>1</v>
      </c>
      <c r="G168" s="65"/>
      <c r="H168" s="54">
        <f>H39</f>
        <v>0</v>
      </c>
      <c r="I168" s="47" t="e">
        <f t="shared" si="11"/>
        <v>#DIV/0!</v>
      </c>
      <c r="J168" s="47">
        <f t="shared" si="12"/>
        <v>149115.45600000001</v>
      </c>
      <c r="K168" s="66"/>
      <c r="L168" s="66"/>
      <c r="M168" s="15" t="e">
        <f t="shared" si="13"/>
        <v>#DIV/0!</v>
      </c>
    </row>
    <row r="169" spans="1:13" ht="15" hidden="1" customHeight="1" thickBot="1" x14ac:dyDescent="0.3">
      <c r="A169" s="205"/>
      <c r="B169" s="205"/>
      <c r="C169" s="205"/>
      <c r="D169" s="205"/>
      <c r="E169" s="47">
        <v>9544</v>
      </c>
      <c r="F169" s="85">
        <v>5.5</v>
      </c>
      <c r="G169" s="65"/>
      <c r="H169" s="54">
        <f>H39</f>
        <v>0</v>
      </c>
      <c r="I169" s="47" t="e">
        <f t="shared" si="11"/>
        <v>#DIV/0!</v>
      </c>
      <c r="J169" s="47">
        <f t="shared" si="12"/>
        <v>820135.00800000003</v>
      </c>
      <c r="K169" s="66"/>
      <c r="L169" s="66"/>
      <c r="M169" s="15" t="e">
        <f t="shared" si="13"/>
        <v>#DIV/0!</v>
      </c>
    </row>
    <row r="170" spans="1:13" ht="15" hidden="1" customHeight="1" x14ac:dyDescent="0.25">
      <c r="A170" s="205"/>
      <c r="B170" s="205"/>
      <c r="C170" s="205"/>
      <c r="D170" s="205"/>
      <c r="E170" s="47">
        <v>9544</v>
      </c>
      <c r="F170" s="83">
        <v>1</v>
      </c>
      <c r="G170" s="65"/>
      <c r="H170" s="54">
        <f>H39</f>
        <v>0</v>
      </c>
      <c r="I170" s="47" t="e">
        <f t="shared" si="11"/>
        <v>#DIV/0!</v>
      </c>
      <c r="J170" s="47">
        <f t="shared" si="12"/>
        <v>149115.45600000001</v>
      </c>
      <c r="K170" s="66"/>
      <c r="L170" s="66"/>
      <c r="M170" s="15" t="e">
        <f t="shared" si="13"/>
        <v>#DIV/0!</v>
      </c>
    </row>
    <row r="171" spans="1:13" ht="15" hidden="1" customHeight="1" x14ac:dyDescent="0.25">
      <c r="A171" s="205"/>
      <c r="B171" s="205"/>
      <c r="C171" s="205"/>
      <c r="D171" s="205"/>
      <c r="E171" s="47">
        <v>9544</v>
      </c>
      <c r="F171" s="85">
        <v>0.5</v>
      </c>
      <c r="G171" s="65"/>
      <c r="H171" s="54">
        <f>H39</f>
        <v>0</v>
      </c>
      <c r="I171" s="47" t="e">
        <f t="shared" si="11"/>
        <v>#DIV/0!</v>
      </c>
      <c r="J171" s="47">
        <f t="shared" si="12"/>
        <v>74557.728000000003</v>
      </c>
      <c r="K171" s="66"/>
      <c r="L171" s="66"/>
      <c r="M171" s="15" t="e">
        <f t="shared" si="13"/>
        <v>#DIV/0!</v>
      </c>
    </row>
    <row r="172" spans="1:13" ht="15" hidden="1" customHeight="1" x14ac:dyDescent="0.25">
      <c r="A172" s="205"/>
      <c r="B172" s="205"/>
      <c r="C172" s="205"/>
      <c r="D172" s="205"/>
      <c r="E172" s="47">
        <v>9544</v>
      </c>
      <c r="F172" s="85">
        <v>0.5</v>
      </c>
      <c r="G172" s="65"/>
      <c r="H172" s="54">
        <f>H39</f>
        <v>0</v>
      </c>
      <c r="I172" s="47" t="e">
        <f t="shared" si="11"/>
        <v>#DIV/0!</v>
      </c>
      <c r="J172" s="47">
        <f t="shared" si="12"/>
        <v>74557.728000000003</v>
      </c>
      <c r="K172" s="66"/>
      <c r="L172" s="66"/>
      <c r="M172" s="15" t="e">
        <f t="shared" si="13"/>
        <v>#DIV/0!</v>
      </c>
    </row>
    <row r="173" spans="1:13" ht="15.75" hidden="1" thickBot="1" x14ac:dyDescent="0.3">
      <c r="A173" s="205"/>
      <c r="B173" s="205"/>
      <c r="C173" s="205"/>
      <c r="D173" s="205"/>
      <c r="E173" s="47">
        <v>9544</v>
      </c>
      <c r="F173" s="83">
        <v>1</v>
      </c>
      <c r="G173" s="65"/>
      <c r="H173" s="54">
        <f>H39</f>
        <v>0</v>
      </c>
      <c r="I173" s="47" t="e">
        <f t="shared" si="11"/>
        <v>#DIV/0!</v>
      </c>
      <c r="J173" s="47">
        <f t="shared" si="12"/>
        <v>149115.45600000001</v>
      </c>
      <c r="K173" s="66"/>
      <c r="L173" s="66"/>
      <c r="M173" s="15" t="e">
        <f t="shared" si="13"/>
        <v>#DIV/0!</v>
      </c>
    </row>
    <row r="174" spans="1:13" ht="15.75" hidden="1" customHeight="1" x14ac:dyDescent="0.25">
      <c r="A174" s="205"/>
      <c r="B174" s="205"/>
      <c r="C174" s="205"/>
      <c r="D174" s="205"/>
      <c r="E174" s="47">
        <v>9544</v>
      </c>
      <c r="F174" s="83">
        <v>4</v>
      </c>
      <c r="G174" s="65"/>
      <c r="H174" s="54">
        <f>H39</f>
        <v>0</v>
      </c>
      <c r="I174" s="47" t="e">
        <f t="shared" si="11"/>
        <v>#DIV/0!</v>
      </c>
      <c r="J174" s="47">
        <f t="shared" si="12"/>
        <v>596461.82400000002</v>
      </c>
      <c r="K174" s="66"/>
      <c r="L174" s="66"/>
      <c r="M174" s="15" t="e">
        <f t="shared" si="13"/>
        <v>#DIV/0!</v>
      </c>
    </row>
    <row r="175" spans="1:13" ht="16.5" hidden="1" customHeight="1" x14ac:dyDescent="0.25">
      <c r="A175" s="196"/>
      <c r="B175" s="197"/>
      <c r="C175" s="197"/>
      <c r="D175" s="197"/>
      <c r="E175" s="47">
        <v>9544</v>
      </c>
      <c r="F175" s="83">
        <v>1</v>
      </c>
      <c r="G175" s="65"/>
      <c r="H175" s="54">
        <f>H39</f>
        <v>0</v>
      </c>
      <c r="I175" s="47" t="e">
        <f t="shared" si="11"/>
        <v>#DIV/0!</v>
      </c>
      <c r="J175" s="47">
        <f t="shared" si="12"/>
        <v>149115.45600000001</v>
      </c>
      <c r="K175" s="66"/>
      <c r="L175" s="66"/>
      <c r="M175" s="15" t="e">
        <f t="shared" si="13"/>
        <v>#DIV/0!</v>
      </c>
    </row>
    <row r="176" spans="1:13" ht="16.5" hidden="1" customHeight="1" thickBot="1" x14ac:dyDescent="0.3">
      <c r="A176" s="196"/>
      <c r="B176" s="197"/>
      <c r="C176" s="197"/>
      <c r="D176" s="197"/>
      <c r="E176" s="47">
        <v>9544</v>
      </c>
      <c r="F176" s="86">
        <v>1.75</v>
      </c>
      <c r="G176" s="65"/>
      <c r="H176" s="54">
        <f>H39</f>
        <v>0</v>
      </c>
      <c r="I176" s="47" t="e">
        <f t="shared" si="11"/>
        <v>#DIV/0!</v>
      </c>
      <c r="J176" s="47">
        <f t="shared" si="12"/>
        <v>260952.04800000001</v>
      </c>
      <c r="K176" s="66"/>
      <c r="L176" s="66"/>
      <c r="M176" s="15" t="e">
        <f t="shared" si="13"/>
        <v>#DIV/0!</v>
      </c>
    </row>
    <row r="177" spans="1:13" ht="16.5" hidden="1" customHeight="1" thickBot="1" x14ac:dyDescent="0.3">
      <c r="A177" s="196"/>
      <c r="B177" s="197"/>
      <c r="C177" s="197"/>
      <c r="D177" s="197"/>
      <c r="E177" s="47">
        <v>9544</v>
      </c>
      <c r="F177" s="54"/>
      <c r="G177" s="65"/>
      <c r="H177" s="54">
        <f>H39</f>
        <v>0</v>
      </c>
      <c r="I177" s="47" t="e">
        <f t="shared" si="11"/>
        <v>#DIV/0!</v>
      </c>
      <c r="J177" s="47">
        <f t="shared" si="12"/>
        <v>0</v>
      </c>
      <c r="K177" s="66"/>
      <c r="L177" s="66"/>
      <c r="M177" s="15" t="e">
        <f t="shared" si="13"/>
        <v>#DIV/0!</v>
      </c>
    </row>
    <row r="178" spans="1:13" ht="16.5" hidden="1" customHeight="1" thickBot="1" x14ac:dyDescent="0.3">
      <c r="A178" s="196"/>
      <c r="B178" s="197"/>
      <c r="C178" s="197"/>
      <c r="D178" s="197"/>
      <c r="E178" s="47">
        <v>9544</v>
      </c>
      <c r="F178" s="85">
        <v>0.5</v>
      </c>
      <c r="G178" s="65"/>
      <c r="H178" s="54">
        <f>H39</f>
        <v>0</v>
      </c>
      <c r="I178" s="47" t="e">
        <f t="shared" si="11"/>
        <v>#DIV/0!</v>
      </c>
      <c r="J178" s="47">
        <f t="shared" si="12"/>
        <v>74557.728000000003</v>
      </c>
      <c r="K178" s="66"/>
      <c r="L178" s="66"/>
      <c r="M178" s="15" t="e">
        <f t="shared" si="13"/>
        <v>#DIV/0!</v>
      </c>
    </row>
    <row r="179" spans="1:13" ht="15" hidden="1" customHeight="1" thickBot="1" x14ac:dyDescent="0.3">
      <c r="A179" s="196"/>
      <c r="B179" s="197"/>
      <c r="C179" s="197"/>
      <c r="D179" s="197"/>
      <c r="E179" s="47"/>
      <c r="F179" s="47"/>
      <c r="G179" s="47"/>
      <c r="H179" s="47"/>
      <c r="I179" s="47"/>
      <c r="J179" s="47"/>
      <c r="K179" s="66"/>
      <c r="L179" s="66"/>
      <c r="M179" s="15">
        <f t="shared" si="13"/>
        <v>0</v>
      </c>
    </row>
    <row r="180" spans="1:13" ht="15.75" hidden="1" customHeight="1" thickBot="1" x14ac:dyDescent="0.3">
      <c r="A180" s="196"/>
      <c r="B180" s="197"/>
      <c r="C180" s="197"/>
      <c r="D180" s="197"/>
      <c r="E180" s="47"/>
      <c r="F180" s="47"/>
      <c r="G180" s="47"/>
      <c r="H180" s="47"/>
      <c r="I180" s="47"/>
      <c r="J180" s="47"/>
      <c r="K180" s="66"/>
      <c r="L180" s="66"/>
      <c r="M180" s="15">
        <f t="shared" si="13"/>
        <v>0</v>
      </c>
    </row>
    <row r="181" spans="1:13" ht="14.25" hidden="1" customHeight="1" thickBot="1" x14ac:dyDescent="0.3">
      <c r="A181" s="196"/>
      <c r="B181" s="197"/>
      <c r="C181" s="197"/>
      <c r="D181" s="197"/>
      <c r="E181" s="47"/>
      <c r="F181" s="47"/>
      <c r="G181" s="47"/>
      <c r="H181" s="47"/>
      <c r="I181" s="65">
        <v>105</v>
      </c>
      <c r="J181" s="67">
        <f>H181/I181</f>
        <v>0</v>
      </c>
      <c r="K181" s="66"/>
      <c r="L181" s="66"/>
      <c r="M181" s="36">
        <f t="shared" si="13"/>
        <v>0</v>
      </c>
    </row>
    <row r="182" spans="1:13" ht="15.75" thickBot="1" x14ac:dyDescent="0.3">
      <c r="A182" s="226" t="s">
        <v>67</v>
      </c>
      <c r="B182" s="226"/>
      <c r="C182" s="226"/>
      <c r="D182" s="226"/>
      <c r="E182" s="87"/>
      <c r="F182" s="147"/>
      <c r="G182" s="147"/>
      <c r="H182" s="92">
        <f>H156</f>
        <v>37722.80001336</v>
      </c>
      <c r="I182" s="68"/>
      <c r="J182" s="88">
        <f>J156</f>
        <v>37722.80001336</v>
      </c>
      <c r="K182" s="66"/>
      <c r="L182" s="66"/>
      <c r="M182" s="18"/>
    </row>
    <row r="183" spans="1:13" x14ac:dyDescent="0.25">
      <c r="A183" s="11"/>
      <c r="B183" s="11"/>
      <c r="C183" s="11"/>
      <c r="D183" s="11"/>
      <c r="E183" s="11"/>
      <c r="F183" s="11"/>
      <c r="G183" s="11"/>
      <c r="H183" s="13"/>
      <c r="I183" s="13"/>
      <c r="J183" s="13"/>
      <c r="K183" s="11"/>
      <c r="L183" s="11"/>
      <c r="M183" s="11"/>
    </row>
    <row r="184" spans="1:13" x14ac:dyDescent="0.25">
      <c r="A184" s="220" t="s">
        <v>84</v>
      </c>
      <c r="B184" s="220"/>
      <c r="C184" s="220"/>
      <c r="D184" s="220"/>
      <c r="E184" s="220"/>
      <c r="F184" s="220"/>
      <c r="G184" s="220"/>
      <c r="H184" s="220"/>
      <c r="I184" s="220"/>
      <c r="J184" s="220"/>
      <c r="K184" s="220"/>
      <c r="L184" s="187"/>
      <c r="M184" s="11"/>
    </row>
    <row r="185" spans="1:13" ht="60" x14ac:dyDescent="0.25">
      <c r="A185" s="193" t="s">
        <v>85</v>
      </c>
      <c r="B185" s="194"/>
      <c r="C185" s="194"/>
      <c r="D185" s="195"/>
      <c r="E185" s="146" t="s">
        <v>7</v>
      </c>
      <c r="F185" s="146" t="s">
        <v>75</v>
      </c>
      <c r="G185" s="146" t="s">
        <v>60</v>
      </c>
      <c r="H185" s="146" t="s">
        <v>68</v>
      </c>
      <c r="I185" s="9" t="s">
        <v>86</v>
      </c>
      <c r="J185" s="9" t="s">
        <v>93</v>
      </c>
      <c r="K185" s="58"/>
      <c r="L185" s="32"/>
      <c r="M185" s="11"/>
    </row>
    <row r="186" spans="1:13" ht="36.75" customHeight="1" x14ac:dyDescent="0.25">
      <c r="A186" s="196" t="s">
        <v>173</v>
      </c>
      <c r="B186" s="197"/>
      <c r="C186" s="197"/>
      <c r="D186" s="198"/>
      <c r="E186" s="146"/>
      <c r="F186" s="146"/>
      <c r="G186" s="146"/>
      <c r="H186" s="127">
        <f>300000*0.002</f>
        <v>600</v>
      </c>
      <c r="I186" s="65">
        <v>1</v>
      </c>
      <c r="J186" s="141">
        <f>H186/I186</f>
        <v>600</v>
      </c>
      <c r="K186" s="58"/>
      <c r="L186" s="32"/>
      <c r="M186" s="11"/>
    </row>
    <row r="187" spans="1:13" ht="34.5" customHeight="1" thickBot="1" x14ac:dyDescent="0.3">
      <c r="A187" s="196" t="s">
        <v>174</v>
      </c>
      <c r="B187" s="197"/>
      <c r="C187" s="197"/>
      <c r="D187" s="198"/>
      <c r="E187" s="146"/>
      <c r="F187" s="146"/>
      <c r="G187" s="146"/>
      <c r="H187" s="127">
        <f>140000*0.002</f>
        <v>280</v>
      </c>
      <c r="I187" s="65">
        <v>1</v>
      </c>
      <c r="J187" s="141">
        <f t="shared" ref="J187" si="14">H187/I187</f>
        <v>280</v>
      </c>
      <c r="K187" s="58"/>
      <c r="L187" s="32"/>
      <c r="M187" s="11"/>
    </row>
    <row r="188" spans="1:13" ht="15.75" thickBot="1" x14ac:dyDescent="0.3">
      <c r="A188" s="199" t="s">
        <v>79</v>
      </c>
      <c r="B188" s="200"/>
      <c r="C188" s="200"/>
      <c r="D188" s="200"/>
      <c r="E188" s="200"/>
      <c r="F188" s="200"/>
      <c r="G188" s="201"/>
      <c r="H188" s="81">
        <f>H187+H186</f>
        <v>880</v>
      </c>
      <c r="I188" s="77"/>
      <c r="J188" s="39">
        <f>SUM(J186:J187)</f>
        <v>880</v>
      </c>
      <c r="K188" s="11"/>
      <c r="L188" s="11"/>
      <c r="M188" s="11"/>
    </row>
    <row r="189" spans="1:13" ht="10.5" customHeight="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60" x14ac:dyDescent="0.25">
      <c r="A190" s="193" t="s">
        <v>85</v>
      </c>
      <c r="B190" s="194"/>
      <c r="C190" s="194"/>
      <c r="D190" s="195"/>
      <c r="E190" s="146" t="s">
        <v>175</v>
      </c>
      <c r="F190" s="146" t="s">
        <v>75</v>
      </c>
      <c r="G190" s="146" t="s">
        <v>60</v>
      </c>
      <c r="H190" s="146" t="s">
        <v>68</v>
      </c>
      <c r="I190" s="9" t="s">
        <v>86</v>
      </c>
      <c r="J190" s="9" t="s">
        <v>93</v>
      </c>
      <c r="K190" s="58"/>
      <c r="L190" s="32"/>
      <c r="M190" s="11"/>
    </row>
    <row r="191" spans="1:13" x14ac:dyDescent="0.25">
      <c r="A191" s="196" t="s">
        <v>108</v>
      </c>
      <c r="B191" s="197"/>
      <c r="C191" s="197"/>
      <c r="D191" s="198"/>
      <c r="E191" s="146">
        <v>120</v>
      </c>
      <c r="F191" s="146"/>
      <c r="G191" s="146"/>
      <c r="H191" s="127">
        <f>129600*0.002</f>
        <v>259.2</v>
      </c>
      <c r="I191" s="65">
        <v>1</v>
      </c>
      <c r="J191" s="141">
        <f>H191/I191</f>
        <v>259.2</v>
      </c>
      <c r="K191" s="58"/>
      <c r="L191" s="32"/>
      <c r="M191" s="11"/>
    </row>
    <row r="192" spans="1:13" x14ac:dyDescent="0.25">
      <c r="A192" s="196" t="s">
        <v>109</v>
      </c>
      <c r="B192" s="197"/>
      <c r="C192" s="197"/>
      <c r="D192" s="198"/>
      <c r="E192" s="146">
        <v>640</v>
      </c>
      <c r="F192" s="146"/>
      <c r="G192" s="146"/>
      <c r="H192" s="127">
        <f>10800*0.002</f>
        <v>21.6</v>
      </c>
      <c r="I192" s="65">
        <v>1</v>
      </c>
      <c r="J192" s="141">
        <f t="shared" ref="J192:J193" si="15">H192/I192</f>
        <v>21.6</v>
      </c>
      <c r="K192" s="58"/>
      <c r="L192" s="32"/>
      <c r="M192" s="11"/>
    </row>
    <row r="193" spans="1:17" ht="18" customHeight="1" thickBot="1" x14ac:dyDescent="0.3">
      <c r="A193" s="196" t="s">
        <v>110</v>
      </c>
      <c r="B193" s="197"/>
      <c r="C193" s="197"/>
      <c r="D193" s="198"/>
      <c r="E193" s="146">
        <v>200</v>
      </c>
      <c r="F193" s="146"/>
      <c r="G193" s="146"/>
      <c r="H193" s="127">
        <f>15000*0.002</f>
        <v>30</v>
      </c>
      <c r="I193" s="65">
        <v>1</v>
      </c>
      <c r="J193" s="141">
        <f t="shared" si="15"/>
        <v>30</v>
      </c>
      <c r="K193" s="58"/>
      <c r="L193" s="32"/>
      <c r="M193" s="11"/>
    </row>
    <row r="194" spans="1:17" ht="15.75" thickBot="1" x14ac:dyDescent="0.3">
      <c r="A194" s="199" t="s">
        <v>79</v>
      </c>
      <c r="B194" s="200"/>
      <c r="C194" s="200"/>
      <c r="D194" s="200"/>
      <c r="E194" s="200"/>
      <c r="F194" s="200"/>
      <c r="G194" s="201"/>
      <c r="H194" s="81">
        <f>SUM(H191:H193)</f>
        <v>310.8</v>
      </c>
      <c r="I194" s="77"/>
      <c r="J194" s="39">
        <f>SUM(J191:J193)</f>
        <v>310.8</v>
      </c>
      <c r="K194" s="11"/>
      <c r="L194" s="11"/>
      <c r="M194" s="11"/>
    </row>
    <row r="195" spans="1:17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7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</row>
    <row r="197" spans="1:17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17" x14ac:dyDescent="0.25">
      <c r="A198" s="202" t="s">
        <v>41</v>
      </c>
      <c r="B198" s="202"/>
      <c r="C198" s="202"/>
      <c r="D198" s="202"/>
      <c r="E198" s="202"/>
      <c r="F198" s="202"/>
      <c r="G198" s="202"/>
      <c r="H198" s="202"/>
      <c r="I198" s="202"/>
      <c r="J198" s="202"/>
      <c r="K198" s="202"/>
      <c r="L198" s="202"/>
      <c r="M198" s="202"/>
    </row>
    <row r="199" spans="1:17" ht="60.75" customHeight="1" x14ac:dyDescent="0.25">
      <c r="A199" s="206" t="s">
        <v>42</v>
      </c>
      <c r="B199" s="207"/>
      <c r="C199" s="208"/>
      <c r="D199" s="193" t="s">
        <v>43</v>
      </c>
      <c r="E199" s="203"/>
      <c r="F199" s="203"/>
      <c r="G199" s="203"/>
      <c r="H199" s="203"/>
      <c r="I199" s="203"/>
      <c r="J199" s="204"/>
      <c r="K199" s="191" t="s">
        <v>47</v>
      </c>
      <c r="L199" s="319"/>
    </row>
    <row r="200" spans="1:17" ht="24" customHeight="1" x14ac:dyDescent="0.25">
      <c r="A200" s="10" t="s">
        <v>44</v>
      </c>
      <c r="B200" s="164" t="s">
        <v>45</v>
      </c>
      <c r="C200" s="10" t="s">
        <v>46</v>
      </c>
      <c r="D200" s="9" t="s">
        <v>181</v>
      </c>
      <c r="E200" s="9" t="s">
        <v>182</v>
      </c>
      <c r="F200" s="9" t="s">
        <v>183</v>
      </c>
      <c r="G200" s="9" t="s">
        <v>184</v>
      </c>
      <c r="H200" s="9" t="s">
        <v>185</v>
      </c>
      <c r="I200" s="42" t="s">
        <v>186</v>
      </c>
      <c r="J200" s="160" t="s">
        <v>184</v>
      </c>
      <c r="K200" s="192"/>
      <c r="L200" s="319"/>
    </row>
    <row r="201" spans="1:17" x14ac:dyDescent="0.25">
      <c r="A201" s="15">
        <f>J151</f>
        <v>18288.0000009</v>
      </c>
      <c r="B201" s="15"/>
      <c r="C201" s="15"/>
      <c r="D201" s="15">
        <f>J72</f>
        <v>172.28</v>
      </c>
      <c r="E201" s="15">
        <f>J81</f>
        <v>4790.3999999999996</v>
      </c>
      <c r="F201" s="15">
        <f>I96</f>
        <v>953.2</v>
      </c>
      <c r="G201" s="15">
        <f>I111</f>
        <v>615.72</v>
      </c>
      <c r="H201" s="15">
        <f>H120</f>
        <v>20</v>
      </c>
      <c r="I201" s="143">
        <f>J182</f>
        <v>37722.80001336</v>
      </c>
      <c r="J201" s="142">
        <f>J188+J194</f>
        <v>1190.8</v>
      </c>
      <c r="K201" s="142">
        <f>SUM(D201:J201)+A201</f>
        <v>63753.200014260001</v>
      </c>
      <c r="L201" s="320"/>
    </row>
    <row r="202" spans="1:17" ht="15.75" thickBot="1" x14ac:dyDescent="0.3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</row>
    <row r="203" spans="1:17" ht="15.75" thickBot="1" x14ac:dyDescent="0.3">
      <c r="A203" s="14" t="s">
        <v>88</v>
      </c>
      <c r="B203" s="14"/>
      <c r="C203" s="14"/>
      <c r="D203" s="11"/>
      <c r="E203" s="11"/>
      <c r="F203" s="11"/>
      <c r="G203" s="11"/>
      <c r="H203" s="11"/>
      <c r="I203" s="11"/>
      <c r="J203" s="91">
        <f>H72+H81+G96+G111+F120+H151+H182+H188+H194</f>
        <v>63753.200014260001</v>
      </c>
      <c r="K203" s="11"/>
      <c r="L203" s="11"/>
      <c r="M203" s="11"/>
      <c r="Q203" s="128">
        <f>K201*1</f>
        <v>63753.200014260001</v>
      </c>
    </row>
    <row r="204" spans="1:17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7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7" ht="18.75" x14ac:dyDescent="0.3">
      <c r="A206" s="3" t="s">
        <v>176</v>
      </c>
      <c r="B206" s="3"/>
      <c r="C206" s="3"/>
      <c r="I206" s="3" t="s">
        <v>177</v>
      </c>
    </row>
    <row r="208" spans="1:17" ht="15.75" x14ac:dyDescent="0.25">
      <c r="A208" s="157" t="s">
        <v>61</v>
      </c>
      <c r="B208" s="7"/>
    </row>
    <row r="209" spans="1:3" ht="15.75" x14ac:dyDescent="0.25">
      <c r="A209" s="157" t="s">
        <v>111</v>
      </c>
      <c r="B209" s="7"/>
    </row>
    <row r="210" spans="1:3" ht="15.75" x14ac:dyDescent="0.25">
      <c r="A210" s="157" t="s">
        <v>112</v>
      </c>
      <c r="C210" s="7"/>
    </row>
    <row r="211" spans="1:3" ht="15.75" x14ac:dyDescent="0.25">
      <c r="A211" s="2"/>
      <c r="B211" s="2"/>
      <c r="C211" s="2"/>
    </row>
  </sheetData>
  <mergeCells count="201">
    <mergeCell ref="A2:D2"/>
    <mergeCell ref="E2:G2"/>
    <mergeCell ref="A3:B3"/>
    <mergeCell ref="A4:C4"/>
    <mergeCell ref="E4:F4"/>
    <mergeCell ref="H4:K4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2:E32"/>
    <mergeCell ref="G32:K32"/>
    <mergeCell ref="A33:E33"/>
    <mergeCell ref="G33:K33"/>
    <mergeCell ref="A34:E34"/>
    <mergeCell ref="G34:K34"/>
    <mergeCell ref="A35:E35"/>
    <mergeCell ref="G35:K35"/>
    <mergeCell ref="A36:E36"/>
    <mergeCell ref="G36:K36"/>
    <mergeCell ref="A41:D41"/>
    <mergeCell ref="G41:N41"/>
    <mergeCell ref="A42:M42"/>
    <mergeCell ref="A44:D44"/>
    <mergeCell ref="A45:D45"/>
    <mergeCell ref="A46:D46"/>
    <mergeCell ref="A40:E40"/>
    <mergeCell ref="G40:K40"/>
    <mergeCell ref="A38:E38"/>
    <mergeCell ref="G38:K38"/>
    <mergeCell ref="A39:E39"/>
    <mergeCell ref="G39:K39"/>
    <mergeCell ref="A53:D53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65:K65"/>
    <mergeCell ref="A67:M67"/>
    <mergeCell ref="A68:D68"/>
    <mergeCell ref="A69:D69"/>
    <mergeCell ref="A70:D70"/>
    <mergeCell ref="A59:D59"/>
    <mergeCell ref="A60:D60"/>
    <mergeCell ref="A61:D61"/>
    <mergeCell ref="A62:D62"/>
    <mergeCell ref="A63:D63"/>
    <mergeCell ref="A64:D64"/>
    <mergeCell ref="A77:D77"/>
    <mergeCell ref="A78:D78"/>
    <mergeCell ref="A79:D79"/>
    <mergeCell ref="A80:D80"/>
    <mergeCell ref="A81:D81"/>
    <mergeCell ref="A83:M83"/>
    <mergeCell ref="A71:D71"/>
    <mergeCell ref="A72:D72"/>
    <mergeCell ref="A74:M74"/>
    <mergeCell ref="A75:D75"/>
    <mergeCell ref="A76:D76"/>
    <mergeCell ref="A99:D99"/>
    <mergeCell ref="A100:D100"/>
    <mergeCell ref="A101:D101"/>
    <mergeCell ref="A102:D102"/>
    <mergeCell ref="A103:D103"/>
    <mergeCell ref="A84:D84"/>
    <mergeCell ref="A89:D89"/>
    <mergeCell ref="A90:D90"/>
    <mergeCell ref="A94:D94"/>
    <mergeCell ref="A85:D85"/>
    <mergeCell ref="A86:D86"/>
    <mergeCell ref="A87:D87"/>
    <mergeCell ref="A88:D88"/>
    <mergeCell ref="A91:D91"/>
    <mergeCell ref="A95:D95"/>
    <mergeCell ref="A98:M98"/>
    <mergeCell ref="A113:M113"/>
    <mergeCell ref="A114:D114"/>
    <mergeCell ref="A115:D115"/>
    <mergeCell ref="A104:D104"/>
    <mergeCell ref="A105:D105"/>
    <mergeCell ref="A106:D106"/>
    <mergeCell ref="A110:D110"/>
    <mergeCell ref="A111:D111"/>
    <mergeCell ref="A109:D109"/>
    <mergeCell ref="A126:D126"/>
    <mergeCell ref="A127:D127"/>
    <mergeCell ref="A128:D128"/>
    <mergeCell ref="A129:D129"/>
    <mergeCell ref="A130:D130"/>
    <mergeCell ref="A131:D131"/>
    <mergeCell ref="A118:D118"/>
    <mergeCell ref="A119:D119"/>
    <mergeCell ref="A120:D120"/>
    <mergeCell ref="A122:M122"/>
    <mergeCell ref="A123:D123"/>
    <mergeCell ref="A124:D124"/>
    <mergeCell ref="A125:D125"/>
    <mergeCell ref="A149:D149"/>
    <mergeCell ref="A150:D150"/>
    <mergeCell ref="A151:D151"/>
    <mergeCell ref="A143:D143"/>
    <mergeCell ref="A144:D144"/>
    <mergeCell ref="A145:D145"/>
    <mergeCell ref="A146:D146"/>
    <mergeCell ref="A147:D147"/>
    <mergeCell ref="A132:D132"/>
    <mergeCell ref="A137:D137"/>
    <mergeCell ref="A135:D135"/>
    <mergeCell ref="A136:D136"/>
    <mergeCell ref="A133:D133"/>
    <mergeCell ref="A134:D134"/>
    <mergeCell ref="A138:D138"/>
    <mergeCell ref="A139:D139"/>
    <mergeCell ref="A140:D140"/>
    <mergeCell ref="A141:D141"/>
    <mergeCell ref="A142:D142"/>
    <mergeCell ref="A148:D148"/>
    <mergeCell ref="A181:D181"/>
    <mergeCell ref="A182:D182"/>
    <mergeCell ref="A174:D174"/>
    <mergeCell ref="A175:D175"/>
    <mergeCell ref="A176:D176"/>
    <mergeCell ref="A177:D177"/>
    <mergeCell ref="A178:D178"/>
    <mergeCell ref="A188:G188"/>
    <mergeCell ref="A190:D190"/>
    <mergeCell ref="A179:D179"/>
    <mergeCell ref="A180:D180"/>
    <mergeCell ref="A198:M198"/>
    <mergeCell ref="A199:C199"/>
    <mergeCell ref="K199:K200"/>
    <mergeCell ref="A187:D187"/>
    <mergeCell ref="A194:G194"/>
    <mergeCell ref="A184:K184"/>
    <mergeCell ref="A185:D185"/>
    <mergeCell ref="A186:D186"/>
    <mergeCell ref="A191:D191"/>
    <mergeCell ref="A192:D192"/>
    <mergeCell ref="D199:J199"/>
    <mergeCell ref="A193:D193"/>
    <mergeCell ref="A153:M153"/>
    <mergeCell ref="A170:D170"/>
    <mergeCell ref="A171:D171"/>
    <mergeCell ref="A172:D172"/>
    <mergeCell ref="A173:D173"/>
    <mergeCell ref="A164:D164"/>
    <mergeCell ref="A165:D165"/>
    <mergeCell ref="A166:D166"/>
    <mergeCell ref="A167:D167"/>
    <mergeCell ref="A158:D158"/>
    <mergeCell ref="A159:D159"/>
    <mergeCell ref="A160:D160"/>
    <mergeCell ref="A161:D161"/>
    <mergeCell ref="A162:D162"/>
    <mergeCell ref="A163:D163"/>
    <mergeCell ref="A154:D154"/>
    <mergeCell ref="A155:D155"/>
    <mergeCell ref="A156:D156"/>
    <mergeCell ref="A157:D157"/>
    <mergeCell ref="A168:D168"/>
    <mergeCell ref="A169:D169"/>
  </mergeCells>
  <pageMargins left="0.51181102362204722" right="0.31496062992125984" top="0.15748031496062992" bottom="0.3937007874015748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tabSelected="1" topLeftCell="A4" zoomScale="80" zoomScaleNormal="80" workbookViewId="0">
      <selection activeCell="Q25" sqref="Q25"/>
    </sheetView>
  </sheetViews>
  <sheetFormatPr defaultRowHeight="15" x14ac:dyDescent="0.25"/>
  <cols>
    <col min="1" max="1" width="10.42578125" customWidth="1"/>
    <col min="2" max="3" width="6.5703125" customWidth="1"/>
    <col min="4" max="4" width="11.28515625" customWidth="1"/>
    <col min="5" max="5" width="11.42578125" customWidth="1"/>
    <col min="6" max="6" width="11.140625" customWidth="1"/>
    <col min="7" max="7" width="12.28515625" customWidth="1"/>
    <col min="8" max="8" width="13" customWidth="1"/>
    <col min="9" max="9" width="10.140625" customWidth="1"/>
    <col min="10" max="10" width="11.7109375" customWidth="1"/>
    <col min="11" max="11" width="12.28515625" customWidth="1"/>
    <col min="12" max="12" width="12.28515625" hidden="1" customWidth="1"/>
    <col min="13" max="13" width="12.5703125" customWidth="1"/>
    <col min="16" max="16" width="11.28515625" customWidth="1"/>
  </cols>
  <sheetData>
    <row r="1" spans="1:13" hidden="1" x14ac:dyDescent="0.25"/>
    <row r="2" spans="1:13" ht="15.75" hidden="1" x14ac:dyDescent="0.25">
      <c r="A2" s="240"/>
      <c r="B2" s="240"/>
      <c r="C2" s="240"/>
      <c r="D2" s="240"/>
      <c r="E2" s="240"/>
      <c r="F2" s="240"/>
      <c r="G2" s="240"/>
    </row>
    <row r="3" spans="1:13" ht="15.75" hidden="1" customHeight="1" x14ac:dyDescent="0.25">
      <c r="A3" s="240"/>
      <c r="B3" s="240"/>
      <c r="C3" s="62"/>
      <c r="D3" s="62"/>
      <c r="E3" s="123"/>
      <c r="F3" s="62"/>
      <c r="G3" s="62"/>
    </row>
    <row r="4" spans="1:13" ht="27.75" customHeight="1" x14ac:dyDescent="0.25">
      <c r="A4" s="241"/>
      <c r="B4" s="241"/>
      <c r="C4" s="241"/>
      <c r="D4" s="158"/>
      <c r="E4" s="241"/>
      <c r="F4" s="241"/>
      <c r="G4" s="64"/>
      <c r="H4" s="257" t="s">
        <v>180</v>
      </c>
      <c r="I4" s="258"/>
      <c r="J4" s="258"/>
      <c r="K4" s="258"/>
      <c r="L4" s="188"/>
    </row>
    <row r="5" spans="1:13" ht="7.5" customHeight="1" x14ac:dyDescent="0.25">
      <c r="A5" s="4"/>
      <c r="B5" s="4"/>
      <c r="C5" s="4"/>
      <c r="D5" s="122"/>
      <c r="E5" s="4"/>
      <c r="F5" s="4"/>
      <c r="G5" s="122"/>
    </row>
    <row r="6" spans="1:13" x14ac:dyDescent="0.25">
      <c r="A6" s="124"/>
      <c r="B6" s="124"/>
      <c r="C6" s="124"/>
      <c r="D6" s="124"/>
      <c r="E6" s="124"/>
      <c r="F6" s="124"/>
      <c r="G6" s="124"/>
    </row>
    <row r="7" spans="1:13" ht="15.75" x14ac:dyDescent="0.25">
      <c r="A7" s="275" t="s">
        <v>178</v>
      </c>
      <c r="B7" s="276"/>
      <c r="C7" s="276"/>
      <c r="D7" s="276"/>
      <c r="E7" s="276"/>
      <c r="F7" s="276"/>
      <c r="G7" s="258"/>
      <c r="H7" s="258"/>
      <c r="I7" s="258"/>
      <c r="J7" s="258"/>
      <c r="K7" s="258"/>
      <c r="L7" s="258"/>
      <c r="M7" s="258"/>
    </row>
    <row r="8" spans="1:13" ht="15.75" x14ac:dyDescent="0.25">
      <c r="A8" s="275" t="s">
        <v>99</v>
      </c>
      <c r="B8" s="276"/>
      <c r="C8" s="276"/>
      <c r="D8" s="276"/>
      <c r="E8" s="276"/>
      <c r="F8" s="276"/>
      <c r="G8" s="258"/>
      <c r="H8" s="258"/>
      <c r="I8" s="258"/>
      <c r="J8" s="258"/>
      <c r="K8" s="258"/>
      <c r="L8" s="258"/>
      <c r="M8" s="258"/>
    </row>
    <row r="9" spans="1:13" ht="12" customHeight="1" x14ac:dyDescent="0.25"/>
    <row r="10" spans="1:13" ht="7.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75" x14ac:dyDescent="0.25">
      <c r="A11" s="8" t="s">
        <v>218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17.25" customHeight="1" x14ac:dyDescent="0.25">
      <c r="A12" s="255" t="s">
        <v>153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</row>
    <row r="13" spans="1:13" ht="15.75" x14ac:dyDescent="0.25">
      <c r="A13" s="8" t="s">
        <v>81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75" x14ac:dyDescent="0.25">
      <c r="A14" s="8" t="s">
        <v>152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75" x14ac:dyDescent="0.25">
      <c r="A15" s="8" t="s">
        <v>147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51.75" customHeight="1" x14ac:dyDescent="0.25">
      <c r="A16" s="252" t="s">
        <v>90</v>
      </c>
      <c r="B16" s="252"/>
      <c r="C16" s="252"/>
      <c r="D16" s="252"/>
      <c r="E16" s="252"/>
      <c r="F16" s="9" t="s">
        <v>89</v>
      </c>
      <c r="G16" s="252" t="s">
        <v>91</v>
      </c>
      <c r="H16" s="252"/>
      <c r="I16" s="252"/>
      <c r="J16" s="252"/>
      <c r="K16" s="252"/>
      <c r="L16" s="189"/>
      <c r="M16" s="9" t="s">
        <v>89</v>
      </c>
    </row>
    <row r="17" spans="1:13" x14ac:dyDescent="0.25">
      <c r="A17" s="253" t="s">
        <v>127</v>
      </c>
      <c r="B17" s="253"/>
      <c r="C17" s="253"/>
      <c r="D17" s="253"/>
      <c r="E17" s="253"/>
      <c r="F17" s="315">
        <f>4.92*0.002</f>
        <v>9.8399999999999998E-3</v>
      </c>
      <c r="G17" s="254" t="s">
        <v>1</v>
      </c>
      <c r="H17" s="254"/>
      <c r="I17" s="254"/>
      <c r="J17" s="254"/>
      <c r="K17" s="254"/>
      <c r="L17" s="151">
        <v>1</v>
      </c>
      <c r="M17" s="151">
        <f>L17*0.002</f>
        <v>2E-3</v>
      </c>
    </row>
    <row r="18" spans="1:13" x14ac:dyDescent="0.25">
      <c r="A18" s="253" t="s">
        <v>128</v>
      </c>
      <c r="B18" s="253"/>
      <c r="C18" s="253"/>
      <c r="D18" s="253"/>
      <c r="E18" s="253"/>
      <c r="F18" s="315">
        <f>8.83*0.002</f>
        <v>1.7660000000000002E-2</v>
      </c>
      <c r="G18" s="246" t="s">
        <v>129</v>
      </c>
      <c r="H18" s="247"/>
      <c r="I18" s="247"/>
      <c r="J18" s="247"/>
      <c r="K18" s="248"/>
      <c r="L18" s="151">
        <v>4</v>
      </c>
      <c r="M18" s="151">
        <f t="shared" ref="M18:M40" si="0">L18*0.002</f>
        <v>8.0000000000000002E-3</v>
      </c>
    </row>
    <row r="19" spans="1:13" x14ac:dyDescent="0.25">
      <c r="A19" s="253"/>
      <c r="B19" s="253"/>
      <c r="C19" s="253"/>
      <c r="D19" s="253"/>
      <c r="E19" s="253"/>
      <c r="F19" s="315"/>
      <c r="G19" s="253" t="s">
        <v>130</v>
      </c>
      <c r="H19" s="253"/>
      <c r="I19" s="253"/>
      <c r="J19" s="253"/>
      <c r="K19" s="253"/>
      <c r="L19" s="151">
        <v>1</v>
      </c>
      <c r="M19" s="151">
        <f t="shared" si="0"/>
        <v>2E-3</v>
      </c>
    </row>
    <row r="20" spans="1:13" x14ac:dyDescent="0.25">
      <c r="A20" s="253"/>
      <c r="B20" s="253"/>
      <c r="C20" s="253"/>
      <c r="D20" s="253"/>
      <c r="E20" s="253"/>
      <c r="F20" s="315"/>
      <c r="G20" s="259" t="s">
        <v>97</v>
      </c>
      <c r="H20" s="260"/>
      <c r="I20" s="260"/>
      <c r="J20" s="260"/>
      <c r="K20" s="261"/>
      <c r="L20" s="151">
        <v>1</v>
      </c>
      <c r="M20" s="151">
        <f t="shared" si="0"/>
        <v>2E-3</v>
      </c>
    </row>
    <row r="21" spans="1:13" ht="15" customHeight="1" x14ac:dyDescent="0.25">
      <c r="A21" s="253"/>
      <c r="B21" s="253"/>
      <c r="C21" s="253"/>
      <c r="D21" s="253"/>
      <c r="E21" s="253"/>
      <c r="F21" s="315"/>
      <c r="G21" s="254" t="s">
        <v>131</v>
      </c>
      <c r="H21" s="254"/>
      <c r="I21" s="254"/>
      <c r="J21" s="254"/>
      <c r="K21" s="254"/>
      <c r="L21" s="151">
        <v>0.5</v>
      </c>
      <c r="M21" s="151">
        <f t="shared" si="0"/>
        <v>1E-3</v>
      </c>
    </row>
    <row r="22" spans="1:13" ht="15" customHeight="1" x14ac:dyDescent="0.25">
      <c r="A22" s="253"/>
      <c r="B22" s="253"/>
      <c r="C22" s="253"/>
      <c r="D22" s="253"/>
      <c r="E22" s="253"/>
      <c r="F22" s="315"/>
      <c r="G22" s="254" t="s">
        <v>95</v>
      </c>
      <c r="H22" s="254"/>
      <c r="I22" s="254"/>
      <c r="J22" s="254"/>
      <c r="K22" s="254"/>
      <c r="L22" s="152">
        <v>1</v>
      </c>
      <c r="M22" s="151">
        <f t="shared" si="0"/>
        <v>2E-3</v>
      </c>
    </row>
    <row r="23" spans="1:13" ht="15.75" customHeight="1" x14ac:dyDescent="0.25">
      <c r="A23" s="253"/>
      <c r="B23" s="253"/>
      <c r="C23" s="253"/>
      <c r="D23" s="253"/>
      <c r="E23" s="253"/>
      <c r="F23" s="315"/>
      <c r="G23" s="205" t="s">
        <v>132</v>
      </c>
      <c r="H23" s="205"/>
      <c r="I23" s="205"/>
      <c r="J23" s="205"/>
      <c r="K23" s="205"/>
      <c r="L23" s="152">
        <v>0.5</v>
      </c>
      <c r="M23" s="151">
        <f t="shared" si="0"/>
        <v>1E-3</v>
      </c>
    </row>
    <row r="24" spans="1:13" ht="15.75" hidden="1" customHeight="1" x14ac:dyDescent="0.25">
      <c r="A24" s="246"/>
      <c r="B24" s="247"/>
      <c r="C24" s="247"/>
      <c r="D24" s="247"/>
      <c r="E24" s="248"/>
      <c r="F24" s="315"/>
      <c r="G24" s="243"/>
      <c r="H24" s="244"/>
      <c r="I24" s="244"/>
      <c r="J24" s="244"/>
      <c r="K24" s="245"/>
      <c r="L24" s="152"/>
      <c r="M24" s="151">
        <f t="shared" si="0"/>
        <v>0</v>
      </c>
    </row>
    <row r="25" spans="1:13" ht="15.75" customHeight="1" x14ac:dyDescent="0.25">
      <c r="A25" s="246"/>
      <c r="B25" s="247"/>
      <c r="C25" s="247"/>
      <c r="D25" s="247"/>
      <c r="E25" s="248"/>
      <c r="F25" s="315"/>
      <c r="G25" s="243" t="s">
        <v>133</v>
      </c>
      <c r="H25" s="244"/>
      <c r="I25" s="244"/>
      <c r="J25" s="244"/>
      <c r="K25" s="245"/>
      <c r="L25" s="152">
        <v>1</v>
      </c>
      <c r="M25" s="151">
        <f t="shared" si="0"/>
        <v>2E-3</v>
      </c>
    </row>
    <row r="26" spans="1:13" ht="15.75" hidden="1" customHeight="1" x14ac:dyDescent="0.25">
      <c r="A26" s="246"/>
      <c r="B26" s="247"/>
      <c r="C26" s="247"/>
      <c r="D26" s="247"/>
      <c r="E26" s="248"/>
      <c r="F26" s="322"/>
      <c r="G26" s="243"/>
      <c r="H26" s="244"/>
      <c r="I26" s="244"/>
      <c r="J26" s="244"/>
      <c r="K26" s="245"/>
      <c r="L26" s="154"/>
      <c r="M26" s="151">
        <f t="shared" si="0"/>
        <v>0</v>
      </c>
    </row>
    <row r="27" spans="1:13" ht="15.75" customHeight="1" x14ac:dyDescent="0.25">
      <c r="A27" s="246"/>
      <c r="B27" s="247"/>
      <c r="C27" s="247"/>
      <c r="D27" s="247"/>
      <c r="E27" s="248"/>
      <c r="F27" s="322"/>
      <c r="G27" s="249" t="s">
        <v>134</v>
      </c>
      <c r="H27" s="250"/>
      <c r="I27" s="250"/>
      <c r="J27" s="250"/>
      <c r="K27" s="251"/>
      <c r="L27" s="154">
        <v>2</v>
      </c>
      <c r="M27" s="151">
        <f t="shared" si="0"/>
        <v>4.0000000000000001E-3</v>
      </c>
    </row>
    <row r="28" spans="1:13" ht="15.75" customHeight="1" x14ac:dyDescent="0.25">
      <c r="A28" s="246"/>
      <c r="B28" s="247"/>
      <c r="C28" s="247"/>
      <c r="D28" s="247"/>
      <c r="E28" s="248"/>
      <c r="F28" s="322"/>
      <c r="G28" s="243" t="s">
        <v>96</v>
      </c>
      <c r="H28" s="244"/>
      <c r="I28" s="244"/>
      <c r="J28" s="244"/>
      <c r="K28" s="245"/>
      <c r="L28" s="154">
        <v>1</v>
      </c>
      <c r="M28" s="151">
        <f t="shared" si="0"/>
        <v>2E-3</v>
      </c>
    </row>
    <row r="29" spans="1:13" ht="15" customHeight="1" x14ac:dyDescent="0.25">
      <c r="A29" s="242"/>
      <c r="B29" s="242"/>
      <c r="C29" s="242"/>
      <c r="D29" s="242"/>
      <c r="E29" s="242"/>
      <c r="F29" s="322"/>
      <c r="G29" s="205" t="s">
        <v>135</v>
      </c>
      <c r="H29" s="205"/>
      <c r="I29" s="205"/>
      <c r="J29" s="205"/>
      <c r="K29" s="205"/>
      <c r="L29" s="154">
        <v>4.75</v>
      </c>
      <c r="M29" s="151">
        <f t="shared" si="0"/>
        <v>9.4999999999999998E-3</v>
      </c>
    </row>
    <row r="30" spans="1:13" ht="15.75" customHeight="1" x14ac:dyDescent="0.25">
      <c r="A30" s="242"/>
      <c r="B30" s="242"/>
      <c r="C30" s="242"/>
      <c r="D30" s="242"/>
      <c r="E30" s="242"/>
      <c r="F30" s="322"/>
      <c r="G30" s="205" t="s">
        <v>136</v>
      </c>
      <c r="H30" s="205"/>
      <c r="I30" s="205"/>
      <c r="J30" s="205"/>
      <c r="K30" s="205"/>
      <c r="L30" s="154">
        <v>3.5</v>
      </c>
      <c r="M30" s="151">
        <f t="shared" si="0"/>
        <v>7.0000000000000001E-3</v>
      </c>
    </row>
    <row r="31" spans="1:13" x14ac:dyDescent="0.25">
      <c r="A31" s="214"/>
      <c r="B31" s="214"/>
      <c r="C31" s="214"/>
      <c r="D31" s="214"/>
      <c r="E31" s="214"/>
      <c r="F31" s="323"/>
      <c r="G31" s="205" t="s">
        <v>137</v>
      </c>
      <c r="H31" s="205"/>
      <c r="I31" s="205"/>
      <c r="J31" s="205"/>
      <c r="K31" s="205"/>
      <c r="L31" s="154">
        <v>2</v>
      </c>
      <c r="M31" s="151">
        <f t="shared" si="0"/>
        <v>4.0000000000000001E-3</v>
      </c>
    </row>
    <row r="32" spans="1:13" ht="27.75" customHeight="1" x14ac:dyDescent="0.25">
      <c r="A32" s="214"/>
      <c r="B32" s="214"/>
      <c r="C32" s="214"/>
      <c r="D32" s="214"/>
      <c r="E32" s="214"/>
      <c r="F32" s="323"/>
      <c r="G32" s="205" t="s">
        <v>138</v>
      </c>
      <c r="H32" s="205"/>
      <c r="I32" s="205"/>
      <c r="J32" s="205"/>
      <c r="K32" s="205"/>
      <c r="L32" s="154">
        <v>1</v>
      </c>
      <c r="M32" s="151">
        <f t="shared" si="0"/>
        <v>2E-3</v>
      </c>
    </row>
    <row r="33" spans="1:15" x14ac:dyDescent="0.25">
      <c r="A33" s="214"/>
      <c r="B33" s="214"/>
      <c r="C33" s="214"/>
      <c r="D33" s="214"/>
      <c r="E33" s="214"/>
      <c r="F33" s="323"/>
      <c r="G33" s="205" t="s">
        <v>139</v>
      </c>
      <c r="H33" s="205"/>
      <c r="I33" s="205"/>
      <c r="J33" s="205"/>
      <c r="K33" s="205"/>
      <c r="L33" s="154">
        <v>0.5</v>
      </c>
      <c r="M33" s="151">
        <f t="shared" si="0"/>
        <v>1E-3</v>
      </c>
    </row>
    <row r="34" spans="1:15" ht="12.75" customHeight="1" x14ac:dyDescent="0.25">
      <c r="A34" s="214"/>
      <c r="B34" s="214"/>
      <c r="C34" s="214"/>
      <c r="D34" s="214"/>
      <c r="E34" s="214"/>
      <c r="F34" s="323"/>
      <c r="G34" s="196" t="s">
        <v>140</v>
      </c>
      <c r="H34" s="197"/>
      <c r="I34" s="197"/>
      <c r="J34" s="197"/>
      <c r="K34" s="198"/>
      <c r="L34" s="154">
        <v>0.5</v>
      </c>
      <c r="M34" s="151">
        <f t="shared" si="0"/>
        <v>1E-3</v>
      </c>
    </row>
    <row r="35" spans="1:15" ht="15" customHeight="1" x14ac:dyDescent="0.25">
      <c r="A35" s="214"/>
      <c r="B35" s="214"/>
      <c r="C35" s="214"/>
      <c r="D35" s="214"/>
      <c r="E35" s="214"/>
      <c r="F35" s="323"/>
      <c r="G35" s="196" t="s">
        <v>141</v>
      </c>
      <c r="H35" s="197"/>
      <c r="I35" s="197"/>
      <c r="J35" s="197"/>
      <c r="K35" s="198"/>
      <c r="L35" s="154">
        <v>16</v>
      </c>
      <c r="M35" s="151">
        <f t="shared" si="0"/>
        <v>3.2000000000000001E-2</v>
      </c>
    </row>
    <row r="36" spans="1:15" x14ac:dyDescent="0.25">
      <c r="A36" s="229"/>
      <c r="B36" s="230"/>
      <c r="C36" s="230"/>
      <c r="D36" s="230"/>
      <c r="E36" s="231"/>
      <c r="F36" s="323"/>
      <c r="G36" s="246" t="s">
        <v>142</v>
      </c>
      <c r="H36" s="247"/>
      <c r="I36" s="247"/>
      <c r="J36" s="247"/>
      <c r="K36" s="273"/>
      <c r="L36" s="151">
        <v>2</v>
      </c>
      <c r="M36" s="151">
        <f t="shared" si="0"/>
        <v>4.0000000000000001E-3</v>
      </c>
    </row>
    <row r="37" spans="1:15" ht="15" customHeight="1" x14ac:dyDescent="0.25">
      <c r="A37" s="229"/>
      <c r="B37" s="230"/>
      <c r="C37" s="230"/>
      <c r="D37" s="230"/>
      <c r="E37" s="231"/>
      <c r="F37" s="323"/>
      <c r="G37" s="246" t="s">
        <v>143</v>
      </c>
      <c r="H37" s="247"/>
      <c r="I37" s="247"/>
      <c r="J37" s="247"/>
      <c r="K37" s="273"/>
      <c r="L37" s="151">
        <v>1</v>
      </c>
      <c r="M37" s="151">
        <f t="shared" si="0"/>
        <v>2E-3</v>
      </c>
    </row>
    <row r="38" spans="1:15" ht="15" customHeight="1" x14ac:dyDescent="0.25">
      <c r="A38" s="229"/>
      <c r="B38" s="230"/>
      <c r="C38" s="230"/>
      <c r="D38" s="230"/>
      <c r="E38" s="231"/>
      <c r="F38" s="323"/>
      <c r="G38" s="246" t="s">
        <v>144</v>
      </c>
      <c r="H38" s="247"/>
      <c r="I38" s="247"/>
      <c r="J38" s="247"/>
      <c r="K38" s="273"/>
      <c r="L38" s="151">
        <v>1</v>
      </c>
      <c r="M38" s="151">
        <f t="shared" si="0"/>
        <v>2E-3</v>
      </c>
    </row>
    <row r="39" spans="1:15" ht="15" customHeight="1" x14ac:dyDescent="0.25">
      <c r="A39" s="229"/>
      <c r="B39" s="230"/>
      <c r="C39" s="230"/>
      <c r="D39" s="230"/>
      <c r="E39" s="231"/>
      <c r="F39" s="323"/>
      <c r="G39" s="246" t="s">
        <v>145</v>
      </c>
      <c r="H39" s="247"/>
      <c r="I39" s="247"/>
      <c r="J39" s="247"/>
      <c r="K39" s="273"/>
      <c r="L39" s="154">
        <v>10</v>
      </c>
      <c r="M39" s="151">
        <f t="shared" si="0"/>
        <v>0.02</v>
      </c>
    </row>
    <row r="40" spans="1:15" ht="15" customHeight="1" x14ac:dyDescent="0.25">
      <c r="A40" s="224" t="s">
        <v>2</v>
      </c>
      <c r="B40" s="224"/>
      <c r="C40" s="224"/>
      <c r="D40" s="224"/>
      <c r="E40" s="224"/>
      <c r="F40" s="324">
        <f>SUM(F17:F35)</f>
        <v>2.7500000000000004E-2</v>
      </c>
      <c r="G40" s="262" t="s">
        <v>2</v>
      </c>
      <c r="H40" s="262"/>
      <c r="I40" s="262"/>
      <c r="J40" s="262"/>
      <c r="K40" s="262"/>
      <c r="L40" s="156">
        <f>SUM(L17:L39)</f>
        <v>55.25</v>
      </c>
      <c r="M40" s="324">
        <f t="shared" si="0"/>
        <v>0.1105</v>
      </c>
    </row>
    <row r="41" spans="1:15" ht="98.25" hidden="1" customHeight="1" x14ac:dyDescent="0.25">
      <c r="A41" s="224" t="s">
        <v>2</v>
      </c>
      <c r="B41" s="224"/>
      <c r="C41" s="224"/>
      <c r="D41" s="224"/>
      <c r="E41" s="100">
        <f>SUM(E17:E29)</f>
        <v>0</v>
      </c>
      <c r="F41" s="125"/>
      <c r="G41" s="225" t="s">
        <v>2</v>
      </c>
      <c r="H41" s="225"/>
      <c r="I41" s="225"/>
      <c r="J41" s="225"/>
      <c r="K41" s="225"/>
      <c r="L41" s="225"/>
      <c r="M41" s="225"/>
      <c r="N41" s="225"/>
      <c r="O41" s="125" t="e">
        <f>SUM(#REF!)</f>
        <v>#REF!</v>
      </c>
    </row>
    <row r="42" spans="1:15" hidden="1" x14ac:dyDescent="0.25">
      <c r="A42" s="220" t="s">
        <v>15</v>
      </c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5" hidden="1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</row>
    <row r="44" spans="1:15" ht="80.25" hidden="1" customHeight="1" x14ac:dyDescent="0.25">
      <c r="A44" s="221" t="s">
        <v>6</v>
      </c>
      <c r="B44" s="221"/>
      <c r="C44" s="221"/>
      <c r="D44" s="221"/>
      <c r="E44" s="21" t="s">
        <v>7</v>
      </c>
      <c r="F44" s="21" t="s">
        <v>8</v>
      </c>
      <c r="G44" s="21" t="s">
        <v>9</v>
      </c>
      <c r="H44" s="21" t="s">
        <v>10</v>
      </c>
      <c r="I44" s="21"/>
      <c r="J44" s="21" t="s">
        <v>11</v>
      </c>
      <c r="K44" s="21" t="s">
        <v>12</v>
      </c>
      <c r="L44" s="21"/>
      <c r="M44" s="21" t="s">
        <v>5</v>
      </c>
    </row>
    <row r="45" spans="1:15" ht="15" hidden="1" customHeight="1" x14ac:dyDescent="0.25">
      <c r="A45" s="222">
        <v>1</v>
      </c>
      <c r="B45" s="223"/>
      <c r="C45" s="223"/>
      <c r="D45" s="223"/>
      <c r="E45" s="21">
        <v>2</v>
      </c>
      <c r="F45" s="21">
        <v>3</v>
      </c>
      <c r="G45" s="21">
        <v>4</v>
      </c>
      <c r="H45" s="21" t="s">
        <v>48</v>
      </c>
      <c r="I45" s="21"/>
      <c r="J45" s="21">
        <v>6</v>
      </c>
      <c r="K45" s="21">
        <v>7</v>
      </c>
      <c r="L45" s="21"/>
      <c r="M45" s="21" t="s">
        <v>49</v>
      </c>
    </row>
    <row r="46" spans="1:15" ht="15" hidden="1" customHeight="1" x14ac:dyDescent="0.25">
      <c r="A46" s="274" t="s">
        <v>51</v>
      </c>
      <c r="B46" s="274"/>
      <c r="C46" s="274"/>
      <c r="D46" s="274"/>
      <c r="E46" s="22" t="s">
        <v>13</v>
      </c>
      <c r="F46" s="21">
        <v>7</v>
      </c>
      <c r="G46" s="22">
        <v>10</v>
      </c>
      <c r="H46" s="23">
        <f>F46/G46</f>
        <v>0.7</v>
      </c>
      <c r="I46" s="23"/>
      <c r="J46" s="21">
        <v>20</v>
      </c>
      <c r="K46" s="24">
        <v>7100</v>
      </c>
      <c r="L46" s="24"/>
      <c r="M46" s="24">
        <f>H46*K46</f>
        <v>4970</v>
      </c>
    </row>
    <row r="47" spans="1:15" ht="15" hidden="1" customHeight="1" x14ac:dyDescent="0.25">
      <c r="A47" s="274" t="s">
        <v>52</v>
      </c>
      <c r="B47" s="274"/>
      <c r="C47" s="274"/>
      <c r="D47" s="274"/>
      <c r="E47" s="22" t="s">
        <v>13</v>
      </c>
      <c r="F47" s="21">
        <v>1</v>
      </c>
      <c r="G47" s="22">
        <v>10</v>
      </c>
      <c r="H47" s="23">
        <f t="shared" ref="H47:H63" si="1">F47/G47</f>
        <v>0.1</v>
      </c>
      <c r="I47" s="23"/>
      <c r="J47" s="21">
        <v>20</v>
      </c>
      <c r="K47" s="24">
        <v>538700</v>
      </c>
      <c r="L47" s="24"/>
      <c r="M47" s="24">
        <f t="shared" ref="M47:M64" si="2">H47*K47</f>
        <v>53870</v>
      </c>
    </row>
    <row r="48" spans="1:15" ht="15" hidden="1" customHeight="1" x14ac:dyDescent="0.25">
      <c r="A48" s="274" t="s">
        <v>53</v>
      </c>
      <c r="B48" s="274"/>
      <c r="C48" s="274"/>
      <c r="D48" s="274"/>
      <c r="E48" s="22" t="s">
        <v>13</v>
      </c>
      <c r="F48" s="21">
        <v>1</v>
      </c>
      <c r="G48" s="22">
        <v>10</v>
      </c>
      <c r="H48" s="23">
        <f t="shared" si="1"/>
        <v>0.1</v>
      </c>
      <c r="I48" s="23"/>
      <c r="J48" s="21">
        <v>20</v>
      </c>
      <c r="K48" s="24">
        <v>380000</v>
      </c>
      <c r="L48" s="24"/>
      <c r="M48" s="24">
        <f t="shared" si="2"/>
        <v>38000</v>
      </c>
    </row>
    <row r="49" spans="1:13" ht="12.75" hidden="1" customHeight="1" x14ac:dyDescent="0.25">
      <c r="A49" s="274"/>
      <c r="B49" s="274"/>
      <c r="C49" s="274"/>
      <c r="D49" s="274"/>
      <c r="E49" s="22" t="s">
        <v>13</v>
      </c>
      <c r="F49" s="21"/>
      <c r="G49" s="22">
        <v>10</v>
      </c>
      <c r="H49" s="23">
        <f t="shared" si="1"/>
        <v>0</v>
      </c>
      <c r="I49" s="23"/>
      <c r="J49" s="21"/>
      <c r="K49" s="24"/>
      <c r="L49" s="24"/>
      <c r="M49" s="24">
        <f t="shared" si="2"/>
        <v>0</v>
      </c>
    </row>
    <row r="50" spans="1:13" ht="15" hidden="1" customHeight="1" x14ac:dyDescent="0.25">
      <c r="A50" s="274"/>
      <c r="B50" s="274"/>
      <c r="C50" s="274"/>
      <c r="D50" s="274"/>
      <c r="E50" s="22" t="s">
        <v>13</v>
      </c>
      <c r="F50" s="21"/>
      <c r="G50" s="22">
        <v>10</v>
      </c>
      <c r="H50" s="23">
        <f t="shared" si="1"/>
        <v>0</v>
      </c>
      <c r="I50" s="23"/>
      <c r="J50" s="21"/>
      <c r="K50" s="24"/>
      <c r="L50" s="24"/>
      <c r="M50" s="24">
        <f t="shared" si="2"/>
        <v>0</v>
      </c>
    </row>
    <row r="51" spans="1:13" ht="15" hidden="1" customHeight="1" x14ac:dyDescent="0.25">
      <c r="A51" s="266"/>
      <c r="B51" s="267"/>
      <c r="C51" s="267"/>
      <c r="D51" s="267"/>
      <c r="E51" s="22" t="s">
        <v>13</v>
      </c>
      <c r="F51" s="21"/>
      <c r="G51" s="22">
        <v>10</v>
      </c>
      <c r="H51" s="23">
        <f t="shared" si="1"/>
        <v>0</v>
      </c>
      <c r="I51" s="23"/>
      <c r="J51" s="21"/>
      <c r="K51" s="24"/>
      <c r="L51" s="24"/>
      <c r="M51" s="24">
        <f t="shared" si="2"/>
        <v>0</v>
      </c>
    </row>
    <row r="52" spans="1:13" ht="15" hidden="1" customHeight="1" x14ac:dyDescent="0.25">
      <c r="A52" s="266"/>
      <c r="B52" s="267"/>
      <c r="C52" s="267"/>
      <c r="D52" s="267"/>
      <c r="E52" s="22" t="s">
        <v>13</v>
      </c>
      <c r="F52" s="21"/>
      <c r="G52" s="22">
        <v>10</v>
      </c>
      <c r="H52" s="23">
        <f t="shared" si="1"/>
        <v>0</v>
      </c>
      <c r="I52" s="23"/>
      <c r="J52" s="21"/>
      <c r="K52" s="24"/>
      <c r="L52" s="24"/>
      <c r="M52" s="24">
        <f t="shared" si="2"/>
        <v>0</v>
      </c>
    </row>
    <row r="53" spans="1:13" ht="15" hidden="1" customHeight="1" x14ac:dyDescent="0.25">
      <c r="A53" s="266"/>
      <c r="B53" s="267"/>
      <c r="C53" s="267"/>
      <c r="D53" s="267"/>
      <c r="E53" s="22" t="s">
        <v>13</v>
      </c>
      <c r="F53" s="21"/>
      <c r="G53" s="22">
        <v>10</v>
      </c>
      <c r="H53" s="23">
        <f t="shared" si="1"/>
        <v>0</v>
      </c>
      <c r="I53" s="23"/>
      <c r="J53" s="21"/>
      <c r="K53" s="24"/>
      <c r="L53" s="24"/>
      <c r="M53" s="24">
        <f t="shared" si="2"/>
        <v>0</v>
      </c>
    </row>
    <row r="54" spans="1:13" ht="15" hidden="1" customHeight="1" x14ac:dyDescent="0.25">
      <c r="A54" s="266"/>
      <c r="B54" s="267"/>
      <c r="C54" s="267"/>
      <c r="D54" s="267"/>
      <c r="E54" s="22" t="s">
        <v>13</v>
      </c>
      <c r="F54" s="21"/>
      <c r="G54" s="22">
        <v>10</v>
      </c>
      <c r="H54" s="23">
        <f t="shared" si="1"/>
        <v>0</v>
      </c>
      <c r="I54" s="23"/>
      <c r="J54" s="21"/>
      <c r="K54" s="24"/>
      <c r="L54" s="24"/>
      <c r="M54" s="24">
        <f t="shared" si="2"/>
        <v>0</v>
      </c>
    </row>
    <row r="55" spans="1:13" ht="15" hidden="1" customHeight="1" x14ac:dyDescent="0.25">
      <c r="A55" s="266"/>
      <c r="B55" s="267"/>
      <c r="C55" s="267"/>
      <c r="D55" s="267"/>
      <c r="E55" s="22" t="s">
        <v>13</v>
      </c>
      <c r="F55" s="21"/>
      <c r="G55" s="22">
        <v>10</v>
      </c>
      <c r="H55" s="23">
        <f t="shared" si="1"/>
        <v>0</v>
      </c>
      <c r="I55" s="23"/>
      <c r="J55" s="21"/>
      <c r="K55" s="24"/>
      <c r="L55" s="24"/>
      <c r="M55" s="24">
        <f t="shared" si="2"/>
        <v>0</v>
      </c>
    </row>
    <row r="56" spans="1:13" hidden="1" x14ac:dyDescent="0.25">
      <c r="A56" s="238"/>
      <c r="B56" s="239"/>
      <c r="C56" s="239"/>
      <c r="D56" s="239"/>
      <c r="E56" s="22" t="s">
        <v>13</v>
      </c>
      <c r="F56" s="22"/>
      <c r="G56" s="22">
        <v>10</v>
      </c>
      <c r="H56" s="23">
        <f t="shared" si="1"/>
        <v>0</v>
      </c>
      <c r="I56" s="23"/>
      <c r="J56" s="22"/>
      <c r="K56" s="25"/>
      <c r="L56" s="25"/>
      <c r="M56" s="24">
        <f t="shared" si="2"/>
        <v>0</v>
      </c>
    </row>
    <row r="57" spans="1:13" hidden="1" x14ac:dyDescent="0.25">
      <c r="A57" s="238"/>
      <c r="B57" s="239"/>
      <c r="C57" s="239"/>
      <c r="D57" s="239"/>
      <c r="E57" s="22" t="s">
        <v>13</v>
      </c>
      <c r="F57" s="22"/>
      <c r="G57" s="22">
        <v>10</v>
      </c>
      <c r="H57" s="23">
        <f t="shared" si="1"/>
        <v>0</v>
      </c>
      <c r="I57" s="23"/>
      <c r="J57" s="22"/>
      <c r="K57" s="25"/>
      <c r="L57" s="25"/>
      <c r="M57" s="24">
        <f t="shared" si="2"/>
        <v>0</v>
      </c>
    </row>
    <row r="58" spans="1:13" hidden="1" x14ac:dyDescent="0.25">
      <c r="A58" s="238"/>
      <c r="B58" s="239"/>
      <c r="C58" s="239"/>
      <c r="D58" s="239"/>
      <c r="E58" s="22" t="s">
        <v>13</v>
      </c>
      <c r="F58" s="22"/>
      <c r="G58" s="22">
        <v>10</v>
      </c>
      <c r="H58" s="23">
        <f t="shared" si="1"/>
        <v>0</v>
      </c>
      <c r="I58" s="23"/>
      <c r="J58" s="22"/>
      <c r="K58" s="25"/>
      <c r="L58" s="25"/>
      <c r="M58" s="24">
        <f t="shared" si="2"/>
        <v>0</v>
      </c>
    </row>
    <row r="59" spans="1:13" hidden="1" x14ac:dyDescent="0.25">
      <c r="A59" s="238"/>
      <c r="B59" s="239"/>
      <c r="C59" s="239"/>
      <c r="D59" s="239"/>
      <c r="E59" s="22" t="s">
        <v>13</v>
      </c>
      <c r="F59" s="22"/>
      <c r="G59" s="22">
        <v>10</v>
      </c>
      <c r="H59" s="23">
        <f t="shared" si="1"/>
        <v>0</v>
      </c>
      <c r="I59" s="23"/>
      <c r="J59" s="22"/>
      <c r="K59" s="25"/>
      <c r="L59" s="25"/>
      <c r="M59" s="24">
        <f t="shared" si="2"/>
        <v>0</v>
      </c>
    </row>
    <row r="60" spans="1:13" hidden="1" x14ac:dyDescent="0.25">
      <c r="A60" s="238"/>
      <c r="B60" s="239"/>
      <c r="C60" s="239"/>
      <c r="D60" s="239"/>
      <c r="E60" s="22" t="s">
        <v>13</v>
      </c>
      <c r="F60" s="22"/>
      <c r="G60" s="22">
        <v>10</v>
      </c>
      <c r="H60" s="23">
        <f t="shared" si="1"/>
        <v>0</v>
      </c>
      <c r="I60" s="23"/>
      <c r="J60" s="22"/>
      <c r="K60" s="25"/>
      <c r="L60" s="25"/>
      <c r="M60" s="24">
        <f t="shared" si="2"/>
        <v>0</v>
      </c>
    </row>
    <row r="61" spans="1:13" hidden="1" x14ac:dyDescent="0.25">
      <c r="A61" s="238"/>
      <c r="B61" s="239"/>
      <c r="C61" s="239"/>
      <c r="D61" s="239"/>
      <c r="E61" s="22" t="s">
        <v>13</v>
      </c>
      <c r="F61" s="22"/>
      <c r="G61" s="22">
        <v>10</v>
      </c>
      <c r="H61" s="23">
        <f t="shared" si="1"/>
        <v>0</v>
      </c>
      <c r="I61" s="23"/>
      <c r="J61" s="22"/>
      <c r="K61" s="25"/>
      <c r="L61" s="25"/>
      <c r="M61" s="24">
        <f t="shared" si="2"/>
        <v>0</v>
      </c>
    </row>
    <row r="62" spans="1:13" hidden="1" x14ac:dyDescent="0.25">
      <c r="A62" s="238"/>
      <c r="B62" s="239"/>
      <c r="C62" s="239"/>
      <c r="D62" s="239"/>
      <c r="E62" s="22" t="s">
        <v>13</v>
      </c>
      <c r="F62" s="22"/>
      <c r="G62" s="22">
        <v>10</v>
      </c>
      <c r="H62" s="23">
        <f t="shared" si="1"/>
        <v>0</v>
      </c>
      <c r="I62" s="23"/>
      <c r="J62" s="22"/>
      <c r="K62" s="25"/>
      <c r="L62" s="25"/>
      <c r="M62" s="24">
        <f t="shared" si="2"/>
        <v>0</v>
      </c>
    </row>
    <row r="63" spans="1:13" hidden="1" x14ac:dyDescent="0.25">
      <c r="A63" s="238"/>
      <c r="B63" s="239"/>
      <c r="C63" s="239"/>
      <c r="D63" s="239"/>
      <c r="E63" s="22" t="s">
        <v>13</v>
      </c>
      <c r="F63" s="22"/>
      <c r="G63" s="22">
        <v>10</v>
      </c>
      <c r="H63" s="23">
        <f t="shared" si="1"/>
        <v>0</v>
      </c>
      <c r="I63" s="23"/>
      <c r="J63" s="22"/>
      <c r="K63" s="25"/>
      <c r="L63" s="25"/>
      <c r="M63" s="24">
        <f t="shared" si="2"/>
        <v>0</v>
      </c>
    </row>
    <row r="64" spans="1:13" hidden="1" x14ac:dyDescent="0.25">
      <c r="A64" s="232" t="s">
        <v>82</v>
      </c>
      <c r="B64" s="232"/>
      <c r="C64" s="232"/>
      <c r="D64" s="232"/>
      <c r="E64" s="22"/>
      <c r="F64" s="22"/>
      <c r="G64" s="22"/>
      <c r="H64" s="26"/>
      <c r="I64" s="26"/>
      <c r="J64" s="22"/>
      <c r="K64" s="25"/>
      <c r="L64" s="25"/>
      <c r="M64" s="25">
        <f t="shared" si="2"/>
        <v>0</v>
      </c>
    </row>
    <row r="65" spans="1:13" ht="9" hidden="1" customHeight="1" x14ac:dyDescent="0.25">
      <c r="A65" s="233" t="s">
        <v>14</v>
      </c>
      <c r="B65" s="234"/>
      <c r="C65" s="234"/>
      <c r="D65" s="234"/>
      <c r="E65" s="234"/>
      <c r="F65" s="234"/>
      <c r="G65" s="234"/>
      <c r="H65" s="234"/>
      <c r="I65" s="234"/>
      <c r="J65" s="234"/>
      <c r="K65" s="235"/>
      <c r="L65" s="190"/>
      <c r="M65" s="25">
        <f>M64+M48+M47+M46</f>
        <v>96840</v>
      </c>
    </row>
    <row r="66" spans="1:13" ht="20.25" customHeight="1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25">
      <c r="A67" s="202" t="s">
        <v>117</v>
      </c>
      <c r="B67" s="202"/>
      <c r="C67" s="202"/>
      <c r="D67" s="202"/>
      <c r="E67" s="202"/>
      <c r="F67" s="202"/>
      <c r="G67" s="202"/>
      <c r="H67" s="202"/>
      <c r="I67" s="202"/>
      <c r="J67" s="202"/>
      <c r="K67" s="202"/>
      <c r="L67" s="202"/>
      <c r="M67" s="202"/>
    </row>
    <row r="68" spans="1:13" ht="73.5" customHeight="1" x14ac:dyDescent="0.25">
      <c r="A68" s="218" t="s">
        <v>17</v>
      </c>
      <c r="B68" s="218"/>
      <c r="C68" s="218"/>
      <c r="D68" s="218"/>
      <c r="E68" s="9" t="s">
        <v>106</v>
      </c>
      <c r="F68" s="29" t="s">
        <v>75</v>
      </c>
      <c r="G68" s="9" t="s">
        <v>60</v>
      </c>
      <c r="H68" s="9" t="s">
        <v>68</v>
      </c>
      <c r="I68" s="9" t="s">
        <v>86</v>
      </c>
      <c r="J68" s="9" t="s">
        <v>93</v>
      </c>
      <c r="K68" s="11"/>
      <c r="L68" s="11"/>
      <c r="M68" s="11"/>
    </row>
    <row r="69" spans="1:13" ht="18.75" customHeight="1" x14ac:dyDescent="0.25">
      <c r="A69" s="236">
        <v>1</v>
      </c>
      <c r="B69" s="237"/>
      <c r="C69" s="237"/>
      <c r="D69" s="237"/>
      <c r="E69" s="9">
        <v>2</v>
      </c>
      <c r="F69" s="9">
        <v>3</v>
      </c>
      <c r="G69" s="30">
        <v>4</v>
      </c>
      <c r="H69" s="30">
        <v>5</v>
      </c>
      <c r="I69" s="31">
        <v>6</v>
      </c>
      <c r="J69" s="31" t="s">
        <v>65</v>
      </c>
      <c r="K69" s="11"/>
      <c r="L69" s="11"/>
      <c r="M69" s="32"/>
    </row>
    <row r="70" spans="1:13" x14ac:dyDescent="0.25">
      <c r="A70" s="268" t="s">
        <v>71</v>
      </c>
      <c r="B70" s="268"/>
      <c r="C70" s="268"/>
      <c r="D70" s="268"/>
      <c r="E70" s="34">
        <v>5</v>
      </c>
      <c r="F70" s="33">
        <v>12</v>
      </c>
      <c r="G70" s="47">
        <v>687.02</v>
      </c>
      <c r="H70" s="47">
        <f>41221.2*0.002</f>
        <v>82.442399999999992</v>
      </c>
      <c r="I70" s="65">
        <v>1</v>
      </c>
      <c r="J70" s="47">
        <f>H70/I70</f>
        <v>82.442399999999992</v>
      </c>
      <c r="K70" s="11"/>
      <c r="L70" s="11"/>
      <c r="M70" s="19"/>
    </row>
    <row r="71" spans="1:13" ht="15.75" thickBot="1" x14ac:dyDescent="0.3">
      <c r="A71" s="268" t="s">
        <v>83</v>
      </c>
      <c r="B71" s="268"/>
      <c r="C71" s="268"/>
      <c r="D71" s="268"/>
      <c r="E71" s="34">
        <v>1</v>
      </c>
      <c r="F71" s="34">
        <v>12</v>
      </c>
      <c r="G71" s="47">
        <v>3743.23</v>
      </c>
      <c r="H71" s="47">
        <f>44918.8*0.002</f>
        <v>89.837600000000009</v>
      </c>
      <c r="I71" s="65">
        <v>1</v>
      </c>
      <c r="J71" s="47">
        <f>H71/I71</f>
        <v>89.837600000000009</v>
      </c>
      <c r="K71" s="11"/>
      <c r="L71" s="11"/>
      <c r="M71" s="11"/>
    </row>
    <row r="72" spans="1:13" ht="15.75" thickBot="1" x14ac:dyDescent="0.3">
      <c r="A72" s="269" t="s">
        <v>29</v>
      </c>
      <c r="B72" s="270"/>
      <c r="C72" s="270"/>
      <c r="D72" s="270"/>
      <c r="E72" s="75"/>
      <c r="F72" s="75"/>
      <c r="G72" s="75"/>
      <c r="H72" s="92">
        <f>SUM(H70:H71)</f>
        <v>172.28</v>
      </c>
      <c r="I72" s="68"/>
      <c r="J72" s="76">
        <f>SUM(J70:J71)</f>
        <v>172.28</v>
      </c>
      <c r="K72" s="11"/>
      <c r="L72" s="11"/>
      <c r="M72" s="11"/>
    </row>
    <row r="73" spans="1:13" ht="15" customHeight="1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x14ac:dyDescent="0.25">
      <c r="A74" s="202" t="s">
        <v>16</v>
      </c>
      <c r="B74" s="202"/>
      <c r="C74" s="202"/>
      <c r="D74" s="202"/>
      <c r="E74" s="202"/>
      <c r="F74" s="202"/>
      <c r="G74" s="202"/>
      <c r="H74" s="202"/>
      <c r="I74" s="202"/>
      <c r="J74" s="202"/>
      <c r="K74" s="202"/>
      <c r="L74" s="202"/>
      <c r="M74" s="202"/>
    </row>
    <row r="75" spans="1:13" ht="73.5" customHeight="1" x14ac:dyDescent="0.25">
      <c r="A75" s="218" t="s">
        <v>17</v>
      </c>
      <c r="B75" s="218"/>
      <c r="C75" s="218"/>
      <c r="D75" s="218"/>
      <c r="E75" s="9" t="s">
        <v>7</v>
      </c>
      <c r="F75" s="29" t="s">
        <v>75</v>
      </c>
      <c r="G75" s="9" t="s">
        <v>60</v>
      </c>
      <c r="H75" s="9" t="s">
        <v>68</v>
      </c>
      <c r="I75" s="9" t="s">
        <v>86</v>
      </c>
      <c r="J75" s="9" t="s">
        <v>93</v>
      </c>
      <c r="K75" s="11"/>
      <c r="L75" s="11"/>
      <c r="M75" s="11"/>
    </row>
    <row r="76" spans="1:13" ht="18.75" customHeight="1" x14ac:dyDescent="0.25">
      <c r="A76" s="236">
        <v>1</v>
      </c>
      <c r="B76" s="237"/>
      <c r="C76" s="237"/>
      <c r="D76" s="237"/>
      <c r="E76" s="9">
        <v>2</v>
      </c>
      <c r="F76" s="9">
        <v>3</v>
      </c>
      <c r="G76" s="30">
        <v>4</v>
      </c>
      <c r="H76" s="30">
        <v>5</v>
      </c>
      <c r="I76" s="31">
        <v>6</v>
      </c>
      <c r="J76" s="31" t="s">
        <v>65</v>
      </c>
      <c r="K76" s="11"/>
      <c r="L76" s="11"/>
      <c r="M76" s="32"/>
    </row>
    <row r="77" spans="1:13" x14ac:dyDescent="0.25">
      <c r="A77" s="268" t="s">
        <v>23</v>
      </c>
      <c r="B77" s="268"/>
      <c r="C77" s="268"/>
      <c r="D77" s="268"/>
      <c r="E77" s="34" t="s">
        <v>26</v>
      </c>
      <c r="F77" s="33">
        <v>123860</v>
      </c>
      <c r="G77" s="47">
        <v>6.62</v>
      </c>
      <c r="H77" s="47">
        <f>820000*0.002</f>
        <v>1640</v>
      </c>
      <c r="I77" s="65">
        <v>1</v>
      </c>
      <c r="J77" s="47">
        <f>H77/I77</f>
        <v>1640</v>
      </c>
      <c r="K77" s="11"/>
      <c r="L77" s="11"/>
      <c r="M77" s="19"/>
    </row>
    <row r="78" spans="1:13" x14ac:dyDescent="0.25">
      <c r="A78" s="268" t="s">
        <v>24</v>
      </c>
      <c r="B78" s="268"/>
      <c r="C78" s="268"/>
      <c r="D78" s="268"/>
      <c r="E78" s="34" t="s">
        <v>27</v>
      </c>
      <c r="F78" s="34">
        <v>660</v>
      </c>
      <c r="G78" s="47">
        <v>1618.59</v>
      </c>
      <c r="H78" s="47">
        <f>1259700*0.002</f>
        <v>2519.4</v>
      </c>
      <c r="I78" s="65">
        <v>1</v>
      </c>
      <c r="J78" s="47">
        <f>H78/I78</f>
        <v>2519.4</v>
      </c>
      <c r="K78" s="11"/>
      <c r="L78" s="11"/>
      <c r="M78" s="11"/>
    </row>
    <row r="79" spans="1:13" x14ac:dyDescent="0.25">
      <c r="A79" s="268" t="s">
        <v>69</v>
      </c>
      <c r="B79" s="268"/>
      <c r="C79" s="268"/>
      <c r="D79" s="268"/>
      <c r="E79" s="34" t="s">
        <v>28</v>
      </c>
      <c r="F79" s="34">
        <v>2600</v>
      </c>
      <c r="G79" s="47">
        <v>39.22</v>
      </c>
      <c r="H79" s="47">
        <f>150000*0.002</f>
        <v>300</v>
      </c>
      <c r="I79" s="65">
        <v>1</v>
      </c>
      <c r="J79" s="47">
        <f>H79/I79</f>
        <v>300</v>
      </c>
      <c r="K79" s="11"/>
      <c r="L79" s="11"/>
      <c r="M79" s="11"/>
    </row>
    <row r="80" spans="1:13" ht="15.75" thickBot="1" x14ac:dyDescent="0.3">
      <c r="A80" s="272" t="s">
        <v>25</v>
      </c>
      <c r="B80" s="272"/>
      <c r="C80" s="272"/>
      <c r="D80" s="272"/>
      <c r="E80" s="74" t="s">
        <v>28</v>
      </c>
      <c r="F80" s="34">
        <v>2800</v>
      </c>
      <c r="G80" s="67">
        <v>53.32</v>
      </c>
      <c r="H80" s="67">
        <f>165500*0.002</f>
        <v>331</v>
      </c>
      <c r="I80" s="65">
        <v>1</v>
      </c>
      <c r="J80" s="67">
        <f>H80/I80</f>
        <v>331</v>
      </c>
      <c r="K80" s="11"/>
      <c r="L80" s="11"/>
      <c r="M80" s="11"/>
    </row>
    <row r="81" spans="1:13" ht="15.75" thickBot="1" x14ac:dyDescent="0.3">
      <c r="A81" s="269" t="s">
        <v>29</v>
      </c>
      <c r="B81" s="270"/>
      <c r="C81" s="270"/>
      <c r="D81" s="270"/>
      <c r="E81" s="75"/>
      <c r="F81" s="75"/>
      <c r="G81" s="75"/>
      <c r="H81" s="92">
        <f>SUM(H77:H80)</f>
        <v>4790.3999999999996</v>
      </c>
      <c r="I81" s="68"/>
      <c r="J81" s="76">
        <f>SUM(J77:J80)</f>
        <v>4790.3999999999996</v>
      </c>
      <c r="K81" s="11"/>
      <c r="L81" s="11"/>
      <c r="M81" s="11"/>
    </row>
    <row r="82" spans="1:13" ht="18" customHeight="1" x14ac:dyDescent="0.25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11"/>
      <c r="L82" s="11"/>
      <c r="M82" s="11"/>
    </row>
    <row r="83" spans="1:13" x14ac:dyDescent="0.25">
      <c r="A83" s="202" t="s">
        <v>30</v>
      </c>
      <c r="B83" s="202"/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</row>
    <row r="84" spans="1:13" ht="90" x14ac:dyDescent="0.25">
      <c r="A84" s="271" t="s">
        <v>32</v>
      </c>
      <c r="B84" s="271"/>
      <c r="C84" s="271"/>
      <c r="D84" s="271"/>
      <c r="E84" s="30" t="s">
        <v>7</v>
      </c>
      <c r="F84" s="30" t="s">
        <v>18</v>
      </c>
      <c r="G84" s="9" t="s">
        <v>68</v>
      </c>
      <c r="H84" s="9" t="s">
        <v>103</v>
      </c>
      <c r="I84" s="9" t="s">
        <v>93</v>
      </c>
      <c r="J84" s="11"/>
      <c r="K84" s="11"/>
      <c r="L84" s="11"/>
    </row>
    <row r="85" spans="1:13" ht="15" customHeight="1" x14ac:dyDescent="0.25">
      <c r="A85" s="263" t="s">
        <v>155</v>
      </c>
      <c r="B85" s="264"/>
      <c r="C85" s="264"/>
      <c r="D85" s="265"/>
      <c r="E85" s="71" t="s">
        <v>31</v>
      </c>
      <c r="F85" s="30">
        <v>1</v>
      </c>
      <c r="G85" s="9">
        <f>38400*0.002</f>
        <v>76.8</v>
      </c>
      <c r="H85" s="65">
        <v>1</v>
      </c>
      <c r="I85" s="139">
        <f>G85/H85</f>
        <v>76.8</v>
      </c>
      <c r="J85" s="11"/>
      <c r="K85" s="11"/>
      <c r="L85" s="11"/>
    </row>
    <row r="86" spans="1:13" ht="15" customHeight="1" x14ac:dyDescent="0.25">
      <c r="A86" s="263" t="s">
        <v>156</v>
      </c>
      <c r="B86" s="264"/>
      <c r="C86" s="264"/>
      <c r="D86" s="265"/>
      <c r="E86" s="71" t="s">
        <v>31</v>
      </c>
      <c r="F86" s="71">
        <v>1</v>
      </c>
      <c r="G86" s="104">
        <f>160000*0.002</f>
        <v>320</v>
      </c>
      <c r="H86" s="65">
        <v>1</v>
      </c>
      <c r="I86" s="139">
        <f>G86/H86</f>
        <v>320</v>
      </c>
      <c r="J86" s="11"/>
      <c r="K86" s="11"/>
      <c r="L86" s="11"/>
    </row>
    <row r="87" spans="1:13" ht="15" customHeight="1" x14ac:dyDescent="0.25">
      <c r="A87" s="263" t="s">
        <v>157</v>
      </c>
      <c r="B87" s="264"/>
      <c r="C87" s="264"/>
      <c r="D87" s="265"/>
      <c r="E87" s="71" t="s">
        <v>31</v>
      </c>
      <c r="F87" s="71">
        <v>1</v>
      </c>
      <c r="G87" s="104">
        <f>99000*0.002</f>
        <v>198</v>
      </c>
      <c r="H87" s="65">
        <v>1</v>
      </c>
      <c r="I87" s="139">
        <f t="shared" ref="I87:I95" si="3">G87/H87</f>
        <v>198</v>
      </c>
      <c r="J87" s="11"/>
      <c r="K87" s="11"/>
      <c r="L87" s="11"/>
    </row>
    <row r="88" spans="1:13" ht="15" customHeight="1" x14ac:dyDescent="0.25">
      <c r="A88" s="263" t="s">
        <v>158</v>
      </c>
      <c r="B88" s="264"/>
      <c r="C88" s="264"/>
      <c r="D88" s="265"/>
      <c r="E88" s="71" t="s">
        <v>31</v>
      </c>
      <c r="F88" s="71">
        <v>1</v>
      </c>
      <c r="G88" s="104">
        <f>9600*0.002</f>
        <v>19.2</v>
      </c>
      <c r="H88" s="65">
        <v>1</v>
      </c>
      <c r="I88" s="139">
        <f t="shared" si="3"/>
        <v>19.2</v>
      </c>
      <c r="J88" s="11"/>
      <c r="K88" s="11"/>
      <c r="L88" s="11"/>
    </row>
    <row r="89" spans="1:13" ht="15" customHeight="1" x14ac:dyDescent="0.25">
      <c r="A89" s="263" t="s">
        <v>102</v>
      </c>
      <c r="B89" s="264"/>
      <c r="C89" s="264"/>
      <c r="D89" s="265"/>
      <c r="E89" s="71" t="s">
        <v>31</v>
      </c>
      <c r="F89" s="71">
        <v>1</v>
      </c>
      <c r="G89" s="104">
        <f>3300*0.002</f>
        <v>6.6000000000000005</v>
      </c>
      <c r="H89" s="65">
        <v>1</v>
      </c>
      <c r="I89" s="139">
        <f t="shared" si="3"/>
        <v>6.6000000000000005</v>
      </c>
      <c r="J89" s="11"/>
      <c r="K89" s="11"/>
      <c r="L89" s="11"/>
    </row>
    <row r="90" spans="1:13" ht="15" customHeight="1" x14ac:dyDescent="0.25">
      <c r="A90" s="210" t="s">
        <v>159</v>
      </c>
      <c r="B90" s="211"/>
      <c r="C90" s="211"/>
      <c r="D90" s="219"/>
      <c r="E90" s="71" t="s">
        <v>31</v>
      </c>
      <c r="F90" s="71">
        <v>1</v>
      </c>
      <c r="G90" s="47">
        <f>32500*0.002</f>
        <v>65</v>
      </c>
      <c r="H90" s="65">
        <v>1</v>
      </c>
      <c r="I90" s="139">
        <f t="shared" si="3"/>
        <v>65</v>
      </c>
      <c r="J90" s="11"/>
      <c r="K90" s="11"/>
      <c r="L90" s="11"/>
    </row>
    <row r="91" spans="1:13" ht="28.5" customHeight="1" x14ac:dyDescent="0.25">
      <c r="A91" s="263" t="s">
        <v>160</v>
      </c>
      <c r="B91" s="264"/>
      <c r="C91" s="264"/>
      <c r="D91" s="265"/>
      <c r="E91" s="71" t="s">
        <v>31</v>
      </c>
      <c r="F91" s="71">
        <v>1</v>
      </c>
      <c r="G91" s="89">
        <f>51600*0.002</f>
        <v>103.2</v>
      </c>
      <c r="H91" s="65">
        <v>1</v>
      </c>
      <c r="I91" s="139">
        <f t="shared" si="3"/>
        <v>103.2</v>
      </c>
      <c r="J91" s="11"/>
      <c r="K91" s="18"/>
      <c r="L91" s="18"/>
    </row>
    <row r="92" spans="1:13" ht="16.5" customHeight="1" x14ac:dyDescent="0.25">
      <c r="A92" s="102" t="s">
        <v>161</v>
      </c>
      <c r="B92" s="103"/>
      <c r="C92" s="103"/>
      <c r="D92" s="103"/>
      <c r="E92" s="71" t="s">
        <v>31</v>
      </c>
      <c r="F92" s="71">
        <v>1</v>
      </c>
      <c r="G92" s="47">
        <f>3200*0.002</f>
        <v>6.4</v>
      </c>
      <c r="H92" s="65">
        <v>1</v>
      </c>
      <c r="I92" s="139">
        <f t="shared" si="3"/>
        <v>6.4</v>
      </c>
      <c r="J92" s="11"/>
      <c r="K92" s="11"/>
      <c r="L92" s="11"/>
    </row>
    <row r="93" spans="1:13" ht="15" customHeight="1" x14ac:dyDescent="0.25">
      <c r="A93" s="102" t="s">
        <v>162</v>
      </c>
      <c r="B93" s="103"/>
      <c r="C93" s="103"/>
      <c r="D93" s="103"/>
      <c r="E93" s="71" t="s">
        <v>31</v>
      </c>
      <c r="F93" s="71">
        <v>1</v>
      </c>
      <c r="G93" s="47">
        <f>30000*0.002</f>
        <v>60</v>
      </c>
      <c r="H93" s="65">
        <v>1</v>
      </c>
      <c r="I93" s="139">
        <f t="shared" si="3"/>
        <v>60</v>
      </c>
      <c r="J93" s="11"/>
      <c r="K93" s="11"/>
      <c r="L93" s="11"/>
    </row>
    <row r="94" spans="1:13" ht="15" customHeight="1" x14ac:dyDescent="0.25">
      <c r="A94" s="210" t="s">
        <v>163</v>
      </c>
      <c r="B94" s="211"/>
      <c r="C94" s="211"/>
      <c r="D94" s="219"/>
      <c r="E94" s="71" t="s">
        <v>31</v>
      </c>
      <c r="F94" s="71">
        <v>1</v>
      </c>
      <c r="G94" s="67">
        <f>24000*0.002</f>
        <v>48</v>
      </c>
      <c r="H94" s="65">
        <v>1</v>
      </c>
      <c r="I94" s="139">
        <f t="shared" si="3"/>
        <v>48</v>
      </c>
      <c r="J94" s="11"/>
      <c r="K94" s="11"/>
      <c r="L94" s="11"/>
    </row>
    <row r="95" spans="1:13" s="1" customFormat="1" ht="15" customHeight="1" thickBot="1" x14ac:dyDescent="0.3">
      <c r="A95" s="210" t="s">
        <v>164</v>
      </c>
      <c r="B95" s="211"/>
      <c r="C95" s="211"/>
      <c r="D95" s="219"/>
      <c r="E95" s="71" t="s">
        <v>31</v>
      </c>
      <c r="F95" s="71">
        <v>1</v>
      </c>
      <c r="G95" s="67">
        <f>25000*0.002</f>
        <v>50</v>
      </c>
      <c r="H95" s="65">
        <v>1</v>
      </c>
      <c r="I95" s="139">
        <f t="shared" si="3"/>
        <v>50</v>
      </c>
      <c r="J95" s="13"/>
      <c r="K95" s="13"/>
      <c r="L95" s="13"/>
    </row>
    <row r="96" spans="1:13" ht="15" customHeight="1" thickBot="1" x14ac:dyDescent="0.3">
      <c r="A96" s="149" t="s">
        <v>74</v>
      </c>
      <c r="B96" s="150"/>
      <c r="C96" s="150"/>
      <c r="D96" s="150"/>
      <c r="E96" s="150"/>
      <c r="F96" s="150"/>
      <c r="G96" s="93">
        <f>SUM(G85:G95)</f>
        <v>953.2</v>
      </c>
      <c r="I96" s="39">
        <f>SUM(I85:I95)</f>
        <v>953.2</v>
      </c>
      <c r="K96" s="11"/>
      <c r="L96" s="11"/>
      <c r="M96" s="11"/>
    </row>
    <row r="97" spans="1:13" ht="18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ht="15" customHeight="1" x14ac:dyDescent="0.25">
      <c r="A98" s="202" t="s">
        <v>70</v>
      </c>
      <c r="B98" s="202"/>
      <c r="C98" s="202"/>
      <c r="D98" s="202"/>
      <c r="E98" s="202"/>
      <c r="F98" s="202"/>
      <c r="G98" s="202"/>
      <c r="H98" s="202"/>
      <c r="I98" s="202"/>
      <c r="J98" s="202"/>
      <c r="K98" s="202"/>
      <c r="L98" s="202"/>
      <c r="M98" s="202"/>
    </row>
    <row r="99" spans="1:13" ht="90" x14ac:dyDescent="0.25">
      <c r="A99" s="193" t="s">
        <v>32</v>
      </c>
      <c r="B99" s="194"/>
      <c r="C99" s="194"/>
      <c r="D99" s="194"/>
      <c r="E99" s="30" t="s">
        <v>7</v>
      </c>
      <c r="F99" s="9" t="s">
        <v>77</v>
      </c>
      <c r="G99" s="9" t="s">
        <v>68</v>
      </c>
      <c r="H99" s="9" t="s">
        <v>103</v>
      </c>
      <c r="I99" s="9" t="s">
        <v>93</v>
      </c>
      <c r="J99" s="11"/>
      <c r="K99" s="11"/>
      <c r="L99" s="11"/>
      <c r="M99" s="11"/>
    </row>
    <row r="100" spans="1:13" ht="15" customHeight="1" x14ac:dyDescent="0.25">
      <c r="A100" s="196" t="s">
        <v>166</v>
      </c>
      <c r="B100" s="197"/>
      <c r="C100" s="197"/>
      <c r="D100" s="197"/>
      <c r="E100" s="71" t="s">
        <v>31</v>
      </c>
      <c r="F100" s="71">
        <v>1</v>
      </c>
      <c r="G100" s="104">
        <f>9400*0.002</f>
        <v>18.8</v>
      </c>
      <c r="H100" s="65">
        <v>1</v>
      </c>
      <c r="I100" s="140">
        <f>G100/H100</f>
        <v>18.8</v>
      </c>
      <c r="J100" s="11"/>
      <c r="K100" s="11"/>
      <c r="L100" s="11"/>
      <c r="M100" s="11"/>
    </row>
    <row r="101" spans="1:13" ht="15" customHeight="1" x14ac:dyDescent="0.25">
      <c r="A101" s="196" t="s">
        <v>167</v>
      </c>
      <c r="B101" s="197"/>
      <c r="C101" s="197"/>
      <c r="D101" s="197"/>
      <c r="E101" s="71" t="s">
        <v>31</v>
      </c>
      <c r="F101" s="71">
        <v>1</v>
      </c>
      <c r="G101" s="104">
        <f>34580*0.002</f>
        <v>69.16</v>
      </c>
      <c r="H101" s="65">
        <v>1</v>
      </c>
      <c r="I101" s="140">
        <f t="shared" ref="I101:I106" si="4">G101/H101</f>
        <v>69.16</v>
      </c>
      <c r="J101" s="11"/>
      <c r="K101" s="11"/>
      <c r="L101" s="11"/>
      <c r="M101" s="11"/>
    </row>
    <row r="102" spans="1:13" ht="15" customHeight="1" x14ac:dyDescent="0.25">
      <c r="A102" s="196" t="s">
        <v>168</v>
      </c>
      <c r="B102" s="197"/>
      <c r="C102" s="197"/>
      <c r="D102" s="197"/>
      <c r="E102" s="71" t="s">
        <v>31</v>
      </c>
      <c r="F102" s="71">
        <v>1</v>
      </c>
      <c r="G102" s="104">
        <f>110960*0.002</f>
        <v>221.92000000000002</v>
      </c>
      <c r="H102" s="65">
        <v>1</v>
      </c>
      <c r="I102" s="140">
        <f t="shared" si="4"/>
        <v>221.92000000000002</v>
      </c>
      <c r="J102" s="11"/>
      <c r="K102" s="11"/>
      <c r="L102" s="11"/>
      <c r="M102" s="11"/>
    </row>
    <row r="103" spans="1:13" ht="15" customHeight="1" x14ac:dyDescent="0.25">
      <c r="A103" s="196" t="s">
        <v>169</v>
      </c>
      <c r="B103" s="197"/>
      <c r="C103" s="197"/>
      <c r="D103" s="197"/>
      <c r="E103" s="71" t="s">
        <v>31</v>
      </c>
      <c r="F103" s="71">
        <v>1</v>
      </c>
      <c r="G103" s="104">
        <f>10120*0.002</f>
        <v>20.240000000000002</v>
      </c>
      <c r="H103" s="65">
        <v>1</v>
      </c>
      <c r="I103" s="140">
        <f t="shared" si="4"/>
        <v>20.240000000000002</v>
      </c>
      <c r="J103" s="11"/>
      <c r="K103" s="11"/>
      <c r="L103" s="11"/>
      <c r="M103" s="11"/>
    </row>
    <row r="104" spans="1:13" ht="15" customHeight="1" x14ac:dyDescent="0.25">
      <c r="A104" s="196" t="s">
        <v>170</v>
      </c>
      <c r="B104" s="197"/>
      <c r="C104" s="197"/>
      <c r="D104" s="197"/>
      <c r="E104" s="71" t="s">
        <v>31</v>
      </c>
      <c r="F104" s="71">
        <v>1</v>
      </c>
      <c r="G104" s="104">
        <f>113400*0.002</f>
        <v>226.8</v>
      </c>
      <c r="H104" s="65">
        <v>1</v>
      </c>
      <c r="I104" s="140">
        <f t="shared" si="4"/>
        <v>226.8</v>
      </c>
      <c r="J104" s="11"/>
      <c r="K104" s="11"/>
      <c r="L104" s="11"/>
      <c r="M104" s="11"/>
    </row>
    <row r="105" spans="1:13" ht="18" customHeight="1" x14ac:dyDescent="0.25">
      <c r="A105" s="196" t="s">
        <v>171</v>
      </c>
      <c r="B105" s="197"/>
      <c r="C105" s="197"/>
      <c r="D105" s="197"/>
      <c r="E105" s="71" t="s">
        <v>31</v>
      </c>
      <c r="F105" s="71">
        <v>1</v>
      </c>
      <c r="G105" s="89">
        <f>15000*0.002</f>
        <v>30</v>
      </c>
      <c r="H105" s="65">
        <v>1</v>
      </c>
      <c r="I105" s="140">
        <f t="shared" si="4"/>
        <v>30</v>
      </c>
      <c r="J105" s="11"/>
      <c r="K105" s="11"/>
      <c r="L105" s="11"/>
      <c r="M105" s="11"/>
    </row>
    <row r="106" spans="1:13" ht="28.5" customHeight="1" thickBot="1" x14ac:dyDescent="0.3">
      <c r="A106" s="196" t="s">
        <v>172</v>
      </c>
      <c r="B106" s="197"/>
      <c r="C106" s="197"/>
      <c r="D106" s="197"/>
      <c r="E106" s="71" t="s">
        <v>31</v>
      </c>
      <c r="F106" s="71">
        <v>1</v>
      </c>
      <c r="G106" s="89">
        <f>14400*0.002</f>
        <v>28.8</v>
      </c>
      <c r="H106" s="65">
        <v>1</v>
      </c>
      <c r="I106" s="140">
        <f t="shared" si="4"/>
        <v>28.8</v>
      </c>
      <c r="J106" s="11"/>
      <c r="K106" s="11"/>
      <c r="L106" s="11"/>
      <c r="M106" s="11"/>
    </row>
    <row r="107" spans="1:13" ht="15.75" hidden="1" customHeight="1" thickBot="1" x14ac:dyDescent="0.3">
      <c r="F107" s="95"/>
      <c r="H107" s="65">
        <v>5231</v>
      </c>
      <c r="I107" s="96"/>
      <c r="J107" s="11"/>
      <c r="K107" s="11"/>
      <c r="L107" s="11"/>
      <c r="M107" s="11"/>
    </row>
    <row r="108" spans="1:13" ht="14.25" hidden="1" customHeight="1" x14ac:dyDescent="0.25">
      <c r="F108" s="29"/>
      <c r="G108" s="80"/>
      <c r="H108" s="65"/>
      <c r="I108" s="72"/>
      <c r="J108" s="11"/>
      <c r="K108" s="11"/>
      <c r="L108" s="11"/>
      <c r="M108" s="11"/>
    </row>
    <row r="109" spans="1:13" ht="16.5" hidden="1" customHeight="1" x14ac:dyDescent="0.25">
      <c r="A109" s="196"/>
      <c r="B109" s="197"/>
      <c r="C109" s="197"/>
      <c r="D109" s="197"/>
      <c r="E109" s="148"/>
      <c r="F109" s="29"/>
      <c r="G109" s="78"/>
      <c r="H109" s="65">
        <v>3260</v>
      </c>
      <c r="I109" s="72">
        <f t="shared" ref="I109:I110" si="5">G109/H109</f>
        <v>0</v>
      </c>
      <c r="J109" s="11"/>
      <c r="K109" s="11"/>
      <c r="L109" s="11"/>
      <c r="M109" s="11"/>
    </row>
    <row r="110" spans="1:13" ht="17.25" hidden="1" customHeight="1" x14ac:dyDescent="0.25">
      <c r="A110" s="196"/>
      <c r="B110" s="197"/>
      <c r="C110" s="197"/>
      <c r="D110" s="197"/>
      <c r="E110" s="148"/>
      <c r="F110" s="79"/>
      <c r="G110" s="47"/>
      <c r="H110" s="65">
        <v>3260</v>
      </c>
      <c r="I110" s="72">
        <f t="shared" si="5"/>
        <v>0</v>
      </c>
      <c r="J110" s="11"/>
      <c r="K110" s="11"/>
      <c r="L110" s="11"/>
      <c r="M110" s="11"/>
    </row>
    <row r="111" spans="1:13" ht="20.25" customHeight="1" thickBot="1" x14ac:dyDescent="0.3">
      <c r="A111" s="215" t="s">
        <v>73</v>
      </c>
      <c r="B111" s="216"/>
      <c r="C111" s="216"/>
      <c r="D111" s="216"/>
      <c r="E111" s="126"/>
      <c r="F111" s="70"/>
      <c r="G111" s="92">
        <f>SUM(G100:G110)</f>
        <v>615.72</v>
      </c>
      <c r="H111" s="66"/>
      <c r="I111" s="39">
        <f>SUM(I100:I110)</f>
        <v>615.72</v>
      </c>
      <c r="J111" s="11"/>
      <c r="K111" s="41"/>
      <c r="L111" s="41"/>
      <c r="M111" s="11"/>
    </row>
    <row r="112" spans="1:13" s="113" customFormat="1" ht="12.75" customHeight="1" x14ac:dyDescent="0.25">
      <c r="A112" s="114"/>
      <c r="B112" s="114"/>
      <c r="C112" s="114"/>
      <c r="D112" s="114"/>
      <c r="E112" s="114"/>
      <c r="F112" s="114"/>
      <c r="G112" s="114"/>
      <c r="H112" s="114"/>
      <c r="I112" s="108"/>
      <c r="J112" s="109"/>
      <c r="K112" s="110"/>
      <c r="L112" s="110"/>
      <c r="M112" s="115"/>
    </row>
    <row r="113" spans="1:13" ht="15" customHeight="1" x14ac:dyDescent="0.25">
      <c r="A113" s="202" t="s">
        <v>122</v>
      </c>
      <c r="B113" s="202"/>
      <c r="C113" s="202"/>
      <c r="D113" s="202"/>
      <c r="E113" s="202"/>
      <c r="F113" s="202"/>
      <c r="G113" s="202"/>
      <c r="H113" s="202"/>
      <c r="I113" s="202"/>
      <c r="J113" s="202"/>
      <c r="K113" s="202"/>
      <c r="L113" s="202"/>
      <c r="M113" s="202"/>
    </row>
    <row r="114" spans="1:13" ht="60" x14ac:dyDescent="0.25">
      <c r="A114" s="193" t="s">
        <v>32</v>
      </c>
      <c r="B114" s="194"/>
      <c r="C114" s="194"/>
      <c r="D114" s="194"/>
      <c r="E114" s="9" t="s">
        <v>104</v>
      </c>
      <c r="F114" s="9" t="s">
        <v>68</v>
      </c>
      <c r="G114" s="9" t="s">
        <v>103</v>
      </c>
      <c r="H114" s="9" t="s">
        <v>93</v>
      </c>
      <c r="I114" s="11"/>
      <c r="J114" s="11"/>
      <c r="K114" s="11"/>
      <c r="L114" s="11"/>
    </row>
    <row r="115" spans="1:13" ht="15.75" thickBot="1" x14ac:dyDescent="0.3">
      <c r="A115" s="196" t="s">
        <v>107</v>
      </c>
      <c r="B115" s="197"/>
      <c r="C115" s="197"/>
      <c r="D115" s="197"/>
      <c r="E115" s="71" t="s">
        <v>31</v>
      </c>
      <c r="F115" s="104">
        <f>(10000)*0.002</f>
        <v>20</v>
      </c>
      <c r="G115" s="65">
        <v>1</v>
      </c>
      <c r="H115" s="140">
        <f t="shared" ref="H115" si="6">F115/G115</f>
        <v>20</v>
      </c>
      <c r="I115" s="11"/>
      <c r="J115" s="11"/>
      <c r="K115" s="11"/>
      <c r="L115" s="11"/>
    </row>
    <row r="116" spans="1:13" ht="15.75" hidden="1" customHeight="1" x14ac:dyDescent="0.25">
      <c r="E116" s="95"/>
      <c r="G116" s="9">
        <v>189</v>
      </c>
      <c r="H116" s="96"/>
      <c r="I116" s="11"/>
      <c r="J116" s="11"/>
      <c r="K116" s="11"/>
      <c r="L116" s="11"/>
    </row>
    <row r="117" spans="1:13" ht="14.25" hidden="1" customHeight="1" x14ac:dyDescent="0.25">
      <c r="E117" s="29"/>
      <c r="F117" s="80"/>
      <c r="G117" s="9">
        <v>189</v>
      </c>
      <c r="H117" s="72"/>
      <c r="I117" s="11"/>
      <c r="J117" s="11"/>
      <c r="K117" s="11"/>
      <c r="L117" s="11"/>
    </row>
    <row r="118" spans="1:13" ht="16.5" hidden="1" customHeight="1" thickBot="1" x14ac:dyDescent="0.3">
      <c r="A118" s="196"/>
      <c r="B118" s="197"/>
      <c r="C118" s="197"/>
      <c r="D118" s="197"/>
      <c r="E118" s="29"/>
      <c r="F118" s="78"/>
      <c r="G118" s="9">
        <v>189</v>
      </c>
      <c r="H118" s="72">
        <f t="shared" ref="H118:H119" si="7">F118/G118</f>
        <v>0</v>
      </c>
      <c r="I118" s="11"/>
      <c r="J118" s="11"/>
      <c r="K118" s="11"/>
      <c r="L118" s="11"/>
    </row>
    <row r="119" spans="1:13" ht="17.25" hidden="1" customHeight="1" x14ac:dyDescent="0.25">
      <c r="A119" s="196"/>
      <c r="B119" s="197"/>
      <c r="C119" s="197"/>
      <c r="D119" s="197"/>
      <c r="E119" s="79"/>
      <c r="F119" s="47"/>
      <c r="G119" s="9">
        <v>189</v>
      </c>
      <c r="H119" s="72">
        <f t="shared" si="7"/>
        <v>0</v>
      </c>
      <c r="I119" s="11"/>
      <c r="J119" s="11"/>
      <c r="K119" s="11"/>
      <c r="L119" s="11"/>
    </row>
    <row r="120" spans="1:13" ht="20.25" customHeight="1" thickBot="1" x14ac:dyDescent="0.3">
      <c r="A120" s="215" t="s">
        <v>73</v>
      </c>
      <c r="B120" s="216"/>
      <c r="C120" s="216"/>
      <c r="D120" s="216"/>
      <c r="E120" s="70"/>
      <c r="F120" s="92">
        <f>SUM(F115:F119)</f>
        <v>20</v>
      </c>
      <c r="G120" s="66"/>
      <c r="H120" s="73">
        <f>SUM(H115:H115)</f>
        <v>20</v>
      </c>
      <c r="I120" s="11"/>
      <c r="J120" s="41"/>
      <c r="K120" s="11"/>
      <c r="L120" s="11"/>
    </row>
    <row r="121" spans="1:13" ht="11.25" customHeight="1" x14ac:dyDescent="0.25">
      <c r="A121" s="116"/>
      <c r="B121" s="116"/>
      <c r="C121" s="116"/>
      <c r="D121" s="116"/>
      <c r="E121" s="117"/>
      <c r="F121" s="118"/>
      <c r="G121" s="119"/>
      <c r="H121" s="118"/>
      <c r="I121" s="120"/>
      <c r="J121" s="90"/>
      <c r="K121" s="121"/>
      <c r="L121" s="121"/>
      <c r="M121" s="69"/>
    </row>
    <row r="122" spans="1:13" ht="15.75" x14ac:dyDescent="0.25">
      <c r="A122" s="217" t="s">
        <v>105</v>
      </c>
      <c r="B122" s="217"/>
      <c r="C122" s="217"/>
      <c r="D122" s="217"/>
      <c r="E122" s="217"/>
      <c r="F122" s="217"/>
      <c r="G122" s="217"/>
      <c r="H122" s="217"/>
      <c r="I122" s="217"/>
      <c r="J122" s="217"/>
      <c r="K122" s="217"/>
      <c r="L122" s="217"/>
      <c r="M122" s="217"/>
    </row>
    <row r="123" spans="1:13" ht="75" x14ac:dyDescent="0.25">
      <c r="A123" s="218" t="s">
        <v>3</v>
      </c>
      <c r="B123" s="218"/>
      <c r="C123" s="218"/>
      <c r="D123" s="218"/>
      <c r="E123" s="9" t="s">
        <v>4</v>
      </c>
      <c r="F123" s="10" t="s">
        <v>0</v>
      </c>
      <c r="G123" s="42" t="s">
        <v>72</v>
      </c>
      <c r="H123" s="42" t="s">
        <v>63</v>
      </c>
      <c r="I123" s="9" t="s">
        <v>86</v>
      </c>
      <c r="J123" s="9" t="s">
        <v>93</v>
      </c>
      <c r="K123" s="9" t="s">
        <v>66</v>
      </c>
      <c r="L123" s="32"/>
      <c r="M123" s="32"/>
    </row>
    <row r="124" spans="1:13" x14ac:dyDescent="0.25">
      <c r="A124" s="227">
        <v>1</v>
      </c>
      <c r="B124" s="228"/>
      <c r="C124" s="228"/>
      <c r="D124" s="228"/>
      <c r="E124" s="30">
        <v>2</v>
      </c>
      <c r="F124" s="12">
        <v>3</v>
      </c>
      <c r="G124" s="30">
        <v>4</v>
      </c>
      <c r="H124" s="30" t="s">
        <v>165</v>
      </c>
      <c r="I124" s="31">
        <v>6</v>
      </c>
      <c r="J124" s="45">
        <v>7</v>
      </c>
      <c r="K124" s="46">
        <v>8</v>
      </c>
      <c r="L124" s="316"/>
      <c r="M124" s="32"/>
    </row>
    <row r="125" spans="1:13" ht="15.75" thickBot="1" x14ac:dyDescent="0.3">
      <c r="A125" s="205" t="s">
        <v>90</v>
      </c>
      <c r="B125" s="205"/>
      <c r="C125" s="205"/>
      <c r="D125" s="205"/>
      <c r="E125" s="47">
        <f>9144000/12/13.75</f>
        <v>55418.181818181816</v>
      </c>
      <c r="F125" s="47">
        <f>13.75*0.002</f>
        <v>2.75E-2</v>
      </c>
      <c r="G125" s="47">
        <f>7023041.475*0.002</f>
        <v>14046.08295</v>
      </c>
      <c r="H125" s="47">
        <f>(G125*1.302)</f>
        <v>18288.0000009</v>
      </c>
      <c r="I125" s="65">
        <v>1</v>
      </c>
      <c r="J125" s="47">
        <f>H125/I125</f>
        <v>18288.0000009</v>
      </c>
      <c r="K125" s="82">
        <f>H125/(8696900+23460820)*100</f>
        <v>5.6869703451923832E-2</v>
      </c>
      <c r="L125" s="317"/>
      <c r="M125" s="18"/>
    </row>
    <row r="126" spans="1:13" ht="15.75" hidden="1" thickBot="1" x14ac:dyDescent="0.3">
      <c r="A126" s="212"/>
      <c r="B126" s="213"/>
      <c r="C126" s="213"/>
      <c r="D126" s="213"/>
      <c r="E126" s="47">
        <v>17865.98</v>
      </c>
      <c r="F126" s="83">
        <v>4</v>
      </c>
      <c r="G126" s="65"/>
      <c r="H126" s="54">
        <f>H6</f>
        <v>0</v>
      </c>
      <c r="I126" s="47" t="e">
        <f t="shared" ref="I126:I147" si="8">F126/G126*H126</f>
        <v>#DIV/0!</v>
      </c>
      <c r="J126" s="47">
        <f t="shared" ref="J126:J147" si="9">E126*F126*12*1.302</f>
        <v>1116552.28608</v>
      </c>
      <c r="K126" s="84" t="s">
        <v>50</v>
      </c>
      <c r="L126" s="318"/>
      <c r="M126" s="38" t="e">
        <f t="shared" ref="M126:M150" si="10">I126*J126</f>
        <v>#DIV/0!</v>
      </c>
    </row>
    <row r="127" spans="1:13" ht="15.75" hidden="1" thickBot="1" x14ac:dyDescent="0.3">
      <c r="A127" s="209"/>
      <c r="B127" s="209"/>
      <c r="C127" s="209"/>
      <c r="D127" s="209"/>
      <c r="E127" s="47">
        <v>9544</v>
      </c>
      <c r="F127" s="83">
        <v>1</v>
      </c>
      <c r="G127" s="65"/>
      <c r="H127" s="54">
        <f>H6</f>
        <v>0</v>
      </c>
      <c r="I127" s="47" t="e">
        <f t="shared" si="8"/>
        <v>#DIV/0!</v>
      </c>
      <c r="J127" s="47">
        <f t="shared" si="9"/>
        <v>149115.45600000001</v>
      </c>
      <c r="K127" s="54">
        <f>H127/11277167.39*100</f>
        <v>0</v>
      </c>
      <c r="L127" s="54"/>
      <c r="M127" s="15" t="e">
        <f t="shared" si="10"/>
        <v>#DIV/0!</v>
      </c>
    </row>
    <row r="128" spans="1:13" ht="15" hidden="1" customHeight="1" x14ac:dyDescent="0.25">
      <c r="A128" s="210"/>
      <c r="B128" s="211"/>
      <c r="C128" s="211"/>
      <c r="D128" s="211"/>
      <c r="E128" s="47">
        <v>11560</v>
      </c>
      <c r="F128" s="83">
        <v>1</v>
      </c>
      <c r="G128" s="65"/>
      <c r="H128" s="54">
        <f>H6</f>
        <v>0</v>
      </c>
      <c r="I128" s="47" t="e">
        <f t="shared" si="8"/>
        <v>#DIV/0!</v>
      </c>
      <c r="J128" s="47">
        <f t="shared" si="9"/>
        <v>180613.44</v>
      </c>
      <c r="K128" s="34"/>
      <c r="L128" s="34"/>
      <c r="M128" s="15" t="e">
        <f t="shared" si="10"/>
        <v>#DIV/0!</v>
      </c>
    </row>
    <row r="129" spans="1:13" ht="15.75" hidden="1" thickBot="1" x14ac:dyDescent="0.3">
      <c r="A129" s="205"/>
      <c r="B129" s="205"/>
      <c r="C129" s="205"/>
      <c r="D129" s="205"/>
      <c r="E129" s="47">
        <v>9544</v>
      </c>
      <c r="F129" s="85">
        <v>0.5</v>
      </c>
      <c r="G129" s="65"/>
      <c r="H129" s="54">
        <f>H6</f>
        <v>0</v>
      </c>
      <c r="I129" s="47" t="e">
        <f t="shared" si="8"/>
        <v>#DIV/0!</v>
      </c>
      <c r="J129" s="47">
        <f t="shared" si="9"/>
        <v>74557.728000000003</v>
      </c>
      <c r="K129" s="34"/>
      <c r="L129" s="34"/>
      <c r="M129" s="15" t="e">
        <f t="shared" si="10"/>
        <v>#DIV/0!</v>
      </c>
    </row>
    <row r="130" spans="1:13" ht="15.75" hidden="1" thickBot="1" x14ac:dyDescent="0.3">
      <c r="A130" s="205"/>
      <c r="B130" s="205"/>
      <c r="C130" s="205"/>
      <c r="D130" s="205"/>
      <c r="E130" s="47">
        <v>9544</v>
      </c>
      <c r="F130" s="83">
        <v>1</v>
      </c>
      <c r="G130" s="65"/>
      <c r="H130" s="54">
        <f>H6</f>
        <v>0</v>
      </c>
      <c r="I130" s="47" t="e">
        <f t="shared" si="8"/>
        <v>#DIV/0!</v>
      </c>
      <c r="J130" s="47">
        <f t="shared" si="9"/>
        <v>149115.45600000001</v>
      </c>
      <c r="K130" s="47"/>
      <c r="L130" s="47"/>
      <c r="M130" s="15" t="e">
        <f t="shared" si="10"/>
        <v>#DIV/0!</v>
      </c>
    </row>
    <row r="131" spans="1:13" ht="14.25" hidden="1" customHeight="1" x14ac:dyDescent="0.25">
      <c r="A131" s="205"/>
      <c r="B131" s="205"/>
      <c r="C131" s="205"/>
      <c r="D131" s="205"/>
      <c r="E131" s="47">
        <v>9544</v>
      </c>
      <c r="F131" s="83">
        <v>1</v>
      </c>
      <c r="G131" s="65"/>
      <c r="H131" s="54">
        <f>H6</f>
        <v>0</v>
      </c>
      <c r="I131" s="47" t="e">
        <f t="shared" si="8"/>
        <v>#DIV/0!</v>
      </c>
      <c r="J131" s="47">
        <f t="shared" si="9"/>
        <v>149115.45600000001</v>
      </c>
      <c r="K131" s="66"/>
      <c r="L131" s="66"/>
      <c r="M131" s="15" t="e">
        <f t="shared" si="10"/>
        <v>#DIV/0!</v>
      </c>
    </row>
    <row r="132" spans="1:13" ht="15.75" hidden="1" thickBot="1" x14ac:dyDescent="0.3">
      <c r="A132" s="196"/>
      <c r="B132" s="197"/>
      <c r="C132" s="197"/>
      <c r="D132" s="197"/>
      <c r="E132" s="47">
        <v>9544</v>
      </c>
      <c r="F132" s="47"/>
      <c r="G132" s="65"/>
      <c r="H132" s="54">
        <f>H6</f>
        <v>0</v>
      </c>
      <c r="I132" s="47" t="e">
        <f t="shared" si="8"/>
        <v>#DIV/0!</v>
      </c>
      <c r="J132" s="47">
        <f t="shared" si="9"/>
        <v>0</v>
      </c>
      <c r="K132" s="66"/>
      <c r="L132" s="66"/>
      <c r="M132" s="15" t="e">
        <f t="shared" si="10"/>
        <v>#DIV/0!</v>
      </c>
    </row>
    <row r="133" spans="1:13" ht="15.75" hidden="1" thickBot="1" x14ac:dyDescent="0.3">
      <c r="A133" s="196"/>
      <c r="B133" s="197"/>
      <c r="C133" s="197"/>
      <c r="D133" s="197"/>
      <c r="E133" s="47">
        <v>9544</v>
      </c>
      <c r="F133" s="86">
        <v>0.25</v>
      </c>
      <c r="G133" s="65"/>
      <c r="H133" s="54">
        <f>H6</f>
        <v>0</v>
      </c>
      <c r="I133" s="47" t="e">
        <f t="shared" si="8"/>
        <v>#DIV/0!</v>
      </c>
      <c r="J133" s="47">
        <f t="shared" si="9"/>
        <v>37278.864000000001</v>
      </c>
      <c r="K133" s="66"/>
      <c r="L133" s="66"/>
      <c r="M133" s="15" t="e">
        <f t="shared" si="10"/>
        <v>#DIV/0!</v>
      </c>
    </row>
    <row r="134" spans="1:13" ht="15.75" hidden="1" thickBot="1" x14ac:dyDescent="0.3">
      <c r="A134" s="196"/>
      <c r="B134" s="197"/>
      <c r="C134" s="197"/>
      <c r="D134" s="197"/>
      <c r="E134" s="47">
        <v>9544</v>
      </c>
      <c r="F134" s="47"/>
      <c r="G134" s="65"/>
      <c r="H134" s="54">
        <f>H6</f>
        <v>0</v>
      </c>
      <c r="I134" s="47" t="e">
        <f t="shared" si="8"/>
        <v>#DIV/0!</v>
      </c>
      <c r="J134" s="47">
        <f t="shared" si="9"/>
        <v>0</v>
      </c>
      <c r="K134" s="66"/>
      <c r="L134" s="66"/>
      <c r="M134" s="15" t="e">
        <f t="shared" si="10"/>
        <v>#DIV/0!</v>
      </c>
    </row>
    <row r="135" spans="1:13" ht="15.75" hidden="1" thickBot="1" x14ac:dyDescent="0.3">
      <c r="A135" s="196"/>
      <c r="B135" s="197"/>
      <c r="C135" s="197"/>
      <c r="D135" s="197"/>
      <c r="E135" s="47">
        <v>9544</v>
      </c>
      <c r="F135" s="85">
        <v>0.5</v>
      </c>
      <c r="G135" s="65"/>
      <c r="H135" s="54">
        <f>H6</f>
        <v>0</v>
      </c>
      <c r="I135" s="47" t="e">
        <f t="shared" si="8"/>
        <v>#DIV/0!</v>
      </c>
      <c r="J135" s="47">
        <f t="shared" si="9"/>
        <v>74557.728000000003</v>
      </c>
      <c r="K135" s="66"/>
      <c r="L135" s="66"/>
      <c r="M135" s="15" t="e">
        <f t="shared" si="10"/>
        <v>#DIV/0!</v>
      </c>
    </row>
    <row r="136" spans="1:13" ht="15.75" hidden="1" customHeight="1" x14ac:dyDescent="0.25">
      <c r="A136" s="196"/>
      <c r="B136" s="197"/>
      <c r="C136" s="197"/>
      <c r="D136" s="197"/>
      <c r="E136" s="47">
        <v>9544</v>
      </c>
      <c r="F136" s="83">
        <v>1</v>
      </c>
      <c r="G136" s="65"/>
      <c r="H136" s="54">
        <f>H6</f>
        <v>0</v>
      </c>
      <c r="I136" s="47" t="e">
        <f t="shared" si="8"/>
        <v>#DIV/0!</v>
      </c>
      <c r="J136" s="47">
        <f t="shared" si="9"/>
        <v>149115.45600000001</v>
      </c>
      <c r="K136" s="66"/>
      <c r="L136" s="66"/>
      <c r="M136" s="15" t="e">
        <f t="shared" si="10"/>
        <v>#DIV/0!</v>
      </c>
    </row>
    <row r="137" spans="1:13" ht="15" hidden="1" customHeight="1" thickBot="1" x14ac:dyDescent="0.3">
      <c r="A137" s="205"/>
      <c r="B137" s="205"/>
      <c r="C137" s="205"/>
      <c r="D137" s="205"/>
      <c r="E137" s="47">
        <v>9544</v>
      </c>
      <c r="F137" s="83">
        <v>1</v>
      </c>
      <c r="G137" s="65"/>
      <c r="H137" s="54">
        <f>H6</f>
        <v>0</v>
      </c>
      <c r="I137" s="47" t="e">
        <f t="shared" si="8"/>
        <v>#DIV/0!</v>
      </c>
      <c r="J137" s="47">
        <f t="shared" si="9"/>
        <v>149115.45600000001</v>
      </c>
      <c r="K137" s="66"/>
      <c r="L137" s="66"/>
      <c r="M137" s="15" t="e">
        <f t="shared" si="10"/>
        <v>#DIV/0!</v>
      </c>
    </row>
    <row r="138" spans="1:13" ht="15" hidden="1" customHeight="1" x14ac:dyDescent="0.25">
      <c r="A138" s="205"/>
      <c r="B138" s="205"/>
      <c r="C138" s="205"/>
      <c r="D138" s="205"/>
      <c r="E138" s="47">
        <v>9544</v>
      </c>
      <c r="F138" s="85">
        <v>5.5</v>
      </c>
      <c r="G138" s="65"/>
      <c r="H138" s="54">
        <f>H6</f>
        <v>0</v>
      </c>
      <c r="I138" s="47" t="e">
        <f t="shared" si="8"/>
        <v>#DIV/0!</v>
      </c>
      <c r="J138" s="47">
        <f t="shared" si="9"/>
        <v>820135.00800000003</v>
      </c>
      <c r="K138" s="66"/>
      <c r="L138" s="66"/>
      <c r="M138" s="15" t="e">
        <f t="shared" si="10"/>
        <v>#DIV/0!</v>
      </c>
    </row>
    <row r="139" spans="1:13" ht="15" hidden="1" customHeight="1" thickBot="1" x14ac:dyDescent="0.3">
      <c r="A139" s="205"/>
      <c r="B139" s="205"/>
      <c r="C139" s="205"/>
      <c r="D139" s="205"/>
      <c r="E139" s="47">
        <v>9544</v>
      </c>
      <c r="F139" s="83">
        <v>1</v>
      </c>
      <c r="G139" s="65"/>
      <c r="H139" s="54">
        <f>H6</f>
        <v>0</v>
      </c>
      <c r="I139" s="47" t="e">
        <f t="shared" si="8"/>
        <v>#DIV/0!</v>
      </c>
      <c r="J139" s="47">
        <f t="shared" si="9"/>
        <v>149115.45600000001</v>
      </c>
      <c r="K139" s="66"/>
      <c r="L139" s="66"/>
      <c r="M139" s="15" t="e">
        <f t="shared" si="10"/>
        <v>#DIV/0!</v>
      </c>
    </row>
    <row r="140" spans="1:13" ht="15" hidden="1" customHeight="1" x14ac:dyDescent="0.25">
      <c r="A140" s="205"/>
      <c r="B140" s="205"/>
      <c r="C140" s="205"/>
      <c r="D140" s="205"/>
      <c r="E140" s="47">
        <v>9544</v>
      </c>
      <c r="F140" s="85">
        <v>0.5</v>
      </c>
      <c r="G140" s="65"/>
      <c r="H140" s="54">
        <f>H6</f>
        <v>0</v>
      </c>
      <c r="I140" s="47" t="e">
        <f t="shared" si="8"/>
        <v>#DIV/0!</v>
      </c>
      <c r="J140" s="47">
        <f t="shared" si="9"/>
        <v>74557.728000000003</v>
      </c>
      <c r="K140" s="66"/>
      <c r="L140" s="66"/>
      <c r="M140" s="15" t="e">
        <f t="shared" si="10"/>
        <v>#DIV/0!</v>
      </c>
    </row>
    <row r="141" spans="1:13" ht="15" hidden="1" customHeight="1" x14ac:dyDescent="0.25">
      <c r="A141" s="205"/>
      <c r="B141" s="205"/>
      <c r="C141" s="205"/>
      <c r="D141" s="205"/>
      <c r="E141" s="47">
        <v>9544</v>
      </c>
      <c r="F141" s="85">
        <v>0.5</v>
      </c>
      <c r="G141" s="65"/>
      <c r="H141" s="54">
        <f>H6</f>
        <v>0</v>
      </c>
      <c r="I141" s="47" t="e">
        <f t="shared" si="8"/>
        <v>#DIV/0!</v>
      </c>
      <c r="J141" s="47">
        <f t="shared" si="9"/>
        <v>74557.728000000003</v>
      </c>
      <c r="K141" s="66"/>
      <c r="L141" s="66"/>
      <c r="M141" s="15" t="e">
        <f t="shared" si="10"/>
        <v>#DIV/0!</v>
      </c>
    </row>
    <row r="142" spans="1:13" ht="15.75" hidden="1" thickBot="1" x14ac:dyDescent="0.3">
      <c r="A142" s="205"/>
      <c r="B142" s="205"/>
      <c r="C142" s="205"/>
      <c r="D142" s="205"/>
      <c r="E142" s="47">
        <v>9544</v>
      </c>
      <c r="F142" s="83">
        <v>1</v>
      </c>
      <c r="G142" s="65"/>
      <c r="H142" s="54">
        <f>H6</f>
        <v>0</v>
      </c>
      <c r="I142" s="47" t="e">
        <f t="shared" si="8"/>
        <v>#DIV/0!</v>
      </c>
      <c r="J142" s="47">
        <f t="shared" si="9"/>
        <v>149115.45600000001</v>
      </c>
      <c r="K142" s="66"/>
      <c r="L142" s="66"/>
      <c r="M142" s="15" t="e">
        <f t="shared" si="10"/>
        <v>#DIV/0!</v>
      </c>
    </row>
    <row r="143" spans="1:13" ht="15.75" hidden="1" customHeight="1" x14ac:dyDescent="0.25">
      <c r="A143" s="205"/>
      <c r="B143" s="205"/>
      <c r="C143" s="205"/>
      <c r="D143" s="205"/>
      <c r="E143" s="47">
        <v>9544</v>
      </c>
      <c r="F143" s="83">
        <v>4</v>
      </c>
      <c r="G143" s="65"/>
      <c r="H143" s="54">
        <f>H6</f>
        <v>0</v>
      </c>
      <c r="I143" s="47" t="e">
        <f t="shared" si="8"/>
        <v>#DIV/0!</v>
      </c>
      <c r="J143" s="47">
        <f t="shared" si="9"/>
        <v>596461.82400000002</v>
      </c>
      <c r="K143" s="66"/>
      <c r="L143" s="66"/>
      <c r="M143" s="15" t="e">
        <f t="shared" si="10"/>
        <v>#DIV/0!</v>
      </c>
    </row>
    <row r="144" spans="1:13" ht="16.5" hidden="1" customHeight="1" x14ac:dyDescent="0.25">
      <c r="A144" s="196"/>
      <c r="B144" s="197"/>
      <c r="C144" s="197"/>
      <c r="D144" s="197"/>
      <c r="E144" s="47">
        <v>9544</v>
      </c>
      <c r="F144" s="83">
        <v>1</v>
      </c>
      <c r="G144" s="65"/>
      <c r="H144" s="54">
        <f>H6</f>
        <v>0</v>
      </c>
      <c r="I144" s="47" t="e">
        <f t="shared" si="8"/>
        <v>#DIV/0!</v>
      </c>
      <c r="J144" s="47">
        <f t="shared" si="9"/>
        <v>149115.45600000001</v>
      </c>
      <c r="K144" s="66"/>
      <c r="L144" s="66"/>
      <c r="M144" s="15" t="e">
        <f t="shared" si="10"/>
        <v>#DIV/0!</v>
      </c>
    </row>
    <row r="145" spans="1:13" ht="16.5" hidden="1" customHeight="1" thickBot="1" x14ac:dyDescent="0.3">
      <c r="A145" s="196"/>
      <c r="B145" s="197"/>
      <c r="C145" s="197"/>
      <c r="D145" s="197"/>
      <c r="E145" s="47">
        <v>9544</v>
      </c>
      <c r="F145" s="86">
        <v>1.75</v>
      </c>
      <c r="G145" s="65"/>
      <c r="H145" s="54">
        <f>H6</f>
        <v>0</v>
      </c>
      <c r="I145" s="47" t="e">
        <f t="shared" si="8"/>
        <v>#DIV/0!</v>
      </c>
      <c r="J145" s="47">
        <f t="shared" si="9"/>
        <v>260952.04800000001</v>
      </c>
      <c r="K145" s="66"/>
      <c r="L145" s="66"/>
      <c r="M145" s="15" t="e">
        <f t="shared" si="10"/>
        <v>#DIV/0!</v>
      </c>
    </row>
    <row r="146" spans="1:13" ht="16.5" hidden="1" customHeight="1" thickBot="1" x14ac:dyDescent="0.3">
      <c r="A146" s="196"/>
      <c r="B146" s="197"/>
      <c r="C146" s="197"/>
      <c r="D146" s="197"/>
      <c r="E146" s="47">
        <v>9544</v>
      </c>
      <c r="F146" s="54"/>
      <c r="G146" s="65"/>
      <c r="H146" s="54">
        <f>H6</f>
        <v>0</v>
      </c>
      <c r="I146" s="47" t="e">
        <f t="shared" si="8"/>
        <v>#DIV/0!</v>
      </c>
      <c r="J146" s="47">
        <f t="shared" si="9"/>
        <v>0</v>
      </c>
      <c r="K146" s="66"/>
      <c r="L146" s="66"/>
      <c r="M146" s="15" t="e">
        <f t="shared" si="10"/>
        <v>#DIV/0!</v>
      </c>
    </row>
    <row r="147" spans="1:13" ht="16.5" hidden="1" customHeight="1" thickBot="1" x14ac:dyDescent="0.3">
      <c r="A147" s="196"/>
      <c r="B147" s="197"/>
      <c r="C147" s="197"/>
      <c r="D147" s="197"/>
      <c r="E147" s="47">
        <v>9544</v>
      </c>
      <c r="F147" s="85">
        <v>0.5</v>
      </c>
      <c r="G147" s="65"/>
      <c r="H147" s="54">
        <f>H6</f>
        <v>0</v>
      </c>
      <c r="I147" s="47" t="e">
        <f t="shared" si="8"/>
        <v>#DIV/0!</v>
      </c>
      <c r="J147" s="47">
        <f t="shared" si="9"/>
        <v>74557.728000000003</v>
      </c>
      <c r="K147" s="66"/>
      <c r="L147" s="66"/>
      <c r="M147" s="15" t="e">
        <f t="shared" si="10"/>
        <v>#DIV/0!</v>
      </c>
    </row>
    <row r="148" spans="1:13" ht="15" hidden="1" customHeight="1" thickBot="1" x14ac:dyDescent="0.3">
      <c r="A148" s="196"/>
      <c r="B148" s="197"/>
      <c r="C148" s="197"/>
      <c r="D148" s="197"/>
      <c r="E148" s="47"/>
      <c r="F148" s="47"/>
      <c r="G148" s="47"/>
      <c r="H148" s="47"/>
      <c r="I148" s="47"/>
      <c r="J148" s="47"/>
      <c r="K148" s="66"/>
      <c r="L148" s="66"/>
      <c r="M148" s="15">
        <f t="shared" si="10"/>
        <v>0</v>
      </c>
    </row>
    <row r="149" spans="1:13" ht="15.75" hidden="1" customHeight="1" thickBot="1" x14ac:dyDescent="0.3">
      <c r="A149" s="196"/>
      <c r="B149" s="197"/>
      <c r="C149" s="197"/>
      <c r="D149" s="197"/>
      <c r="E149" s="47"/>
      <c r="F149" s="47"/>
      <c r="G149" s="47"/>
      <c r="H149" s="47"/>
      <c r="I149" s="47"/>
      <c r="J149" s="47"/>
      <c r="K149" s="66"/>
      <c r="L149" s="66"/>
      <c r="M149" s="15">
        <f t="shared" si="10"/>
        <v>0</v>
      </c>
    </row>
    <row r="150" spans="1:13" ht="14.25" hidden="1" customHeight="1" thickBot="1" x14ac:dyDescent="0.3">
      <c r="A150" s="196"/>
      <c r="B150" s="197"/>
      <c r="C150" s="197"/>
      <c r="D150" s="197"/>
      <c r="E150" s="47"/>
      <c r="F150" s="47"/>
      <c r="G150" s="47"/>
      <c r="H150" s="47"/>
      <c r="I150" s="65">
        <v>105</v>
      </c>
      <c r="J150" s="67">
        <f>H150/I150</f>
        <v>0</v>
      </c>
      <c r="K150" s="66"/>
      <c r="L150" s="66"/>
      <c r="M150" s="36">
        <f t="shared" si="10"/>
        <v>0</v>
      </c>
    </row>
    <row r="151" spans="1:13" ht="15.75" thickBot="1" x14ac:dyDescent="0.3">
      <c r="A151" s="226" t="s">
        <v>67</v>
      </c>
      <c r="B151" s="226"/>
      <c r="C151" s="226"/>
      <c r="D151" s="226"/>
      <c r="E151" s="87"/>
      <c r="F151" s="147"/>
      <c r="G151" s="147"/>
      <c r="H151" s="92">
        <f>H125</f>
        <v>18288.0000009</v>
      </c>
      <c r="I151" s="68"/>
      <c r="J151" s="88">
        <f>J125</f>
        <v>18288.0000009</v>
      </c>
      <c r="K151" s="66"/>
      <c r="L151" s="66"/>
      <c r="M151" s="18"/>
    </row>
    <row r="152" spans="1:13" ht="19.5" customHeigh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9"/>
      <c r="L152" s="19"/>
      <c r="M152" s="19"/>
    </row>
    <row r="153" spans="1:13" ht="15.75" x14ac:dyDescent="0.25">
      <c r="A153" s="217" t="s">
        <v>92</v>
      </c>
      <c r="B153" s="217"/>
      <c r="C153" s="217"/>
      <c r="D153" s="217"/>
      <c r="E153" s="217"/>
      <c r="F153" s="217"/>
      <c r="G153" s="217"/>
      <c r="H153" s="217"/>
      <c r="I153" s="217"/>
      <c r="J153" s="217"/>
      <c r="K153" s="217"/>
      <c r="L153" s="217"/>
      <c r="M153" s="217"/>
    </row>
    <row r="154" spans="1:13" ht="75" x14ac:dyDescent="0.25">
      <c r="A154" s="218" t="s">
        <v>3</v>
      </c>
      <c r="B154" s="218"/>
      <c r="C154" s="218"/>
      <c r="D154" s="218"/>
      <c r="E154" s="9" t="s">
        <v>4</v>
      </c>
      <c r="F154" s="10" t="s">
        <v>0</v>
      </c>
      <c r="G154" s="42" t="s">
        <v>72</v>
      </c>
      <c r="H154" s="42" t="s">
        <v>63</v>
      </c>
      <c r="I154" s="9" t="s">
        <v>86</v>
      </c>
      <c r="J154" s="9" t="s">
        <v>93</v>
      </c>
      <c r="K154" s="9" t="s">
        <v>66</v>
      </c>
      <c r="L154" s="32"/>
      <c r="M154" s="32"/>
    </row>
    <row r="155" spans="1:13" x14ac:dyDescent="0.25">
      <c r="A155" s="227">
        <v>1</v>
      </c>
      <c r="B155" s="228"/>
      <c r="C155" s="228"/>
      <c r="D155" s="228"/>
      <c r="E155" s="30">
        <v>2</v>
      </c>
      <c r="F155" s="12">
        <v>3</v>
      </c>
      <c r="G155" s="30">
        <v>4</v>
      </c>
      <c r="H155" s="30">
        <v>5</v>
      </c>
      <c r="I155" s="31">
        <v>6</v>
      </c>
      <c r="J155" s="45">
        <v>7</v>
      </c>
      <c r="K155" s="46">
        <v>8</v>
      </c>
      <c r="L155" s="316"/>
      <c r="M155" s="32"/>
    </row>
    <row r="156" spans="1:13" ht="15.75" thickBot="1" x14ac:dyDescent="0.3">
      <c r="A156" s="205" t="s">
        <v>91</v>
      </c>
      <c r="B156" s="205"/>
      <c r="C156" s="205"/>
      <c r="D156" s="205"/>
      <c r="E156" s="47">
        <f>18861400/12/55.25</f>
        <v>28448.567119155352</v>
      </c>
      <c r="F156" s="47">
        <f>55.25*0.002</f>
        <v>0.1105</v>
      </c>
      <c r="G156" s="47">
        <f>14486482.34*0.002</f>
        <v>28972.964680000001</v>
      </c>
      <c r="H156" s="47">
        <f>G156*1.302</f>
        <v>37722.80001336</v>
      </c>
      <c r="I156" s="65">
        <v>1</v>
      </c>
      <c r="J156" s="47">
        <f>H156/I156</f>
        <v>37722.80001336</v>
      </c>
      <c r="K156" s="82">
        <f>H156/(8696900+23460820)*100</f>
        <v>0.11730558016351907</v>
      </c>
      <c r="L156" s="317"/>
      <c r="M156" s="18"/>
    </row>
    <row r="157" spans="1:13" ht="15.75" hidden="1" thickBot="1" x14ac:dyDescent="0.3">
      <c r="A157" s="212"/>
      <c r="B157" s="213"/>
      <c r="C157" s="213"/>
      <c r="D157" s="213"/>
      <c r="E157" s="47">
        <v>17865.98</v>
      </c>
      <c r="F157" s="83">
        <v>4</v>
      </c>
      <c r="G157" s="65"/>
      <c r="H157" s="54">
        <f>H39</f>
        <v>0</v>
      </c>
      <c r="I157" s="47" t="e">
        <f t="shared" ref="I157:I178" si="11">F157/G157*H157</f>
        <v>#DIV/0!</v>
      </c>
      <c r="J157" s="47">
        <f t="shared" ref="J157:J178" si="12">E157*F157*12*1.302</f>
        <v>1116552.28608</v>
      </c>
      <c r="K157" s="84" t="s">
        <v>50</v>
      </c>
      <c r="L157" s="318"/>
      <c r="M157" s="38" t="e">
        <f t="shared" ref="M157:M181" si="13">I157*J157</f>
        <v>#DIV/0!</v>
      </c>
    </row>
    <row r="158" spans="1:13" ht="15.75" hidden="1" thickBot="1" x14ac:dyDescent="0.3">
      <c r="A158" s="209"/>
      <c r="B158" s="209"/>
      <c r="C158" s="209"/>
      <c r="D158" s="209"/>
      <c r="E158" s="47">
        <v>9544</v>
      </c>
      <c r="F158" s="83">
        <v>1</v>
      </c>
      <c r="G158" s="65"/>
      <c r="H158" s="54">
        <f>H39</f>
        <v>0</v>
      </c>
      <c r="I158" s="47" t="e">
        <f t="shared" si="11"/>
        <v>#DIV/0!</v>
      </c>
      <c r="J158" s="47">
        <f t="shared" si="12"/>
        <v>149115.45600000001</v>
      </c>
      <c r="K158" s="54">
        <f>H158/11277167.39*100</f>
        <v>0</v>
      </c>
      <c r="L158" s="54"/>
      <c r="M158" s="15" t="e">
        <f t="shared" si="13"/>
        <v>#DIV/0!</v>
      </c>
    </row>
    <row r="159" spans="1:13" ht="15" hidden="1" customHeight="1" x14ac:dyDescent="0.25">
      <c r="A159" s="210"/>
      <c r="B159" s="211"/>
      <c r="C159" s="211"/>
      <c r="D159" s="211"/>
      <c r="E159" s="47">
        <v>11560</v>
      </c>
      <c r="F159" s="83">
        <v>1</v>
      </c>
      <c r="G159" s="65"/>
      <c r="H159" s="54">
        <f>H39</f>
        <v>0</v>
      </c>
      <c r="I159" s="47" t="e">
        <f t="shared" si="11"/>
        <v>#DIV/0!</v>
      </c>
      <c r="J159" s="47">
        <f t="shared" si="12"/>
        <v>180613.44</v>
      </c>
      <c r="K159" s="34"/>
      <c r="L159" s="34"/>
      <c r="M159" s="15" t="e">
        <f t="shared" si="13"/>
        <v>#DIV/0!</v>
      </c>
    </row>
    <row r="160" spans="1:13" ht="15.75" hidden="1" thickBot="1" x14ac:dyDescent="0.3">
      <c r="A160" s="205"/>
      <c r="B160" s="205"/>
      <c r="C160" s="205"/>
      <c r="D160" s="205"/>
      <c r="E160" s="47">
        <v>9544</v>
      </c>
      <c r="F160" s="85">
        <v>0.5</v>
      </c>
      <c r="G160" s="65"/>
      <c r="H160" s="54">
        <f>H39</f>
        <v>0</v>
      </c>
      <c r="I160" s="47" t="e">
        <f t="shared" si="11"/>
        <v>#DIV/0!</v>
      </c>
      <c r="J160" s="47">
        <f t="shared" si="12"/>
        <v>74557.728000000003</v>
      </c>
      <c r="K160" s="34"/>
      <c r="L160" s="34"/>
      <c r="M160" s="15" t="e">
        <f t="shared" si="13"/>
        <v>#DIV/0!</v>
      </c>
    </row>
    <row r="161" spans="1:13" ht="15.75" hidden="1" thickBot="1" x14ac:dyDescent="0.3">
      <c r="A161" s="205"/>
      <c r="B161" s="205"/>
      <c r="C161" s="205"/>
      <c r="D161" s="205"/>
      <c r="E161" s="47">
        <v>9544</v>
      </c>
      <c r="F161" s="83">
        <v>1</v>
      </c>
      <c r="G161" s="65"/>
      <c r="H161" s="54">
        <f>H39</f>
        <v>0</v>
      </c>
      <c r="I161" s="47" t="e">
        <f t="shared" si="11"/>
        <v>#DIV/0!</v>
      </c>
      <c r="J161" s="47">
        <f t="shared" si="12"/>
        <v>149115.45600000001</v>
      </c>
      <c r="K161" s="47"/>
      <c r="L161" s="47"/>
      <c r="M161" s="15" t="e">
        <f t="shared" si="13"/>
        <v>#DIV/0!</v>
      </c>
    </row>
    <row r="162" spans="1:13" ht="14.25" hidden="1" customHeight="1" x14ac:dyDescent="0.25">
      <c r="A162" s="205"/>
      <c r="B162" s="205"/>
      <c r="C162" s="205"/>
      <c r="D162" s="205"/>
      <c r="E162" s="47">
        <v>9544</v>
      </c>
      <c r="F162" s="83">
        <v>1</v>
      </c>
      <c r="G162" s="65"/>
      <c r="H162" s="54">
        <f>H39</f>
        <v>0</v>
      </c>
      <c r="I162" s="47" t="e">
        <f t="shared" si="11"/>
        <v>#DIV/0!</v>
      </c>
      <c r="J162" s="47">
        <f t="shared" si="12"/>
        <v>149115.45600000001</v>
      </c>
      <c r="K162" s="66"/>
      <c r="L162" s="66"/>
      <c r="M162" s="15" t="e">
        <f t="shared" si="13"/>
        <v>#DIV/0!</v>
      </c>
    </row>
    <row r="163" spans="1:13" ht="15.75" hidden="1" thickBot="1" x14ac:dyDescent="0.3">
      <c r="A163" s="196"/>
      <c r="B163" s="197"/>
      <c r="C163" s="197"/>
      <c r="D163" s="197"/>
      <c r="E163" s="47">
        <v>9544</v>
      </c>
      <c r="F163" s="47"/>
      <c r="G163" s="65"/>
      <c r="H163" s="54">
        <f>H39</f>
        <v>0</v>
      </c>
      <c r="I163" s="47" t="e">
        <f t="shared" si="11"/>
        <v>#DIV/0!</v>
      </c>
      <c r="J163" s="47">
        <f t="shared" si="12"/>
        <v>0</v>
      </c>
      <c r="K163" s="66"/>
      <c r="L163" s="66"/>
      <c r="M163" s="15" t="e">
        <f t="shared" si="13"/>
        <v>#DIV/0!</v>
      </c>
    </row>
    <row r="164" spans="1:13" ht="15.75" hidden="1" thickBot="1" x14ac:dyDescent="0.3">
      <c r="A164" s="196"/>
      <c r="B164" s="197"/>
      <c r="C164" s="197"/>
      <c r="D164" s="197"/>
      <c r="E164" s="47">
        <v>9544</v>
      </c>
      <c r="F164" s="86">
        <v>0.25</v>
      </c>
      <c r="G164" s="65"/>
      <c r="H164" s="54">
        <f>H39</f>
        <v>0</v>
      </c>
      <c r="I164" s="47" t="e">
        <f t="shared" si="11"/>
        <v>#DIV/0!</v>
      </c>
      <c r="J164" s="47">
        <f t="shared" si="12"/>
        <v>37278.864000000001</v>
      </c>
      <c r="K164" s="66"/>
      <c r="L164" s="66"/>
      <c r="M164" s="15" t="e">
        <f t="shared" si="13"/>
        <v>#DIV/0!</v>
      </c>
    </row>
    <row r="165" spans="1:13" ht="15.75" hidden="1" thickBot="1" x14ac:dyDescent="0.3">
      <c r="A165" s="196"/>
      <c r="B165" s="197"/>
      <c r="C165" s="197"/>
      <c r="D165" s="197"/>
      <c r="E165" s="47">
        <v>9544</v>
      </c>
      <c r="F165" s="47"/>
      <c r="G165" s="65"/>
      <c r="H165" s="54">
        <f>H39</f>
        <v>0</v>
      </c>
      <c r="I165" s="47" t="e">
        <f t="shared" si="11"/>
        <v>#DIV/0!</v>
      </c>
      <c r="J165" s="47">
        <f t="shared" si="12"/>
        <v>0</v>
      </c>
      <c r="K165" s="66"/>
      <c r="L165" s="66"/>
      <c r="M165" s="15" t="e">
        <f t="shared" si="13"/>
        <v>#DIV/0!</v>
      </c>
    </row>
    <row r="166" spans="1:13" ht="15.75" hidden="1" thickBot="1" x14ac:dyDescent="0.3">
      <c r="A166" s="196"/>
      <c r="B166" s="197"/>
      <c r="C166" s="197"/>
      <c r="D166" s="197"/>
      <c r="E166" s="47">
        <v>9544</v>
      </c>
      <c r="F166" s="85">
        <v>0.5</v>
      </c>
      <c r="G166" s="65"/>
      <c r="H166" s="54">
        <f>H39</f>
        <v>0</v>
      </c>
      <c r="I166" s="47" t="e">
        <f t="shared" si="11"/>
        <v>#DIV/0!</v>
      </c>
      <c r="J166" s="47">
        <f t="shared" si="12"/>
        <v>74557.728000000003</v>
      </c>
      <c r="K166" s="66"/>
      <c r="L166" s="66"/>
      <c r="M166" s="15" t="e">
        <f t="shared" si="13"/>
        <v>#DIV/0!</v>
      </c>
    </row>
    <row r="167" spans="1:13" ht="15.75" hidden="1" customHeight="1" thickBot="1" x14ac:dyDescent="0.3">
      <c r="A167" s="196"/>
      <c r="B167" s="197"/>
      <c r="C167" s="197"/>
      <c r="D167" s="197"/>
      <c r="E167" s="47">
        <v>9544</v>
      </c>
      <c r="F167" s="83">
        <v>1</v>
      </c>
      <c r="G167" s="65"/>
      <c r="H167" s="54">
        <f>H39</f>
        <v>0</v>
      </c>
      <c r="I167" s="47" t="e">
        <f t="shared" si="11"/>
        <v>#DIV/0!</v>
      </c>
      <c r="J167" s="47">
        <f t="shared" si="12"/>
        <v>149115.45600000001</v>
      </c>
      <c r="K167" s="66"/>
      <c r="L167" s="66"/>
      <c r="M167" s="15" t="e">
        <f t="shared" si="13"/>
        <v>#DIV/0!</v>
      </c>
    </row>
    <row r="168" spans="1:13" ht="15" hidden="1" customHeight="1" x14ac:dyDescent="0.25">
      <c r="A168" s="205"/>
      <c r="B168" s="205"/>
      <c r="C168" s="205"/>
      <c r="D168" s="205"/>
      <c r="E168" s="47">
        <v>9544</v>
      </c>
      <c r="F168" s="83">
        <v>1</v>
      </c>
      <c r="G168" s="65"/>
      <c r="H168" s="54">
        <f>H39</f>
        <v>0</v>
      </c>
      <c r="I168" s="47" t="e">
        <f t="shared" si="11"/>
        <v>#DIV/0!</v>
      </c>
      <c r="J168" s="47">
        <f t="shared" si="12"/>
        <v>149115.45600000001</v>
      </c>
      <c r="K168" s="66"/>
      <c r="L168" s="66"/>
      <c r="M168" s="15" t="e">
        <f t="shared" si="13"/>
        <v>#DIV/0!</v>
      </c>
    </row>
    <row r="169" spans="1:13" ht="15" hidden="1" customHeight="1" thickBot="1" x14ac:dyDescent="0.3">
      <c r="A169" s="205"/>
      <c r="B169" s="205"/>
      <c r="C169" s="205"/>
      <c r="D169" s="205"/>
      <c r="E169" s="47">
        <v>9544</v>
      </c>
      <c r="F169" s="85">
        <v>5.5</v>
      </c>
      <c r="G169" s="65"/>
      <c r="H169" s="54">
        <f>H39</f>
        <v>0</v>
      </c>
      <c r="I169" s="47" t="e">
        <f t="shared" si="11"/>
        <v>#DIV/0!</v>
      </c>
      <c r="J169" s="47">
        <f t="shared" si="12"/>
        <v>820135.00800000003</v>
      </c>
      <c r="K169" s="66"/>
      <c r="L169" s="66"/>
      <c r="M169" s="15" t="e">
        <f t="shared" si="13"/>
        <v>#DIV/0!</v>
      </c>
    </row>
    <row r="170" spans="1:13" ht="15" hidden="1" customHeight="1" x14ac:dyDescent="0.25">
      <c r="A170" s="205"/>
      <c r="B170" s="205"/>
      <c r="C170" s="205"/>
      <c r="D170" s="205"/>
      <c r="E170" s="47">
        <v>9544</v>
      </c>
      <c r="F170" s="83">
        <v>1</v>
      </c>
      <c r="G170" s="65"/>
      <c r="H170" s="54">
        <f>H39</f>
        <v>0</v>
      </c>
      <c r="I170" s="47" t="e">
        <f t="shared" si="11"/>
        <v>#DIV/0!</v>
      </c>
      <c r="J170" s="47">
        <f t="shared" si="12"/>
        <v>149115.45600000001</v>
      </c>
      <c r="K170" s="66"/>
      <c r="L170" s="66"/>
      <c r="M170" s="15" t="e">
        <f t="shared" si="13"/>
        <v>#DIV/0!</v>
      </c>
    </row>
    <row r="171" spans="1:13" ht="15" hidden="1" customHeight="1" x14ac:dyDescent="0.25">
      <c r="A171" s="205"/>
      <c r="B171" s="205"/>
      <c r="C171" s="205"/>
      <c r="D171" s="205"/>
      <c r="E171" s="47">
        <v>9544</v>
      </c>
      <c r="F171" s="85">
        <v>0.5</v>
      </c>
      <c r="G171" s="65"/>
      <c r="H171" s="54">
        <f>H39</f>
        <v>0</v>
      </c>
      <c r="I171" s="47" t="e">
        <f t="shared" si="11"/>
        <v>#DIV/0!</v>
      </c>
      <c r="J171" s="47">
        <f t="shared" si="12"/>
        <v>74557.728000000003</v>
      </c>
      <c r="K171" s="66"/>
      <c r="L171" s="66"/>
      <c r="M171" s="15" t="e">
        <f t="shared" si="13"/>
        <v>#DIV/0!</v>
      </c>
    </row>
    <row r="172" spans="1:13" ht="15" hidden="1" customHeight="1" x14ac:dyDescent="0.25">
      <c r="A172" s="205"/>
      <c r="B172" s="205"/>
      <c r="C172" s="205"/>
      <c r="D172" s="205"/>
      <c r="E172" s="47">
        <v>9544</v>
      </c>
      <c r="F172" s="85">
        <v>0.5</v>
      </c>
      <c r="G172" s="65"/>
      <c r="H172" s="54">
        <f>H39</f>
        <v>0</v>
      </c>
      <c r="I172" s="47" t="e">
        <f t="shared" si="11"/>
        <v>#DIV/0!</v>
      </c>
      <c r="J172" s="47">
        <f t="shared" si="12"/>
        <v>74557.728000000003</v>
      </c>
      <c r="K172" s="66"/>
      <c r="L172" s="66"/>
      <c r="M172" s="15" t="e">
        <f t="shared" si="13"/>
        <v>#DIV/0!</v>
      </c>
    </row>
    <row r="173" spans="1:13" ht="15.75" hidden="1" thickBot="1" x14ac:dyDescent="0.3">
      <c r="A173" s="205"/>
      <c r="B173" s="205"/>
      <c r="C173" s="205"/>
      <c r="D173" s="205"/>
      <c r="E173" s="47">
        <v>9544</v>
      </c>
      <c r="F173" s="83">
        <v>1</v>
      </c>
      <c r="G173" s="65"/>
      <c r="H173" s="54">
        <f>H39</f>
        <v>0</v>
      </c>
      <c r="I173" s="47" t="e">
        <f t="shared" si="11"/>
        <v>#DIV/0!</v>
      </c>
      <c r="J173" s="47">
        <f t="shared" si="12"/>
        <v>149115.45600000001</v>
      </c>
      <c r="K173" s="66"/>
      <c r="L173" s="66"/>
      <c r="M173" s="15" t="e">
        <f t="shared" si="13"/>
        <v>#DIV/0!</v>
      </c>
    </row>
    <row r="174" spans="1:13" ht="15.75" hidden="1" customHeight="1" x14ac:dyDescent="0.25">
      <c r="A174" s="205"/>
      <c r="B174" s="205"/>
      <c r="C174" s="205"/>
      <c r="D174" s="205"/>
      <c r="E174" s="47">
        <v>9544</v>
      </c>
      <c r="F174" s="83">
        <v>4</v>
      </c>
      <c r="G174" s="65"/>
      <c r="H174" s="54">
        <f>H39</f>
        <v>0</v>
      </c>
      <c r="I174" s="47" t="e">
        <f t="shared" si="11"/>
        <v>#DIV/0!</v>
      </c>
      <c r="J174" s="47">
        <f t="shared" si="12"/>
        <v>596461.82400000002</v>
      </c>
      <c r="K174" s="66"/>
      <c r="L174" s="66"/>
      <c r="M174" s="15" t="e">
        <f t="shared" si="13"/>
        <v>#DIV/0!</v>
      </c>
    </row>
    <row r="175" spans="1:13" ht="16.5" hidden="1" customHeight="1" x14ac:dyDescent="0.25">
      <c r="A175" s="196"/>
      <c r="B175" s="197"/>
      <c r="C175" s="197"/>
      <c r="D175" s="197"/>
      <c r="E175" s="47">
        <v>9544</v>
      </c>
      <c r="F175" s="83">
        <v>1</v>
      </c>
      <c r="G175" s="65"/>
      <c r="H175" s="54">
        <f>H39</f>
        <v>0</v>
      </c>
      <c r="I175" s="47" t="e">
        <f t="shared" si="11"/>
        <v>#DIV/0!</v>
      </c>
      <c r="J175" s="47">
        <f t="shared" si="12"/>
        <v>149115.45600000001</v>
      </c>
      <c r="K175" s="66"/>
      <c r="L175" s="66"/>
      <c r="M175" s="15" t="e">
        <f t="shared" si="13"/>
        <v>#DIV/0!</v>
      </c>
    </row>
    <row r="176" spans="1:13" ht="16.5" hidden="1" customHeight="1" thickBot="1" x14ac:dyDescent="0.3">
      <c r="A176" s="196"/>
      <c r="B176" s="197"/>
      <c r="C176" s="197"/>
      <c r="D176" s="197"/>
      <c r="E176" s="47">
        <v>9544</v>
      </c>
      <c r="F176" s="86">
        <v>1.75</v>
      </c>
      <c r="G176" s="65"/>
      <c r="H176" s="54">
        <f>H39</f>
        <v>0</v>
      </c>
      <c r="I176" s="47" t="e">
        <f t="shared" si="11"/>
        <v>#DIV/0!</v>
      </c>
      <c r="J176" s="47">
        <f t="shared" si="12"/>
        <v>260952.04800000001</v>
      </c>
      <c r="K176" s="66"/>
      <c r="L176" s="66"/>
      <c r="M176" s="15" t="e">
        <f t="shared" si="13"/>
        <v>#DIV/0!</v>
      </c>
    </row>
    <row r="177" spans="1:13" ht="16.5" hidden="1" customHeight="1" thickBot="1" x14ac:dyDescent="0.3">
      <c r="A177" s="196"/>
      <c r="B177" s="197"/>
      <c r="C177" s="197"/>
      <c r="D177" s="197"/>
      <c r="E177" s="47">
        <v>9544</v>
      </c>
      <c r="F177" s="54"/>
      <c r="G177" s="65"/>
      <c r="H177" s="54">
        <f>H39</f>
        <v>0</v>
      </c>
      <c r="I177" s="47" t="e">
        <f t="shared" si="11"/>
        <v>#DIV/0!</v>
      </c>
      <c r="J177" s="47">
        <f t="shared" si="12"/>
        <v>0</v>
      </c>
      <c r="K177" s="66"/>
      <c r="L177" s="66"/>
      <c r="M177" s="15" t="e">
        <f t="shared" si="13"/>
        <v>#DIV/0!</v>
      </c>
    </row>
    <row r="178" spans="1:13" ht="16.5" hidden="1" customHeight="1" thickBot="1" x14ac:dyDescent="0.3">
      <c r="A178" s="196"/>
      <c r="B178" s="197"/>
      <c r="C178" s="197"/>
      <c r="D178" s="197"/>
      <c r="E178" s="47">
        <v>9544</v>
      </c>
      <c r="F178" s="85">
        <v>0.5</v>
      </c>
      <c r="G178" s="65"/>
      <c r="H178" s="54">
        <f>H39</f>
        <v>0</v>
      </c>
      <c r="I178" s="47" t="e">
        <f t="shared" si="11"/>
        <v>#DIV/0!</v>
      </c>
      <c r="J178" s="47">
        <f t="shared" si="12"/>
        <v>74557.728000000003</v>
      </c>
      <c r="K178" s="66"/>
      <c r="L178" s="66"/>
      <c r="M178" s="15" t="e">
        <f t="shared" si="13"/>
        <v>#DIV/0!</v>
      </c>
    </row>
    <row r="179" spans="1:13" ht="15" hidden="1" customHeight="1" thickBot="1" x14ac:dyDescent="0.3">
      <c r="A179" s="196"/>
      <c r="B179" s="197"/>
      <c r="C179" s="197"/>
      <c r="D179" s="197"/>
      <c r="E179" s="47"/>
      <c r="F179" s="47"/>
      <c r="G179" s="47"/>
      <c r="H179" s="47"/>
      <c r="I179" s="47"/>
      <c r="J179" s="47"/>
      <c r="K179" s="66"/>
      <c r="L179" s="66"/>
      <c r="M179" s="15">
        <f t="shared" si="13"/>
        <v>0</v>
      </c>
    </row>
    <row r="180" spans="1:13" ht="15.75" hidden="1" customHeight="1" thickBot="1" x14ac:dyDescent="0.3">
      <c r="A180" s="196"/>
      <c r="B180" s="197"/>
      <c r="C180" s="197"/>
      <c r="D180" s="197"/>
      <c r="E180" s="47"/>
      <c r="F180" s="47"/>
      <c r="G180" s="47"/>
      <c r="H180" s="47"/>
      <c r="I180" s="47"/>
      <c r="J180" s="47"/>
      <c r="K180" s="66"/>
      <c r="L180" s="66"/>
      <c r="M180" s="15">
        <f t="shared" si="13"/>
        <v>0</v>
      </c>
    </row>
    <row r="181" spans="1:13" ht="14.25" hidden="1" customHeight="1" thickBot="1" x14ac:dyDescent="0.3">
      <c r="A181" s="196"/>
      <c r="B181" s="197"/>
      <c r="C181" s="197"/>
      <c r="D181" s="197"/>
      <c r="E181" s="47"/>
      <c r="F181" s="47"/>
      <c r="G181" s="47"/>
      <c r="H181" s="47"/>
      <c r="I181" s="65">
        <v>105</v>
      </c>
      <c r="J181" s="67">
        <f>H181/I181</f>
        <v>0</v>
      </c>
      <c r="K181" s="66"/>
      <c r="L181" s="66"/>
      <c r="M181" s="36">
        <f t="shared" si="13"/>
        <v>0</v>
      </c>
    </row>
    <row r="182" spans="1:13" ht="15.75" thickBot="1" x14ac:dyDescent="0.3">
      <c r="A182" s="226" t="s">
        <v>67</v>
      </c>
      <c r="B182" s="226"/>
      <c r="C182" s="226"/>
      <c r="D182" s="226"/>
      <c r="E182" s="87"/>
      <c r="F182" s="147"/>
      <c r="G182" s="147"/>
      <c r="H182" s="92">
        <f>H156</f>
        <v>37722.80001336</v>
      </c>
      <c r="I182" s="68"/>
      <c r="J182" s="88">
        <f>J156</f>
        <v>37722.80001336</v>
      </c>
      <c r="K182" s="66"/>
      <c r="L182" s="66"/>
      <c r="M182" s="18"/>
    </row>
    <row r="183" spans="1:13" x14ac:dyDescent="0.25">
      <c r="A183" s="11"/>
      <c r="B183" s="11"/>
      <c r="C183" s="11"/>
      <c r="D183" s="11"/>
      <c r="E183" s="11"/>
      <c r="F183" s="11"/>
      <c r="G183" s="11"/>
      <c r="H183" s="13"/>
      <c r="I183" s="13"/>
      <c r="J183" s="13"/>
      <c r="K183" s="11"/>
      <c r="L183" s="11"/>
      <c r="M183" s="11"/>
    </row>
    <row r="184" spans="1:13" x14ac:dyDescent="0.25">
      <c r="A184" s="220" t="s">
        <v>84</v>
      </c>
      <c r="B184" s="220"/>
      <c r="C184" s="220"/>
      <c r="D184" s="220"/>
      <c r="E184" s="220"/>
      <c r="F184" s="220"/>
      <c r="G184" s="220"/>
      <c r="H184" s="220"/>
      <c r="I184" s="220"/>
      <c r="J184" s="220"/>
      <c r="K184" s="220"/>
      <c r="L184" s="187"/>
      <c r="M184" s="11"/>
    </row>
    <row r="185" spans="1:13" ht="75" x14ac:dyDescent="0.25">
      <c r="A185" s="193" t="s">
        <v>85</v>
      </c>
      <c r="B185" s="194"/>
      <c r="C185" s="194"/>
      <c r="D185" s="195"/>
      <c r="E185" s="146" t="s">
        <v>7</v>
      </c>
      <c r="F185" s="146" t="s">
        <v>75</v>
      </c>
      <c r="G185" s="146" t="s">
        <v>60</v>
      </c>
      <c r="H185" s="146" t="s">
        <v>68</v>
      </c>
      <c r="I185" s="9" t="s">
        <v>86</v>
      </c>
      <c r="J185" s="9" t="s">
        <v>93</v>
      </c>
      <c r="K185" s="58"/>
      <c r="L185" s="32"/>
      <c r="M185" s="11"/>
    </row>
    <row r="186" spans="1:13" ht="36.75" customHeight="1" x14ac:dyDescent="0.25">
      <c r="A186" s="196" t="s">
        <v>173</v>
      </c>
      <c r="B186" s="197"/>
      <c r="C186" s="197"/>
      <c r="D186" s="198"/>
      <c r="E186" s="146"/>
      <c r="F186" s="146"/>
      <c r="G186" s="146"/>
      <c r="H186" s="127">
        <f>300000*0.002</f>
        <v>600</v>
      </c>
      <c r="I186" s="65">
        <v>1</v>
      </c>
      <c r="J186" s="141">
        <f>H186/I186</f>
        <v>600</v>
      </c>
      <c r="K186" s="58"/>
      <c r="L186" s="32"/>
      <c r="M186" s="11"/>
    </row>
    <row r="187" spans="1:13" ht="34.5" customHeight="1" thickBot="1" x14ac:dyDescent="0.3">
      <c r="A187" s="196" t="s">
        <v>174</v>
      </c>
      <c r="B187" s="197"/>
      <c r="C187" s="197"/>
      <c r="D187" s="198"/>
      <c r="E187" s="146"/>
      <c r="F187" s="146"/>
      <c r="G187" s="146"/>
      <c r="H187" s="127">
        <f>140000*0.002</f>
        <v>280</v>
      </c>
      <c r="I187" s="65">
        <v>1</v>
      </c>
      <c r="J187" s="141">
        <f t="shared" ref="J187" si="14">H187/I187</f>
        <v>280</v>
      </c>
      <c r="K187" s="58"/>
      <c r="L187" s="32"/>
      <c r="M187" s="11"/>
    </row>
    <row r="188" spans="1:13" ht="15.75" thickBot="1" x14ac:dyDescent="0.3">
      <c r="A188" s="199" t="s">
        <v>79</v>
      </c>
      <c r="B188" s="200"/>
      <c r="C188" s="200"/>
      <c r="D188" s="200"/>
      <c r="E188" s="200"/>
      <c r="F188" s="200"/>
      <c r="G188" s="201"/>
      <c r="H188" s="81">
        <f>H187+H186</f>
        <v>880</v>
      </c>
      <c r="I188" s="77"/>
      <c r="J188" s="39">
        <f>SUM(J186:J187)</f>
        <v>880</v>
      </c>
      <c r="K188" s="11"/>
      <c r="L188" s="11"/>
      <c r="M188" s="11"/>
    </row>
    <row r="189" spans="1:13" ht="7.5" customHeight="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75" x14ac:dyDescent="0.25">
      <c r="A190" s="193" t="s">
        <v>85</v>
      </c>
      <c r="B190" s="194"/>
      <c r="C190" s="194"/>
      <c r="D190" s="195"/>
      <c r="E190" s="146" t="s">
        <v>175</v>
      </c>
      <c r="F190" s="146" t="s">
        <v>75</v>
      </c>
      <c r="G190" s="146" t="s">
        <v>60</v>
      </c>
      <c r="H190" s="146" t="s">
        <v>68</v>
      </c>
      <c r="I190" s="9" t="s">
        <v>86</v>
      </c>
      <c r="J190" s="9" t="s">
        <v>93</v>
      </c>
      <c r="K190" s="58"/>
      <c r="L190" s="32"/>
      <c r="M190" s="11"/>
    </row>
    <row r="191" spans="1:13" x14ac:dyDescent="0.25">
      <c r="A191" s="196" t="s">
        <v>108</v>
      </c>
      <c r="B191" s="197"/>
      <c r="C191" s="197"/>
      <c r="D191" s="198"/>
      <c r="E191" s="146">
        <v>120</v>
      </c>
      <c r="F191" s="146"/>
      <c r="G191" s="146"/>
      <c r="H191" s="127">
        <f>129600*0.002</f>
        <v>259.2</v>
      </c>
      <c r="I191" s="65">
        <v>1</v>
      </c>
      <c r="J191" s="141">
        <f>H191/I191</f>
        <v>259.2</v>
      </c>
      <c r="K191" s="58"/>
      <c r="L191" s="32"/>
      <c r="M191" s="11"/>
    </row>
    <row r="192" spans="1:13" x14ac:dyDescent="0.25">
      <c r="A192" s="196" t="s">
        <v>109</v>
      </c>
      <c r="B192" s="197"/>
      <c r="C192" s="197"/>
      <c r="D192" s="198"/>
      <c r="E192" s="146">
        <v>640</v>
      </c>
      <c r="F192" s="146"/>
      <c r="G192" s="146"/>
      <c r="H192" s="127">
        <f>10800*0.002</f>
        <v>21.6</v>
      </c>
      <c r="I192" s="65">
        <v>1</v>
      </c>
      <c r="J192" s="141">
        <f t="shared" ref="J192:J193" si="15">H192/I192</f>
        <v>21.6</v>
      </c>
      <c r="K192" s="58"/>
      <c r="L192" s="32"/>
      <c r="M192" s="11"/>
    </row>
    <row r="193" spans="1:16" ht="18" customHeight="1" thickBot="1" x14ac:dyDescent="0.3">
      <c r="A193" s="196" t="s">
        <v>110</v>
      </c>
      <c r="B193" s="197"/>
      <c r="C193" s="197"/>
      <c r="D193" s="198"/>
      <c r="E193" s="146">
        <v>200</v>
      </c>
      <c r="F193" s="146"/>
      <c r="G193" s="146"/>
      <c r="H193" s="127">
        <f>15000*0.002</f>
        <v>30</v>
      </c>
      <c r="I193" s="65">
        <v>1</v>
      </c>
      <c r="J193" s="141">
        <f t="shared" si="15"/>
        <v>30</v>
      </c>
      <c r="K193" s="58"/>
      <c r="L193" s="32"/>
      <c r="M193" s="11"/>
    </row>
    <row r="194" spans="1:16" ht="15.75" thickBot="1" x14ac:dyDescent="0.3">
      <c r="A194" s="199" t="s">
        <v>79</v>
      </c>
      <c r="B194" s="200"/>
      <c r="C194" s="200"/>
      <c r="D194" s="200"/>
      <c r="E194" s="200"/>
      <c r="F194" s="200"/>
      <c r="G194" s="201"/>
      <c r="H194" s="81">
        <f>SUM(H191:H193)</f>
        <v>310.8</v>
      </c>
      <c r="I194" s="77"/>
      <c r="J194" s="39">
        <f>SUM(J191:J193)</f>
        <v>310.8</v>
      </c>
      <c r="K194" s="11"/>
      <c r="L194" s="11"/>
      <c r="M194" s="11"/>
    </row>
    <row r="195" spans="1:16" ht="7.5" customHeight="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</row>
    <row r="196" spans="1:16" ht="7.5" customHeight="1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6" x14ac:dyDescent="0.25">
      <c r="A197" s="202" t="s">
        <v>41</v>
      </c>
      <c r="B197" s="202"/>
      <c r="C197" s="202"/>
      <c r="D197" s="202"/>
      <c r="E197" s="202"/>
      <c r="F197" s="202"/>
      <c r="G197" s="202"/>
      <c r="H197" s="202"/>
      <c r="I197" s="202"/>
      <c r="J197" s="202"/>
      <c r="K197" s="202"/>
      <c r="L197" s="202"/>
      <c r="M197" s="202"/>
    </row>
    <row r="198" spans="1:16" ht="61.5" customHeight="1" x14ac:dyDescent="0.25">
      <c r="A198" s="206" t="s">
        <v>42</v>
      </c>
      <c r="B198" s="207"/>
      <c r="C198" s="208"/>
      <c r="D198" s="193" t="s">
        <v>43</v>
      </c>
      <c r="E198" s="203"/>
      <c r="F198" s="203"/>
      <c r="G198" s="203"/>
      <c r="H198" s="203"/>
      <c r="I198" s="203"/>
      <c r="J198" s="204"/>
      <c r="K198" s="191" t="s">
        <v>47</v>
      </c>
      <c r="L198" s="319"/>
    </row>
    <row r="199" spans="1:16" ht="24" customHeight="1" x14ac:dyDescent="0.25">
      <c r="A199" s="10" t="s">
        <v>44</v>
      </c>
      <c r="B199" s="164" t="s">
        <v>45</v>
      </c>
      <c r="C199" s="10" t="s">
        <v>46</v>
      </c>
      <c r="D199" s="9" t="s">
        <v>181</v>
      </c>
      <c r="E199" s="9" t="s">
        <v>182</v>
      </c>
      <c r="F199" s="9" t="s">
        <v>183</v>
      </c>
      <c r="G199" s="9" t="s">
        <v>184</v>
      </c>
      <c r="H199" s="9" t="s">
        <v>185</v>
      </c>
      <c r="I199" s="42" t="s">
        <v>186</v>
      </c>
      <c r="J199" s="160" t="s">
        <v>184</v>
      </c>
      <c r="K199" s="192"/>
      <c r="L199" s="319"/>
    </row>
    <row r="200" spans="1:16" ht="15.75" thickBot="1" x14ac:dyDescent="0.3">
      <c r="A200" s="15">
        <f>J151</f>
        <v>18288.0000009</v>
      </c>
      <c r="B200" s="15"/>
      <c r="C200" s="15"/>
      <c r="D200" s="15">
        <f>J72</f>
        <v>172.28</v>
      </c>
      <c r="E200" s="15">
        <f>J81</f>
        <v>4790.3999999999996</v>
      </c>
      <c r="F200" s="15">
        <f>I96</f>
        <v>953.2</v>
      </c>
      <c r="G200" s="15">
        <f>I111</f>
        <v>615.72</v>
      </c>
      <c r="H200" s="15">
        <f>H120</f>
        <v>20</v>
      </c>
      <c r="I200" s="143">
        <f>J182</f>
        <v>37722.80001336</v>
      </c>
      <c r="J200" s="142">
        <f>J188+J194</f>
        <v>1190.8</v>
      </c>
      <c r="K200" s="142">
        <f>SUM(D200:J200)+A200</f>
        <v>63753.200014260001</v>
      </c>
      <c r="L200" s="320"/>
    </row>
    <row r="201" spans="1:16" ht="15.75" thickBot="1" x14ac:dyDescent="0.3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P201" s="128">
        <f>K200*1</f>
        <v>63753.200014260001</v>
      </c>
    </row>
    <row r="202" spans="1:16" ht="15.75" thickBot="1" x14ac:dyDescent="0.3">
      <c r="A202" s="14" t="s">
        <v>88</v>
      </c>
      <c r="B202" s="14"/>
      <c r="C202" s="14"/>
      <c r="D202" s="11"/>
      <c r="E202" s="11"/>
      <c r="F202" s="11"/>
      <c r="G202" s="11"/>
      <c r="H202" s="11"/>
      <c r="I202" s="11"/>
      <c r="J202" s="91">
        <f>H72+H81+G96+G111+F120+H151+H182+H188+H194</f>
        <v>63753.200014260001</v>
      </c>
      <c r="K202" s="11"/>
      <c r="L202" s="11"/>
      <c r="M202" s="11"/>
    </row>
    <row r="203" spans="1:16" ht="8.25" customHeight="1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6" ht="6.75" customHeight="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6" ht="18.75" x14ac:dyDescent="0.3">
      <c r="A205" s="3" t="s">
        <v>176</v>
      </c>
      <c r="B205" s="3"/>
      <c r="C205" s="3"/>
      <c r="I205" s="3" t="s">
        <v>177</v>
      </c>
    </row>
    <row r="206" spans="1:16" ht="6.75" customHeight="1" x14ac:dyDescent="0.25"/>
    <row r="207" spans="1:16" ht="11.25" customHeight="1" x14ac:dyDescent="0.25">
      <c r="A207" s="157" t="s">
        <v>61</v>
      </c>
      <c r="B207" s="7"/>
    </row>
    <row r="208" spans="1:16" ht="11.25" customHeight="1" x14ac:dyDescent="0.25">
      <c r="A208" s="157" t="s">
        <v>111</v>
      </c>
      <c r="B208" s="7"/>
    </row>
    <row r="209" spans="1:3" ht="11.25" customHeight="1" x14ac:dyDescent="0.25">
      <c r="A209" s="157" t="s">
        <v>112</v>
      </c>
      <c r="C209" s="7"/>
    </row>
    <row r="210" spans="1:3" ht="15.75" x14ac:dyDescent="0.25">
      <c r="A210" s="2"/>
      <c r="B210" s="2"/>
      <c r="C210" s="2"/>
    </row>
  </sheetData>
  <mergeCells count="201">
    <mergeCell ref="A2:D2"/>
    <mergeCell ref="E2:G2"/>
    <mergeCell ref="A3:B3"/>
    <mergeCell ref="A4:C4"/>
    <mergeCell ref="E4:F4"/>
    <mergeCell ref="H4:K4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2:E32"/>
    <mergeCell ref="G32:K32"/>
    <mergeCell ref="A33:E33"/>
    <mergeCell ref="G33:K33"/>
    <mergeCell ref="A34:E34"/>
    <mergeCell ref="G34:K34"/>
    <mergeCell ref="A35:E35"/>
    <mergeCell ref="G35:K35"/>
    <mergeCell ref="A36:E36"/>
    <mergeCell ref="G36:K36"/>
    <mergeCell ref="A41:D41"/>
    <mergeCell ref="G41:N41"/>
    <mergeCell ref="A42:M42"/>
    <mergeCell ref="A44:D44"/>
    <mergeCell ref="A45:D45"/>
    <mergeCell ref="A46:D46"/>
    <mergeCell ref="A40:E40"/>
    <mergeCell ref="G40:K40"/>
    <mergeCell ref="A38:E38"/>
    <mergeCell ref="G38:K38"/>
    <mergeCell ref="A39:E39"/>
    <mergeCell ref="G39:K39"/>
    <mergeCell ref="A53:D53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65:K65"/>
    <mergeCell ref="A67:M67"/>
    <mergeCell ref="A68:D68"/>
    <mergeCell ref="A69:D69"/>
    <mergeCell ref="A70:D70"/>
    <mergeCell ref="A59:D59"/>
    <mergeCell ref="A60:D60"/>
    <mergeCell ref="A61:D61"/>
    <mergeCell ref="A62:D62"/>
    <mergeCell ref="A63:D63"/>
    <mergeCell ref="A64:D64"/>
    <mergeCell ref="A77:D77"/>
    <mergeCell ref="A78:D78"/>
    <mergeCell ref="A79:D79"/>
    <mergeCell ref="A80:D80"/>
    <mergeCell ref="A81:D81"/>
    <mergeCell ref="A83:M83"/>
    <mergeCell ref="A71:D71"/>
    <mergeCell ref="A72:D72"/>
    <mergeCell ref="A74:M74"/>
    <mergeCell ref="A75:D75"/>
    <mergeCell ref="A76:D76"/>
    <mergeCell ref="A99:D99"/>
    <mergeCell ref="A100:D100"/>
    <mergeCell ref="A101:D101"/>
    <mergeCell ref="A102:D102"/>
    <mergeCell ref="A103:D103"/>
    <mergeCell ref="A84:D84"/>
    <mergeCell ref="A89:D89"/>
    <mergeCell ref="A90:D90"/>
    <mergeCell ref="A94:D94"/>
    <mergeCell ref="A85:D85"/>
    <mergeCell ref="A86:D86"/>
    <mergeCell ref="A87:D87"/>
    <mergeCell ref="A88:D88"/>
    <mergeCell ref="A91:D91"/>
    <mergeCell ref="A95:D95"/>
    <mergeCell ref="A98:M98"/>
    <mergeCell ref="A113:M113"/>
    <mergeCell ref="A114:D114"/>
    <mergeCell ref="A115:D115"/>
    <mergeCell ref="A104:D104"/>
    <mergeCell ref="A105:D105"/>
    <mergeCell ref="A106:D106"/>
    <mergeCell ref="A110:D110"/>
    <mergeCell ref="A111:D111"/>
    <mergeCell ref="A109:D109"/>
    <mergeCell ref="A126:D126"/>
    <mergeCell ref="A127:D127"/>
    <mergeCell ref="A128:D128"/>
    <mergeCell ref="A129:D129"/>
    <mergeCell ref="A130:D130"/>
    <mergeCell ref="A131:D131"/>
    <mergeCell ref="A118:D118"/>
    <mergeCell ref="A119:D119"/>
    <mergeCell ref="A120:D120"/>
    <mergeCell ref="A122:M122"/>
    <mergeCell ref="A123:D123"/>
    <mergeCell ref="A124:D124"/>
    <mergeCell ref="A125:D125"/>
    <mergeCell ref="A149:D149"/>
    <mergeCell ref="A150:D150"/>
    <mergeCell ref="A151:D151"/>
    <mergeCell ref="A143:D143"/>
    <mergeCell ref="A144:D144"/>
    <mergeCell ref="A145:D145"/>
    <mergeCell ref="A146:D146"/>
    <mergeCell ref="A147:D147"/>
    <mergeCell ref="A132:D132"/>
    <mergeCell ref="A137:D137"/>
    <mergeCell ref="A135:D135"/>
    <mergeCell ref="A136:D136"/>
    <mergeCell ref="A133:D133"/>
    <mergeCell ref="A134:D134"/>
    <mergeCell ref="A138:D138"/>
    <mergeCell ref="A139:D139"/>
    <mergeCell ref="A140:D140"/>
    <mergeCell ref="A141:D141"/>
    <mergeCell ref="A142:D142"/>
    <mergeCell ref="A148:D148"/>
    <mergeCell ref="A181:D181"/>
    <mergeCell ref="A182:D182"/>
    <mergeCell ref="A174:D174"/>
    <mergeCell ref="A175:D175"/>
    <mergeCell ref="A176:D176"/>
    <mergeCell ref="A177:D177"/>
    <mergeCell ref="A178:D178"/>
    <mergeCell ref="A188:G188"/>
    <mergeCell ref="A190:D190"/>
    <mergeCell ref="A179:D179"/>
    <mergeCell ref="A180:D180"/>
    <mergeCell ref="A197:M197"/>
    <mergeCell ref="A198:C198"/>
    <mergeCell ref="K198:K199"/>
    <mergeCell ref="A187:D187"/>
    <mergeCell ref="A194:G194"/>
    <mergeCell ref="A184:K184"/>
    <mergeCell ref="A185:D185"/>
    <mergeCell ref="A186:D186"/>
    <mergeCell ref="A191:D191"/>
    <mergeCell ref="A192:D192"/>
    <mergeCell ref="D198:J198"/>
    <mergeCell ref="A193:D193"/>
    <mergeCell ref="A153:M153"/>
    <mergeCell ref="A170:D170"/>
    <mergeCell ref="A171:D171"/>
    <mergeCell ref="A172:D172"/>
    <mergeCell ref="A173:D173"/>
    <mergeCell ref="A164:D164"/>
    <mergeCell ref="A165:D165"/>
    <mergeCell ref="A166:D166"/>
    <mergeCell ref="A167:D167"/>
    <mergeCell ref="A158:D158"/>
    <mergeCell ref="A159:D159"/>
    <mergeCell ref="A160:D160"/>
    <mergeCell ref="A161:D161"/>
    <mergeCell ref="A162:D162"/>
    <mergeCell ref="A163:D163"/>
    <mergeCell ref="A154:D154"/>
    <mergeCell ref="A155:D155"/>
    <mergeCell ref="A156:D156"/>
    <mergeCell ref="A157:D157"/>
    <mergeCell ref="A168:D168"/>
    <mergeCell ref="A169:D169"/>
  </mergeCells>
  <pageMargins left="0.51181102362204722" right="0.11811023622047245" top="0.35433070866141736" bottom="0" header="0.31496062992125984" footer="0.31496062992125984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1"/>
  <sheetViews>
    <sheetView topLeftCell="A261" workbookViewId="0">
      <selection activeCell="A269" sqref="A269:XFD271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16.42578125" customWidth="1"/>
    <col min="6" max="6" width="13.85546875" customWidth="1"/>
    <col min="7" max="7" width="17.42578125" customWidth="1"/>
    <col min="8" max="8" width="18.85546875" customWidth="1"/>
    <col min="9" max="9" width="15.140625" customWidth="1"/>
    <col min="10" max="10" width="13.85546875" customWidth="1"/>
    <col min="11" max="11" width="16" customWidth="1"/>
    <col min="12" max="12" width="13.140625" customWidth="1"/>
    <col min="13" max="13" width="11.7109375" customWidth="1"/>
  </cols>
  <sheetData>
    <row r="1" spans="1:12" hidden="1" x14ac:dyDescent="0.25"/>
    <row r="2" spans="1:12" ht="15.75" hidden="1" x14ac:dyDescent="0.25">
      <c r="A2" s="240"/>
      <c r="B2" s="240"/>
      <c r="C2" s="240"/>
      <c r="D2" s="240"/>
      <c r="E2" s="240"/>
      <c r="F2" s="240"/>
      <c r="G2" s="240"/>
    </row>
    <row r="3" spans="1:12" ht="15.75" hidden="1" customHeight="1" x14ac:dyDescent="0.25">
      <c r="A3" s="240"/>
      <c r="B3" s="240"/>
      <c r="C3" s="62"/>
      <c r="D3" s="62"/>
      <c r="E3" s="136"/>
      <c r="F3" s="62"/>
      <c r="G3" s="62"/>
    </row>
    <row r="4" spans="1:12" ht="15.75" x14ac:dyDescent="0.25">
      <c r="A4" s="136"/>
      <c r="B4" s="136"/>
      <c r="C4" s="62"/>
      <c r="D4" s="62"/>
      <c r="E4" s="136"/>
      <c r="F4" s="62"/>
      <c r="G4" s="62"/>
    </row>
    <row r="5" spans="1:12" ht="40.5" customHeight="1" x14ac:dyDescent="0.25">
      <c r="A5" s="241"/>
      <c r="B5" s="241"/>
      <c r="C5" s="241"/>
      <c r="D5" s="137"/>
      <c r="E5" s="241"/>
      <c r="F5" s="241"/>
      <c r="G5" s="64"/>
      <c r="H5" s="257" t="s">
        <v>94</v>
      </c>
      <c r="I5" s="258"/>
      <c r="J5" s="258"/>
      <c r="K5" s="258"/>
    </row>
    <row r="6" spans="1:12" ht="15.75" x14ac:dyDescent="0.25">
      <c r="A6" s="4"/>
      <c r="B6" s="4"/>
      <c r="C6" s="4"/>
      <c r="D6" s="135"/>
      <c r="E6" s="4"/>
      <c r="F6" s="4"/>
      <c r="G6" s="135"/>
    </row>
    <row r="7" spans="1:12" ht="15.75" x14ac:dyDescent="0.25">
      <c r="A7" s="277"/>
      <c r="B7" s="277"/>
      <c r="C7" s="277"/>
      <c r="D7" s="135"/>
      <c r="E7" s="277"/>
      <c r="F7" s="277"/>
      <c r="G7" s="135"/>
    </row>
    <row r="8" spans="1:12" x14ac:dyDescent="0.25">
      <c r="A8" s="138"/>
      <c r="B8" s="138"/>
      <c r="C8" s="138"/>
      <c r="D8" s="138"/>
      <c r="E8" s="138"/>
      <c r="F8" s="138"/>
      <c r="G8" s="138"/>
    </row>
    <row r="9" spans="1:12" ht="15.75" x14ac:dyDescent="0.25">
      <c r="A9" s="275" t="s">
        <v>98</v>
      </c>
      <c r="B9" s="276"/>
      <c r="C9" s="276"/>
      <c r="D9" s="276"/>
      <c r="E9" s="276"/>
      <c r="F9" s="276"/>
      <c r="G9" s="138"/>
    </row>
    <row r="10" spans="1:12" ht="15.75" x14ac:dyDescent="0.25">
      <c r="A10" s="275" t="s">
        <v>99</v>
      </c>
      <c r="B10" s="276"/>
      <c r="C10" s="276"/>
      <c r="D10" s="276"/>
      <c r="E10" s="276"/>
      <c r="F10" s="276"/>
      <c r="G10" s="258"/>
    </row>
    <row r="12" spans="1:12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1:12" ht="15.75" x14ac:dyDescent="0.25">
      <c r="A13" s="8" t="s">
        <v>100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1:12" ht="17.25" customHeight="1" x14ac:dyDescent="0.25">
      <c r="A14" s="255" t="s">
        <v>116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</row>
    <row r="15" spans="1:12" ht="15.75" x14ac:dyDescent="0.25">
      <c r="A15" s="8" t="s">
        <v>81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2" ht="15.75" x14ac:dyDescent="0.25">
      <c r="A16" s="8" t="s">
        <v>154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3" ht="15.75" x14ac:dyDescent="0.25">
      <c r="A17" s="8" t="s">
        <v>147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3" ht="51.75" customHeight="1" x14ac:dyDescent="0.25">
      <c r="A18" s="252" t="s">
        <v>90</v>
      </c>
      <c r="B18" s="252"/>
      <c r="C18" s="252"/>
      <c r="D18" s="252"/>
      <c r="E18" s="252"/>
      <c r="F18" s="9" t="s">
        <v>89</v>
      </c>
      <c r="G18" s="252" t="s">
        <v>91</v>
      </c>
      <c r="H18" s="252"/>
      <c r="I18" s="252"/>
      <c r="J18" s="252"/>
      <c r="K18" s="252"/>
      <c r="L18" s="9" t="s">
        <v>89</v>
      </c>
      <c r="M18" s="97" t="s">
        <v>89</v>
      </c>
    </row>
    <row r="19" spans="1:13" x14ac:dyDescent="0.25">
      <c r="A19" s="253" t="s">
        <v>127</v>
      </c>
      <c r="B19" s="253"/>
      <c r="C19" s="253"/>
      <c r="D19" s="253"/>
      <c r="E19" s="253"/>
      <c r="F19" s="151">
        <v>4.92</v>
      </c>
      <c r="G19" s="254" t="s">
        <v>1</v>
      </c>
      <c r="H19" s="254"/>
      <c r="I19" s="254"/>
      <c r="J19" s="254"/>
      <c r="K19" s="254"/>
      <c r="L19" s="151">
        <v>1</v>
      </c>
      <c r="M19" s="98">
        <v>1</v>
      </c>
    </row>
    <row r="20" spans="1:13" x14ac:dyDescent="0.25">
      <c r="A20" s="253" t="s">
        <v>128</v>
      </c>
      <c r="B20" s="253"/>
      <c r="C20" s="253"/>
      <c r="D20" s="253"/>
      <c r="E20" s="253"/>
      <c r="F20" s="151">
        <v>8.83</v>
      </c>
      <c r="G20" s="246" t="s">
        <v>129</v>
      </c>
      <c r="H20" s="247"/>
      <c r="I20" s="247"/>
      <c r="J20" s="247"/>
      <c r="K20" s="248"/>
      <c r="L20" s="151">
        <v>4</v>
      </c>
      <c r="M20" s="98">
        <v>1</v>
      </c>
    </row>
    <row r="21" spans="1:13" x14ac:dyDescent="0.25">
      <c r="A21" s="253"/>
      <c r="B21" s="253"/>
      <c r="C21" s="253"/>
      <c r="D21" s="253"/>
      <c r="E21" s="253"/>
      <c r="F21" s="151"/>
      <c r="G21" s="253" t="s">
        <v>130</v>
      </c>
      <c r="H21" s="253"/>
      <c r="I21" s="253"/>
      <c r="J21" s="253"/>
      <c r="K21" s="253"/>
      <c r="L21" s="151">
        <v>1</v>
      </c>
      <c r="M21" s="98">
        <v>1</v>
      </c>
    </row>
    <row r="22" spans="1:13" x14ac:dyDescent="0.25">
      <c r="A22" s="253"/>
      <c r="B22" s="253"/>
      <c r="C22" s="253"/>
      <c r="D22" s="253"/>
      <c r="E22" s="253"/>
      <c r="F22" s="151"/>
      <c r="G22" s="259" t="s">
        <v>97</v>
      </c>
      <c r="H22" s="260"/>
      <c r="I22" s="260"/>
      <c r="J22" s="260"/>
      <c r="K22" s="261"/>
      <c r="L22" s="151">
        <v>1</v>
      </c>
      <c r="M22" s="98">
        <v>3</v>
      </c>
    </row>
    <row r="23" spans="1:13" ht="15" customHeight="1" x14ac:dyDescent="0.25">
      <c r="A23" s="253"/>
      <c r="B23" s="253"/>
      <c r="C23" s="253"/>
      <c r="D23" s="253"/>
      <c r="E23" s="253"/>
      <c r="F23" s="151"/>
      <c r="G23" s="254" t="s">
        <v>131</v>
      </c>
      <c r="H23" s="254"/>
      <c r="I23" s="254"/>
      <c r="J23" s="254"/>
      <c r="K23" s="254"/>
      <c r="L23" s="151">
        <v>0.5</v>
      </c>
      <c r="M23" s="98">
        <v>1</v>
      </c>
    </row>
    <row r="24" spans="1:13" ht="15" customHeight="1" x14ac:dyDescent="0.25">
      <c r="A24" s="253"/>
      <c r="B24" s="253"/>
      <c r="C24" s="253"/>
      <c r="D24" s="253"/>
      <c r="E24" s="253"/>
      <c r="F24" s="151"/>
      <c r="G24" s="254" t="s">
        <v>95</v>
      </c>
      <c r="H24" s="254"/>
      <c r="I24" s="254"/>
      <c r="J24" s="254"/>
      <c r="K24" s="254"/>
      <c r="L24" s="152">
        <v>1</v>
      </c>
      <c r="M24" s="98">
        <v>0.5</v>
      </c>
    </row>
    <row r="25" spans="1:13" ht="15.75" customHeight="1" x14ac:dyDescent="0.25">
      <c r="A25" s="253"/>
      <c r="B25" s="253"/>
      <c r="C25" s="253"/>
      <c r="D25" s="253"/>
      <c r="E25" s="253"/>
      <c r="F25" s="151"/>
      <c r="G25" s="205" t="s">
        <v>132</v>
      </c>
      <c r="H25" s="205"/>
      <c r="I25" s="205"/>
      <c r="J25" s="205"/>
      <c r="K25" s="205"/>
      <c r="L25" s="152">
        <v>0.5</v>
      </c>
      <c r="M25" s="98">
        <v>2</v>
      </c>
    </row>
    <row r="26" spans="1:13" ht="15.75" hidden="1" customHeight="1" x14ac:dyDescent="0.25">
      <c r="A26" s="246"/>
      <c r="B26" s="247"/>
      <c r="C26" s="247"/>
      <c r="D26" s="247"/>
      <c r="E26" s="248"/>
      <c r="F26" s="151"/>
      <c r="G26" s="243"/>
      <c r="H26" s="244"/>
      <c r="I26" s="244"/>
      <c r="J26" s="244"/>
      <c r="K26" s="245"/>
      <c r="L26" s="152"/>
      <c r="M26" s="98"/>
    </row>
    <row r="27" spans="1:13" ht="15.75" customHeight="1" x14ac:dyDescent="0.25">
      <c r="A27" s="246"/>
      <c r="B27" s="247"/>
      <c r="C27" s="247"/>
      <c r="D27" s="247"/>
      <c r="E27" s="248"/>
      <c r="F27" s="151"/>
      <c r="G27" s="243" t="s">
        <v>133</v>
      </c>
      <c r="H27" s="244"/>
      <c r="I27" s="244"/>
      <c r="J27" s="244"/>
      <c r="K27" s="245"/>
      <c r="L27" s="152">
        <v>1</v>
      </c>
      <c r="M27" s="98">
        <v>1</v>
      </c>
    </row>
    <row r="28" spans="1:13" ht="15.75" hidden="1" customHeight="1" x14ac:dyDescent="0.25">
      <c r="A28" s="246"/>
      <c r="B28" s="247"/>
      <c r="C28" s="247"/>
      <c r="D28" s="247"/>
      <c r="E28" s="248"/>
      <c r="F28" s="153"/>
      <c r="G28" s="243"/>
      <c r="H28" s="244"/>
      <c r="I28" s="244"/>
      <c r="J28" s="244"/>
      <c r="K28" s="245"/>
      <c r="L28" s="154"/>
      <c r="M28" s="99"/>
    </row>
    <row r="29" spans="1:13" ht="15.75" customHeight="1" x14ac:dyDescent="0.25">
      <c r="A29" s="246"/>
      <c r="B29" s="247"/>
      <c r="C29" s="247"/>
      <c r="D29" s="247"/>
      <c r="E29" s="248"/>
      <c r="F29" s="153"/>
      <c r="G29" s="249" t="s">
        <v>134</v>
      </c>
      <c r="H29" s="250"/>
      <c r="I29" s="250"/>
      <c r="J29" s="250"/>
      <c r="K29" s="251"/>
      <c r="L29" s="154">
        <v>2</v>
      </c>
      <c r="M29" s="99">
        <v>0.5</v>
      </c>
    </row>
    <row r="30" spans="1:13" ht="15.75" customHeight="1" x14ac:dyDescent="0.25">
      <c r="A30" s="246"/>
      <c r="B30" s="247"/>
      <c r="C30" s="247"/>
      <c r="D30" s="247"/>
      <c r="E30" s="248"/>
      <c r="F30" s="153"/>
      <c r="G30" s="243" t="s">
        <v>96</v>
      </c>
      <c r="H30" s="244"/>
      <c r="I30" s="244"/>
      <c r="J30" s="244"/>
      <c r="K30" s="245"/>
      <c r="L30" s="154">
        <v>1</v>
      </c>
      <c r="M30" s="99">
        <v>2</v>
      </c>
    </row>
    <row r="31" spans="1:13" ht="15" customHeight="1" x14ac:dyDescent="0.25">
      <c r="A31" s="246"/>
      <c r="B31" s="247"/>
      <c r="C31" s="247"/>
      <c r="D31" s="247"/>
      <c r="E31" s="248"/>
      <c r="F31" s="153"/>
      <c r="G31" s="243"/>
      <c r="H31" s="244"/>
      <c r="I31" s="244"/>
      <c r="J31" s="244"/>
      <c r="K31" s="245"/>
      <c r="L31" s="154"/>
      <c r="M31" s="99">
        <v>1</v>
      </c>
    </row>
    <row r="32" spans="1:13" ht="15" customHeight="1" x14ac:dyDescent="0.25">
      <c r="A32" s="246"/>
      <c r="B32" s="247"/>
      <c r="C32" s="247"/>
      <c r="D32" s="247"/>
      <c r="E32" s="248"/>
      <c r="F32" s="153"/>
      <c r="G32" s="243"/>
      <c r="H32" s="244"/>
      <c r="I32" s="244"/>
      <c r="J32" s="244"/>
      <c r="K32" s="245"/>
      <c r="L32" s="154"/>
      <c r="M32" s="99">
        <v>3</v>
      </c>
    </row>
    <row r="33" spans="1:13" x14ac:dyDescent="0.25">
      <c r="A33" s="246"/>
      <c r="B33" s="247"/>
      <c r="C33" s="247"/>
      <c r="D33" s="247"/>
      <c r="E33" s="248"/>
      <c r="F33" s="153"/>
      <c r="G33" s="243"/>
      <c r="H33" s="244"/>
      <c r="I33" s="244"/>
      <c r="J33" s="244"/>
      <c r="K33" s="245"/>
      <c r="L33" s="154"/>
      <c r="M33" s="99">
        <v>1</v>
      </c>
    </row>
    <row r="34" spans="1:13" ht="15" customHeight="1" x14ac:dyDescent="0.25">
      <c r="A34" s="246"/>
      <c r="B34" s="247"/>
      <c r="C34" s="247"/>
      <c r="D34" s="247"/>
      <c r="E34" s="248"/>
      <c r="F34" s="153"/>
      <c r="G34" s="243"/>
      <c r="H34" s="244"/>
      <c r="I34" s="244"/>
      <c r="J34" s="244"/>
      <c r="K34" s="245"/>
      <c r="L34" s="154"/>
      <c r="M34" s="99">
        <v>1</v>
      </c>
    </row>
    <row r="35" spans="1:13" x14ac:dyDescent="0.25">
      <c r="A35" s="246"/>
      <c r="B35" s="247"/>
      <c r="C35" s="247"/>
      <c r="D35" s="247"/>
      <c r="E35" s="248"/>
      <c r="F35" s="153"/>
      <c r="G35" s="243"/>
      <c r="H35" s="244"/>
      <c r="I35" s="244"/>
      <c r="J35" s="244"/>
      <c r="K35" s="245"/>
      <c r="L35" s="154"/>
      <c r="M35" s="99">
        <v>1</v>
      </c>
    </row>
    <row r="36" spans="1:13" ht="15" customHeight="1" x14ac:dyDescent="0.25">
      <c r="A36" s="246"/>
      <c r="B36" s="247"/>
      <c r="C36" s="247"/>
      <c r="D36" s="247"/>
      <c r="E36" s="248"/>
      <c r="F36" s="153"/>
      <c r="G36" s="243"/>
      <c r="H36" s="244"/>
      <c r="I36" s="244"/>
      <c r="J36" s="244"/>
      <c r="K36" s="245"/>
      <c r="L36" s="154"/>
      <c r="M36" s="99">
        <v>3</v>
      </c>
    </row>
    <row r="37" spans="1:13" ht="15" customHeight="1" x14ac:dyDescent="0.25">
      <c r="A37" s="242"/>
      <c r="B37" s="242"/>
      <c r="C37" s="242"/>
      <c r="D37" s="242"/>
      <c r="E37" s="242"/>
      <c r="F37" s="153"/>
      <c r="G37" s="205" t="s">
        <v>135</v>
      </c>
      <c r="H37" s="205"/>
      <c r="I37" s="205"/>
      <c r="J37" s="205"/>
      <c r="K37" s="205"/>
      <c r="L37" s="154">
        <v>4.75</v>
      </c>
      <c r="M37" s="99">
        <v>7</v>
      </c>
    </row>
    <row r="38" spans="1:13" ht="15.75" customHeight="1" x14ac:dyDescent="0.25">
      <c r="A38" s="242"/>
      <c r="B38" s="242"/>
      <c r="C38" s="242"/>
      <c r="D38" s="242"/>
      <c r="E38" s="242"/>
      <c r="F38" s="153"/>
      <c r="G38" s="205" t="s">
        <v>136</v>
      </c>
      <c r="H38" s="205"/>
      <c r="I38" s="205"/>
      <c r="J38" s="205"/>
      <c r="K38" s="205"/>
      <c r="L38" s="154">
        <v>3.5</v>
      </c>
      <c r="M38" s="98">
        <v>7</v>
      </c>
    </row>
    <row r="39" spans="1:13" x14ac:dyDescent="0.25">
      <c r="A39" s="214"/>
      <c r="B39" s="214"/>
      <c r="C39" s="214"/>
      <c r="D39" s="214"/>
      <c r="E39" s="214"/>
      <c r="F39" s="60"/>
      <c r="G39" s="205" t="s">
        <v>137</v>
      </c>
      <c r="H39" s="205"/>
      <c r="I39" s="205"/>
      <c r="J39" s="205"/>
      <c r="K39" s="205"/>
      <c r="L39" s="154">
        <v>2</v>
      </c>
      <c r="M39" s="98">
        <v>2</v>
      </c>
    </row>
    <row r="40" spans="1:13" ht="27.75" customHeight="1" x14ac:dyDescent="0.25">
      <c r="A40" s="214"/>
      <c r="B40" s="214"/>
      <c r="C40" s="214"/>
      <c r="D40" s="214"/>
      <c r="E40" s="214"/>
      <c r="F40" s="60"/>
      <c r="G40" s="205" t="s">
        <v>138</v>
      </c>
      <c r="H40" s="205"/>
      <c r="I40" s="205"/>
      <c r="J40" s="205"/>
      <c r="K40" s="205"/>
      <c r="L40" s="154">
        <v>1</v>
      </c>
      <c r="M40" s="98">
        <v>1</v>
      </c>
    </row>
    <row r="41" spans="1:13" x14ac:dyDescent="0.25">
      <c r="A41" s="214"/>
      <c r="B41" s="214"/>
      <c r="C41" s="214"/>
      <c r="D41" s="214"/>
      <c r="E41" s="214"/>
      <c r="F41" s="60"/>
      <c r="G41" s="205" t="s">
        <v>139</v>
      </c>
      <c r="H41" s="205"/>
      <c r="I41" s="205"/>
      <c r="J41" s="205"/>
      <c r="K41" s="205"/>
      <c r="L41" s="154">
        <v>0.5</v>
      </c>
      <c r="M41" s="99">
        <v>1</v>
      </c>
    </row>
    <row r="42" spans="1:13" ht="12.75" customHeight="1" x14ac:dyDescent="0.25">
      <c r="A42" s="214"/>
      <c r="B42" s="214"/>
      <c r="C42" s="214"/>
      <c r="D42" s="214"/>
      <c r="E42" s="214"/>
      <c r="F42" s="60"/>
      <c r="G42" s="196" t="s">
        <v>140</v>
      </c>
      <c r="H42" s="197"/>
      <c r="I42" s="197"/>
      <c r="J42" s="197"/>
      <c r="K42" s="198"/>
      <c r="L42" s="154">
        <v>0.5</v>
      </c>
      <c r="M42" s="99">
        <v>12</v>
      </c>
    </row>
    <row r="43" spans="1:13" ht="15" customHeight="1" x14ac:dyDescent="0.25">
      <c r="A43" s="214"/>
      <c r="B43" s="214"/>
      <c r="C43" s="214"/>
      <c r="D43" s="214"/>
      <c r="E43" s="214"/>
      <c r="F43" s="60"/>
      <c r="G43" s="196" t="s">
        <v>141</v>
      </c>
      <c r="H43" s="197"/>
      <c r="I43" s="197"/>
      <c r="J43" s="197"/>
      <c r="K43" s="198"/>
      <c r="L43" s="154">
        <v>16</v>
      </c>
      <c r="M43" s="99">
        <v>1</v>
      </c>
    </row>
    <row r="44" spans="1:13" x14ac:dyDescent="0.25">
      <c r="A44" s="229"/>
      <c r="B44" s="230"/>
      <c r="C44" s="230"/>
      <c r="D44" s="230"/>
      <c r="E44" s="231"/>
      <c r="F44" s="60"/>
      <c r="G44" s="246" t="s">
        <v>142</v>
      </c>
      <c r="H44" s="247"/>
      <c r="I44" s="247"/>
      <c r="J44" s="247"/>
      <c r="K44" s="273"/>
      <c r="L44" s="151">
        <v>2</v>
      </c>
      <c r="M44" s="99">
        <v>1</v>
      </c>
    </row>
    <row r="45" spans="1:13" ht="15" customHeight="1" x14ac:dyDescent="0.25">
      <c r="A45" s="229"/>
      <c r="B45" s="230"/>
      <c r="C45" s="230"/>
      <c r="D45" s="230"/>
      <c r="E45" s="231"/>
      <c r="F45" s="60"/>
      <c r="G45" s="246" t="s">
        <v>143</v>
      </c>
      <c r="H45" s="247"/>
      <c r="I45" s="247"/>
      <c r="J45" s="247"/>
      <c r="K45" s="273"/>
      <c r="L45" s="151">
        <v>1</v>
      </c>
      <c r="M45" s="99">
        <v>3</v>
      </c>
    </row>
    <row r="46" spans="1:13" ht="15" customHeight="1" x14ac:dyDescent="0.25">
      <c r="A46" s="229"/>
      <c r="B46" s="230"/>
      <c r="C46" s="230"/>
      <c r="D46" s="230"/>
      <c r="E46" s="231"/>
      <c r="F46" s="60"/>
      <c r="G46" s="246" t="s">
        <v>144</v>
      </c>
      <c r="H46" s="247"/>
      <c r="I46" s="247"/>
      <c r="J46" s="247"/>
      <c r="K46" s="273"/>
      <c r="L46" s="151">
        <v>1</v>
      </c>
      <c r="M46" s="99">
        <v>1</v>
      </c>
    </row>
    <row r="47" spans="1:13" ht="15" customHeight="1" x14ac:dyDescent="0.25">
      <c r="A47" s="229"/>
      <c r="B47" s="230"/>
      <c r="C47" s="230"/>
      <c r="D47" s="230"/>
      <c r="E47" s="231"/>
      <c r="F47" s="60"/>
      <c r="G47" s="246" t="s">
        <v>145</v>
      </c>
      <c r="H47" s="247"/>
      <c r="I47" s="247"/>
      <c r="J47" s="247"/>
      <c r="K47" s="273"/>
      <c r="L47" s="154">
        <v>10</v>
      </c>
      <c r="M47" s="99">
        <v>1</v>
      </c>
    </row>
    <row r="48" spans="1:13" ht="15" customHeight="1" x14ac:dyDescent="0.25">
      <c r="A48" s="229"/>
      <c r="B48" s="230"/>
      <c r="C48" s="230"/>
      <c r="D48" s="230"/>
      <c r="E48" s="231"/>
      <c r="F48" s="60"/>
      <c r="G48" s="144"/>
      <c r="H48" s="145"/>
      <c r="I48" s="145"/>
      <c r="J48" s="145"/>
      <c r="K48" s="148"/>
      <c r="L48" s="154"/>
      <c r="M48" s="99">
        <v>4</v>
      </c>
    </row>
    <row r="49" spans="1:14" ht="15" customHeight="1" x14ac:dyDescent="0.25">
      <c r="A49" s="229"/>
      <c r="B49" s="230"/>
      <c r="C49" s="230"/>
      <c r="D49" s="230"/>
      <c r="E49" s="231"/>
      <c r="F49" s="60"/>
      <c r="G49" s="144"/>
      <c r="H49" s="145"/>
      <c r="I49" s="145"/>
      <c r="J49" s="145"/>
      <c r="K49" s="148"/>
      <c r="L49" s="154"/>
      <c r="M49" s="99">
        <v>1</v>
      </c>
    </row>
    <row r="50" spans="1:14" ht="15" customHeight="1" x14ac:dyDescent="0.25">
      <c r="A50" s="229"/>
      <c r="B50" s="230"/>
      <c r="C50" s="230"/>
      <c r="D50" s="230"/>
      <c r="E50" s="231"/>
      <c r="F50" s="60"/>
      <c r="G50" s="144"/>
      <c r="H50" s="145"/>
      <c r="I50" s="145"/>
      <c r="J50" s="145"/>
      <c r="K50" s="148"/>
      <c r="L50" s="154"/>
      <c r="M50" s="99">
        <v>4</v>
      </c>
    </row>
    <row r="51" spans="1:14" ht="15" customHeight="1" x14ac:dyDescent="0.25">
      <c r="A51" s="229"/>
      <c r="B51" s="230"/>
      <c r="C51" s="230"/>
      <c r="D51" s="230"/>
      <c r="E51" s="231"/>
      <c r="F51" s="60"/>
      <c r="G51" s="196"/>
      <c r="H51" s="197"/>
      <c r="I51" s="197"/>
      <c r="J51" s="197"/>
      <c r="K51" s="198"/>
      <c r="L51" s="154"/>
      <c r="M51" s="99">
        <v>1</v>
      </c>
    </row>
    <row r="52" spans="1:14" ht="15" customHeight="1" x14ac:dyDescent="0.25">
      <c r="A52" s="224" t="s">
        <v>2</v>
      </c>
      <c r="B52" s="224"/>
      <c r="C52" s="224"/>
      <c r="D52" s="224"/>
      <c r="E52" s="224"/>
      <c r="F52" s="155">
        <f>SUM(F19:F43)</f>
        <v>13.75</v>
      </c>
      <c r="G52" s="262" t="s">
        <v>2</v>
      </c>
      <c r="H52" s="262"/>
      <c r="I52" s="262"/>
      <c r="J52" s="262"/>
      <c r="K52" s="262"/>
      <c r="L52" s="156">
        <f>SUM(L19:L51)</f>
        <v>55.25</v>
      </c>
      <c r="M52" s="99">
        <v>4</v>
      </c>
    </row>
    <row r="53" spans="1:14" ht="98.25" hidden="1" customHeight="1" x14ac:dyDescent="0.25">
      <c r="A53" s="224" t="s">
        <v>2</v>
      </c>
      <c r="B53" s="224"/>
      <c r="C53" s="224"/>
      <c r="D53" s="224"/>
      <c r="E53" s="100">
        <f>SUM(E19:E37)</f>
        <v>0</v>
      </c>
      <c r="F53" s="133"/>
      <c r="G53" s="225" t="s">
        <v>2</v>
      </c>
      <c r="H53" s="225"/>
      <c r="I53" s="225"/>
      <c r="J53" s="225"/>
      <c r="K53" s="225"/>
      <c r="L53" s="225"/>
      <c r="M53" s="225"/>
      <c r="N53" s="133">
        <f>SUM(M19:M52)</f>
        <v>74</v>
      </c>
    </row>
    <row r="54" spans="1:14" hidden="1" x14ac:dyDescent="0.25">
      <c r="A54" s="220" t="s">
        <v>15</v>
      </c>
      <c r="B54" s="220"/>
      <c r="C54" s="220"/>
      <c r="D54" s="220"/>
      <c r="E54" s="220"/>
      <c r="F54" s="220"/>
      <c r="G54" s="220"/>
      <c r="H54" s="220"/>
      <c r="I54" s="220"/>
      <c r="J54" s="220"/>
      <c r="K54" s="220"/>
      <c r="L54" s="220"/>
    </row>
    <row r="55" spans="1:14" hidden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1:14" ht="80.25" hidden="1" customHeight="1" x14ac:dyDescent="0.25">
      <c r="A56" s="221" t="s">
        <v>6</v>
      </c>
      <c r="B56" s="221"/>
      <c r="C56" s="221"/>
      <c r="D56" s="221"/>
      <c r="E56" s="21" t="s">
        <v>7</v>
      </c>
      <c r="F56" s="21" t="s">
        <v>8</v>
      </c>
      <c r="G56" s="21" t="s">
        <v>9</v>
      </c>
      <c r="H56" s="21" t="s">
        <v>10</v>
      </c>
      <c r="I56" s="21"/>
      <c r="J56" s="21" t="s">
        <v>11</v>
      </c>
      <c r="K56" s="21" t="s">
        <v>12</v>
      </c>
      <c r="L56" s="21" t="s">
        <v>5</v>
      </c>
    </row>
    <row r="57" spans="1:14" ht="15" hidden="1" customHeight="1" x14ac:dyDescent="0.25">
      <c r="A57" s="222">
        <v>1</v>
      </c>
      <c r="B57" s="223"/>
      <c r="C57" s="223"/>
      <c r="D57" s="223"/>
      <c r="E57" s="21">
        <v>2</v>
      </c>
      <c r="F57" s="21">
        <v>3</v>
      </c>
      <c r="G57" s="21">
        <v>4</v>
      </c>
      <c r="H57" s="21" t="s">
        <v>48</v>
      </c>
      <c r="I57" s="21"/>
      <c r="J57" s="21">
        <v>6</v>
      </c>
      <c r="K57" s="21">
        <v>7</v>
      </c>
      <c r="L57" s="21" t="s">
        <v>49</v>
      </c>
    </row>
    <row r="58" spans="1:14" ht="15" hidden="1" customHeight="1" x14ac:dyDescent="0.25">
      <c r="A58" s="274" t="s">
        <v>51</v>
      </c>
      <c r="B58" s="274"/>
      <c r="C58" s="274"/>
      <c r="D58" s="274"/>
      <c r="E58" s="22" t="s">
        <v>13</v>
      </c>
      <c r="F58" s="21">
        <v>7</v>
      </c>
      <c r="G58" s="22">
        <v>10</v>
      </c>
      <c r="H58" s="23">
        <f>F58/G58</f>
        <v>0.7</v>
      </c>
      <c r="I58" s="23"/>
      <c r="J58" s="21">
        <v>20</v>
      </c>
      <c r="K58" s="24">
        <v>7100</v>
      </c>
      <c r="L58" s="24">
        <f>H58*K58</f>
        <v>4970</v>
      </c>
    </row>
    <row r="59" spans="1:14" ht="15" hidden="1" customHeight="1" x14ac:dyDescent="0.25">
      <c r="A59" s="274" t="s">
        <v>52</v>
      </c>
      <c r="B59" s="274"/>
      <c r="C59" s="274"/>
      <c r="D59" s="274"/>
      <c r="E59" s="22" t="s">
        <v>13</v>
      </c>
      <c r="F59" s="21">
        <v>1</v>
      </c>
      <c r="G59" s="22">
        <v>10</v>
      </c>
      <c r="H59" s="23">
        <f t="shared" ref="H59:H75" si="0">F59/G59</f>
        <v>0.1</v>
      </c>
      <c r="I59" s="23"/>
      <c r="J59" s="21">
        <v>20</v>
      </c>
      <c r="K59" s="24">
        <v>538700</v>
      </c>
      <c r="L59" s="24">
        <f t="shared" ref="L59:L76" si="1">H59*K59</f>
        <v>53870</v>
      </c>
    </row>
    <row r="60" spans="1:14" ht="15" hidden="1" customHeight="1" x14ac:dyDescent="0.25">
      <c r="A60" s="274" t="s">
        <v>53</v>
      </c>
      <c r="B60" s="274"/>
      <c r="C60" s="274"/>
      <c r="D60" s="274"/>
      <c r="E60" s="22" t="s">
        <v>13</v>
      </c>
      <c r="F60" s="21">
        <v>1</v>
      </c>
      <c r="G60" s="22">
        <v>10</v>
      </c>
      <c r="H60" s="23">
        <f t="shared" si="0"/>
        <v>0.1</v>
      </c>
      <c r="I60" s="23"/>
      <c r="J60" s="21">
        <v>20</v>
      </c>
      <c r="K60" s="24">
        <v>380000</v>
      </c>
      <c r="L60" s="24">
        <f t="shared" si="1"/>
        <v>38000</v>
      </c>
    </row>
    <row r="61" spans="1:14" ht="12.75" hidden="1" customHeight="1" x14ac:dyDescent="0.25">
      <c r="A61" s="274"/>
      <c r="B61" s="274"/>
      <c r="C61" s="274"/>
      <c r="D61" s="274"/>
      <c r="E61" s="22" t="s">
        <v>13</v>
      </c>
      <c r="F61" s="21"/>
      <c r="G61" s="22">
        <v>10</v>
      </c>
      <c r="H61" s="23">
        <f t="shared" si="0"/>
        <v>0</v>
      </c>
      <c r="I61" s="23"/>
      <c r="J61" s="21"/>
      <c r="K61" s="24"/>
      <c r="L61" s="24">
        <f t="shared" si="1"/>
        <v>0</v>
      </c>
    </row>
    <row r="62" spans="1:14" ht="15" hidden="1" customHeight="1" x14ac:dyDescent="0.25">
      <c r="A62" s="274"/>
      <c r="B62" s="274"/>
      <c r="C62" s="274"/>
      <c r="D62" s="274"/>
      <c r="E62" s="22" t="s">
        <v>13</v>
      </c>
      <c r="F62" s="21"/>
      <c r="G62" s="22">
        <v>10</v>
      </c>
      <c r="H62" s="23">
        <f t="shared" si="0"/>
        <v>0</v>
      </c>
      <c r="I62" s="23"/>
      <c r="J62" s="21"/>
      <c r="K62" s="24"/>
      <c r="L62" s="24">
        <f t="shared" si="1"/>
        <v>0</v>
      </c>
    </row>
    <row r="63" spans="1:14" ht="15" hidden="1" customHeight="1" x14ac:dyDescent="0.25">
      <c r="A63" s="266"/>
      <c r="B63" s="267"/>
      <c r="C63" s="267"/>
      <c r="D63" s="267"/>
      <c r="E63" s="22" t="s">
        <v>13</v>
      </c>
      <c r="F63" s="21"/>
      <c r="G63" s="22">
        <v>10</v>
      </c>
      <c r="H63" s="23">
        <f t="shared" si="0"/>
        <v>0</v>
      </c>
      <c r="I63" s="23"/>
      <c r="J63" s="21"/>
      <c r="K63" s="24"/>
      <c r="L63" s="24">
        <f t="shared" si="1"/>
        <v>0</v>
      </c>
    </row>
    <row r="64" spans="1:14" ht="15" hidden="1" customHeight="1" x14ac:dyDescent="0.25">
      <c r="A64" s="266"/>
      <c r="B64" s="267"/>
      <c r="C64" s="267"/>
      <c r="D64" s="267"/>
      <c r="E64" s="22" t="s">
        <v>13</v>
      </c>
      <c r="F64" s="21"/>
      <c r="G64" s="22">
        <v>10</v>
      </c>
      <c r="H64" s="23">
        <f t="shared" si="0"/>
        <v>0</v>
      </c>
      <c r="I64" s="23"/>
      <c r="J64" s="21"/>
      <c r="K64" s="24"/>
      <c r="L64" s="24">
        <f t="shared" si="1"/>
        <v>0</v>
      </c>
    </row>
    <row r="65" spans="1:12" ht="15" hidden="1" customHeight="1" x14ac:dyDescent="0.25">
      <c r="A65" s="266"/>
      <c r="B65" s="267"/>
      <c r="C65" s="267"/>
      <c r="D65" s="267"/>
      <c r="E65" s="22" t="s">
        <v>13</v>
      </c>
      <c r="F65" s="21"/>
      <c r="G65" s="22">
        <v>10</v>
      </c>
      <c r="H65" s="23">
        <f t="shared" si="0"/>
        <v>0</v>
      </c>
      <c r="I65" s="23"/>
      <c r="J65" s="21"/>
      <c r="K65" s="24"/>
      <c r="L65" s="24">
        <f t="shared" si="1"/>
        <v>0</v>
      </c>
    </row>
    <row r="66" spans="1:12" ht="15" hidden="1" customHeight="1" x14ac:dyDescent="0.25">
      <c r="A66" s="266"/>
      <c r="B66" s="267"/>
      <c r="C66" s="267"/>
      <c r="D66" s="267"/>
      <c r="E66" s="22" t="s">
        <v>13</v>
      </c>
      <c r="F66" s="21"/>
      <c r="G66" s="22">
        <v>10</v>
      </c>
      <c r="H66" s="23">
        <f t="shared" si="0"/>
        <v>0</v>
      </c>
      <c r="I66" s="23"/>
      <c r="J66" s="21"/>
      <c r="K66" s="24"/>
      <c r="L66" s="24">
        <f t="shared" si="1"/>
        <v>0</v>
      </c>
    </row>
    <row r="67" spans="1:12" ht="15" hidden="1" customHeight="1" x14ac:dyDescent="0.25">
      <c r="A67" s="266"/>
      <c r="B67" s="267"/>
      <c r="C67" s="267"/>
      <c r="D67" s="267"/>
      <c r="E67" s="22" t="s">
        <v>13</v>
      </c>
      <c r="F67" s="21"/>
      <c r="G67" s="22">
        <v>10</v>
      </c>
      <c r="H67" s="23">
        <f t="shared" si="0"/>
        <v>0</v>
      </c>
      <c r="I67" s="23"/>
      <c r="J67" s="21"/>
      <c r="K67" s="24"/>
      <c r="L67" s="24">
        <f t="shared" si="1"/>
        <v>0</v>
      </c>
    </row>
    <row r="68" spans="1:12" hidden="1" x14ac:dyDescent="0.25">
      <c r="A68" s="238"/>
      <c r="B68" s="239"/>
      <c r="C68" s="239"/>
      <c r="D68" s="239"/>
      <c r="E68" s="22" t="s">
        <v>13</v>
      </c>
      <c r="F68" s="22"/>
      <c r="G68" s="22">
        <v>10</v>
      </c>
      <c r="H68" s="23">
        <f t="shared" si="0"/>
        <v>0</v>
      </c>
      <c r="I68" s="23"/>
      <c r="J68" s="22"/>
      <c r="K68" s="25"/>
      <c r="L68" s="24">
        <f t="shared" si="1"/>
        <v>0</v>
      </c>
    </row>
    <row r="69" spans="1:12" hidden="1" x14ac:dyDescent="0.25">
      <c r="A69" s="238"/>
      <c r="B69" s="239"/>
      <c r="C69" s="239"/>
      <c r="D69" s="239"/>
      <c r="E69" s="22" t="s">
        <v>13</v>
      </c>
      <c r="F69" s="22"/>
      <c r="G69" s="22">
        <v>10</v>
      </c>
      <c r="H69" s="23">
        <f t="shared" si="0"/>
        <v>0</v>
      </c>
      <c r="I69" s="23"/>
      <c r="J69" s="22"/>
      <c r="K69" s="25"/>
      <c r="L69" s="24">
        <f t="shared" si="1"/>
        <v>0</v>
      </c>
    </row>
    <row r="70" spans="1:12" hidden="1" x14ac:dyDescent="0.25">
      <c r="A70" s="238"/>
      <c r="B70" s="239"/>
      <c r="C70" s="239"/>
      <c r="D70" s="239"/>
      <c r="E70" s="22" t="s">
        <v>13</v>
      </c>
      <c r="F70" s="22"/>
      <c r="G70" s="22">
        <v>10</v>
      </c>
      <c r="H70" s="23">
        <f t="shared" si="0"/>
        <v>0</v>
      </c>
      <c r="I70" s="23"/>
      <c r="J70" s="22"/>
      <c r="K70" s="25"/>
      <c r="L70" s="24">
        <f t="shared" si="1"/>
        <v>0</v>
      </c>
    </row>
    <row r="71" spans="1:12" hidden="1" x14ac:dyDescent="0.25">
      <c r="A71" s="238"/>
      <c r="B71" s="239"/>
      <c r="C71" s="239"/>
      <c r="D71" s="239"/>
      <c r="E71" s="22" t="s">
        <v>13</v>
      </c>
      <c r="F71" s="22"/>
      <c r="G71" s="22">
        <v>10</v>
      </c>
      <c r="H71" s="23">
        <f t="shared" si="0"/>
        <v>0</v>
      </c>
      <c r="I71" s="23"/>
      <c r="J71" s="22"/>
      <c r="K71" s="25"/>
      <c r="L71" s="24">
        <f t="shared" si="1"/>
        <v>0</v>
      </c>
    </row>
    <row r="72" spans="1:12" hidden="1" x14ac:dyDescent="0.25">
      <c r="A72" s="238"/>
      <c r="B72" s="239"/>
      <c r="C72" s="239"/>
      <c r="D72" s="239"/>
      <c r="E72" s="22" t="s">
        <v>13</v>
      </c>
      <c r="F72" s="22"/>
      <c r="G72" s="22">
        <v>10</v>
      </c>
      <c r="H72" s="23">
        <f t="shared" si="0"/>
        <v>0</v>
      </c>
      <c r="I72" s="23"/>
      <c r="J72" s="22"/>
      <c r="K72" s="25"/>
      <c r="L72" s="24">
        <f t="shared" si="1"/>
        <v>0</v>
      </c>
    </row>
    <row r="73" spans="1:12" hidden="1" x14ac:dyDescent="0.25">
      <c r="A73" s="238"/>
      <c r="B73" s="239"/>
      <c r="C73" s="239"/>
      <c r="D73" s="239"/>
      <c r="E73" s="22" t="s">
        <v>13</v>
      </c>
      <c r="F73" s="22"/>
      <c r="G73" s="22">
        <v>10</v>
      </c>
      <c r="H73" s="23">
        <f t="shared" si="0"/>
        <v>0</v>
      </c>
      <c r="I73" s="23"/>
      <c r="J73" s="22"/>
      <c r="K73" s="25"/>
      <c r="L73" s="24">
        <f t="shared" si="1"/>
        <v>0</v>
      </c>
    </row>
    <row r="74" spans="1:12" hidden="1" x14ac:dyDescent="0.25">
      <c r="A74" s="238"/>
      <c r="B74" s="239"/>
      <c r="C74" s="239"/>
      <c r="D74" s="239"/>
      <c r="E74" s="22" t="s">
        <v>13</v>
      </c>
      <c r="F74" s="22"/>
      <c r="G74" s="22">
        <v>10</v>
      </c>
      <c r="H74" s="23">
        <f t="shared" si="0"/>
        <v>0</v>
      </c>
      <c r="I74" s="23"/>
      <c r="J74" s="22"/>
      <c r="K74" s="25"/>
      <c r="L74" s="24">
        <f t="shared" si="1"/>
        <v>0</v>
      </c>
    </row>
    <row r="75" spans="1:12" hidden="1" x14ac:dyDescent="0.25">
      <c r="A75" s="238"/>
      <c r="B75" s="239"/>
      <c r="C75" s="239"/>
      <c r="D75" s="239"/>
      <c r="E75" s="22" t="s">
        <v>13</v>
      </c>
      <c r="F75" s="22"/>
      <c r="G75" s="22">
        <v>10</v>
      </c>
      <c r="H75" s="23">
        <f t="shared" si="0"/>
        <v>0</v>
      </c>
      <c r="I75" s="23"/>
      <c r="J75" s="22"/>
      <c r="K75" s="25"/>
      <c r="L75" s="24">
        <f t="shared" si="1"/>
        <v>0</v>
      </c>
    </row>
    <row r="76" spans="1:12" hidden="1" x14ac:dyDescent="0.25">
      <c r="A76" s="232" t="s">
        <v>82</v>
      </c>
      <c r="B76" s="232"/>
      <c r="C76" s="232"/>
      <c r="D76" s="232"/>
      <c r="E76" s="22"/>
      <c r="F76" s="22"/>
      <c r="G76" s="22"/>
      <c r="H76" s="26"/>
      <c r="I76" s="26"/>
      <c r="J76" s="22"/>
      <c r="K76" s="25"/>
      <c r="L76" s="25">
        <f t="shared" si="1"/>
        <v>0</v>
      </c>
    </row>
    <row r="77" spans="1:12" ht="9" hidden="1" customHeight="1" x14ac:dyDescent="0.25">
      <c r="A77" s="233" t="s">
        <v>14</v>
      </c>
      <c r="B77" s="234"/>
      <c r="C77" s="234"/>
      <c r="D77" s="234"/>
      <c r="E77" s="234"/>
      <c r="F77" s="234"/>
      <c r="G77" s="234"/>
      <c r="H77" s="234"/>
      <c r="I77" s="234"/>
      <c r="J77" s="234"/>
      <c r="K77" s="235"/>
      <c r="L77" s="25">
        <f>L76+L60+L59+L58</f>
        <v>96840</v>
      </c>
    </row>
    <row r="78" spans="1:12" ht="42.75" customHeight="1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</row>
    <row r="79" spans="1:12" x14ac:dyDescent="0.25">
      <c r="A79" s="202" t="s">
        <v>117</v>
      </c>
      <c r="B79" s="202"/>
      <c r="C79" s="202"/>
      <c r="D79" s="202"/>
      <c r="E79" s="202"/>
      <c r="F79" s="202"/>
      <c r="G79" s="202"/>
      <c r="H79" s="202"/>
      <c r="I79" s="202"/>
      <c r="J79" s="202"/>
      <c r="K79" s="202"/>
      <c r="L79" s="202"/>
    </row>
    <row r="80" spans="1:12" x14ac:dyDescent="0.25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1:12" ht="30.75" hidden="1" customHeight="1" x14ac:dyDescent="0.25">
      <c r="A81" s="278"/>
      <c r="B81" s="278"/>
      <c r="C81" s="278"/>
      <c r="D81" s="278"/>
      <c r="E81" s="278"/>
      <c r="F81" s="278"/>
      <c r="G81" s="278"/>
      <c r="H81" s="278"/>
      <c r="I81" s="278"/>
      <c r="J81" s="278"/>
      <c r="K81" s="278"/>
      <c r="L81" s="28"/>
    </row>
    <row r="82" spans="1:12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</row>
    <row r="83" spans="1:12" ht="73.5" customHeight="1" x14ac:dyDescent="0.25">
      <c r="A83" s="218" t="s">
        <v>17</v>
      </c>
      <c r="B83" s="218"/>
      <c r="C83" s="218"/>
      <c r="D83" s="218"/>
      <c r="E83" s="9" t="s">
        <v>106</v>
      </c>
      <c r="F83" s="29" t="s">
        <v>75</v>
      </c>
      <c r="G83" s="9" t="s">
        <v>60</v>
      </c>
      <c r="H83" s="9" t="s">
        <v>68</v>
      </c>
      <c r="I83" s="9" t="s">
        <v>86</v>
      </c>
      <c r="J83" s="9" t="s">
        <v>93</v>
      </c>
      <c r="K83" s="11"/>
      <c r="L83" s="11"/>
    </row>
    <row r="84" spans="1:12" ht="18.75" customHeight="1" x14ac:dyDescent="0.25">
      <c r="A84" s="236">
        <v>1</v>
      </c>
      <c r="B84" s="237"/>
      <c r="C84" s="237"/>
      <c r="D84" s="237"/>
      <c r="E84" s="9">
        <v>2</v>
      </c>
      <c r="F84" s="9">
        <v>3</v>
      </c>
      <c r="G84" s="30">
        <v>4</v>
      </c>
      <c r="H84" s="30">
        <v>5</v>
      </c>
      <c r="I84" s="31">
        <v>6</v>
      </c>
      <c r="J84" s="31" t="s">
        <v>65</v>
      </c>
      <c r="K84" s="11"/>
      <c r="L84" s="32"/>
    </row>
    <row r="85" spans="1:12" x14ac:dyDescent="0.25">
      <c r="A85" s="268" t="s">
        <v>71</v>
      </c>
      <c r="B85" s="268"/>
      <c r="C85" s="268"/>
      <c r="D85" s="268"/>
      <c r="E85" s="34">
        <v>5</v>
      </c>
      <c r="F85" s="33">
        <v>12</v>
      </c>
      <c r="G85" s="47">
        <v>687.02</v>
      </c>
      <c r="H85" s="47">
        <f>41221.2</f>
        <v>41221.199999999997</v>
      </c>
      <c r="I85" s="65"/>
      <c r="J85" s="47" t="e">
        <f>H85/I85</f>
        <v>#DIV/0!</v>
      </c>
      <c r="K85" s="11"/>
      <c r="L85" s="19"/>
    </row>
    <row r="86" spans="1:12" ht="15.75" thickBot="1" x14ac:dyDescent="0.3">
      <c r="A86" s="268" t="s">
        <v>83</v>
      </c>
      <c r="B86" s="268"/>
      <c r="C86" s="268"/>
      <c r="D86" s="268"/>
      <c r="E86" s="34">
        <v>1</v>
      </c>
      <c r="F86" s="34">
        <v>12</v>
      </c>
      <c r="G86" s="47">
        <v>3743.23</v>
      </c>
      <c r="H86" s="47">
        <f>44918.8</f>
        <v>44918.8</v>
      </c>
      <c r="I86" s="65"/>
      <c r="J86" s="47" t="e">
        <f>H86/I86</f>
        <v>#DIV/0!</v>
      </c>
      <c r="K86" s="11"/>
      <c r="L86" s="11"/>
    </row>
    <row r="87" spans="1:12" ht="15.75" thickBot="1" x14ac:dyDescent="0.3">
      <c r="A87" s="269" t="s">
        <v>29</v>
      </c>
      <c r="B87" s="270"/>
      <c r="C87" s="270"/>
      <c r="D87" s="270"/>
      <c r="E87" s="75"/>
      <c r="F87" s="75"/>
      <c r="G87" s="75"/>
      <c r="H87" s="92">
        <f>SUM(H85:H86)</f>
        <v>86140</v>
      </c>
      <c r="I87" s="68"/>
      <c r="J87" s="76" t="e">
        <f>SUM(J85:J86)</f>
        <v>#DIV/0!</v>
      </c>
      <c r="K87" s="11"/>
      <c r="L87" s="11"/>
    </row>
    <row r="88" spans="1:12" ht="30" customHeight="1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</row>
    <row r="89" spans="1:12" x14ac:dyDescent="0.25">
      <c r="A89" s="202" t="s">
        <v>16</v>
      </c>
      <c r="B89" s="202"/>
      <c r="C89" s="202"/>
      <c r="D89" s="202"/>
      <c r="E89" s="202"/>
      <c r="F89" s="202"/>
      <c r="G89" s="202"/>
      <c r="H89" s="202"/>
      <c r="I89" s="202"/>
      <c r="J89" s="202"/>
      <c r="K89" s="202"/>
      <c r="L89" s="202"/>
    </row>
    <row r="90" spans="1:12" x14ac:dyDescent="0.25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1:12" ht="30.75" hidden="1" customHeight="1" x14ac:dyDescent="0.25">
      <c r="A91" s="278"/>
      <c r="B91" s="278"/>
      <c r="C91" s="278"/>
      <c r="D91" s="278"/>
      <c r="E91" s="278"/>
      <c r="F91" s="278"/>
      <c r="G91" s="278"/>
      <c r="H91" s="278"/>
      <c r="I91" s="278"/>
      <c r="J91" s="278"/>
      <c r="K91" s="278"/>
      <c r="L91" s="28"/>
    </row>
    <row r="92" spans="1:12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1:12" ht="73.5" customHeight="1" x14ac:dyDescent="0.25">
      <c r="A93" s="218" t="s">
        <v>17</v>
      </c>
      <c r="B93" s="218"/>
      <c r="C93" s="218"/>
      <c r="D93" s="218"/>
      <c r="E93" s="9" t="s">
        <v>7</v>
      </c>
      <c r="F93" s="29" t="s">
        <v>75</v>
      </c>
      <c r="G93" s="9" t="s">
        <v>60</v>
      </c>
      <c r="H93" s="9" t="s">
        <v>68</v>
      </c>
      <c r="I93" s="9" t="s">
        <v>86</v>
      </c>
      <c r="J93" s="9" t="s">
        <v>93</v>
      </c>
      <c r="K93" s="11"/>
      <c r="L93" s="11"/>
    </row>
    <row r="94" spans="1:12" ht="18.75" customHeight="1" x14ac:dyDescent="0.25">
      <c r="A94" s="236">
        <v>1</v>
      </c>
      <c r="B94" s="237"/>
      <c r="C94" s="237"/>
      <c r="D94" s="237"/>
      <c r="E94" s="9">
        <v>2</v>
      </c>
      <c r="F94" s="9">
        <v>3</v>
      </c>
      <c r="G94" s="30">
        <v>4</v>
      </c>
      <c r="H94" s="30">
        <v>5</v>
      </c>
      <c r="I94" s="31">
        <v>6</v>
      </c>
      <c r="J94" s="31" t="s">
        <v>65</v>
      </c>
      <c r="K94" s="11"/>
      <c r="L94" s="32"/>
    </row>
    <row r="95" spans="1:12" x14ac:dyDescent="0.25">
      <c r="A95" s="268" t="s">
        <v>23</v>
      </c>
      <c r="B95" s="268"/>
      <c r="C95" s="268"/>
      <c r="D95" s="268"/>
      <c r="E95" s="34" t="s">
        <v>26</v>
      </c>
      <c r="F95" s="33">
        <v>123860</v>
      </c>
      <c r="G95" s="47">
        <v>6.62</v>
      </c>
      <c r="H95" s="47">
        <f>820000</f>
        <v>820000</v>
      </c>
      <c r="I95" s="65"/>
      <c r="J95" s="47" t="e">
        <f>H95/I95</f>
        <v>#DIV/0!</v>
      </c>
      <c r="K95" s="11"/>
      <c r="L95" s="19"/>
    </row>
    <row r="96" spans="1:12" x14ac:dyDescent="0.25">
      <c r="A96" s="268" t="s">
        <v>24</v>
      </c>
      <c r="B96" s="268"/>
      <c r="C96" s="268"/>
      <c r="D96" s="268"/>
      <c r="E96" s="34" t="s">
        <v>27</v>
      </c>
      <c r="F96" s="34">
        <v>660</v>
      </c>
      <c r="G96" s="47">
        <v>1618.59</v>
      </c>
      <c r="H96" s="47">
        <f>1259700</f>
        <v>1259700</v>
      </c>
      <c r="I96" s="65"/>
      <c r="J96" s="47" t="e">
        <f>H96/I96</f>
        <v>#DIV/0!</v>
      </c>
      <c r="K96" s="11"/>
      <c r="L96" s="11"/>
    </row>
    <row r="97" spans="1:12" x14ac:dyDescent="0.25">
      <c r="A97" s="268" t="s">
        <v>69</v>
      </c>
      <c r="B97" s="268"/>
      <c r="C97" s="268"/>
      <c r="D97" s="268"/>
      <c r="E97" s="34" t="s">
        <v>28</v>
      </c>
      <c r="F97" s="34">
        <v>2600</v>
      </c>
      <c r="G97" s="47">
        <v>39.22</v>
      </c>
      <c r="H97" s="47">
        <f>150000</f>
        <v>150000</v>
      </c>
      <c r="I97" s="65"/>
      <c r="J97" s="47" t="e">
        <f>H97/I97</f>
        <v>#DIV/0!</v>
      </c>
      <c r="K97" s="11"/>
      <c r="L97" s="11"/>
    </row>
    <row r="98" spans="1:12" ht="15.75" thickBot="1" x14ac:dyDescent="0.3">
      <c r="A98" s="272" t="s">
        <v>25</v>
      </c>
      <c r="B98" s="272"/>
      <c r="C98" s="272"/>
      <c r="D98" s="272"/>
      <c r="E98" s="74" t="s">
        <v>28</v>
      </c>
      <c r="F98" s="34">
        <v>2800</v>
      </c>
      <c r="G98" s="67">
        <v>53.32</v>
      </c>
      <c r="H98" s="67">
        <f>165500</f>
        <v>165500</v>
      </c>
      <c r="I98" s="65"/>
      <c r="J98" s="67" t="e">
        <f>H98/I98</f>
        <v>#DIV/0!</v>
      </c>
      <c r="K98" s="11"/>
      <c r="L98" s="11"/>
    </row>
    <row r="99" spans="1:12" ht="15.75" thickBot="1" x14ac:dyDescent="0.3">
      <c r="A99" s="269" t="s">
        <v>29</v>
      </c>
      <c r="B99" s="270"/>
      <c r="C99" s="270"/>
      <c r="D99" s="270"/>
      <c r="E99" s="75"/>
      <c r="F99" s="75"/>
      <c r="G99" s="75"/>
      <c r="H99" s="92">
        <f>SUM(H95:H98)</f>
        <v>2395200</v>
      </c>
      <c r="I99" s="68"/>
      <c r="J99" s="76" t="e">
        <f>SUM(J95:J98)</f>
        <v>#DIV/0!</v>
      </c>
      <c r="K99" s="11"/>
      <c r="L99" s="11"/>
    </row>
    <row r="100" spans="1:12" ht="31.5" customHeight="1" x14ac:dyDescent="0.25">
      <c r="A100" s="69"/>
      <c r="B100" s="69"/>
      <c r="C100" s="69"/>
      <c r="D100" s="69"/>
      <c r="E100" s="69"/>
      <c r="F100" s="69"/>
      <c r="G100" s="69"/>
      <c r="H100" s="69"/>
      <c r="I100" s="69"/>
      <c r="J100" s="69"/>
      <c r="K100" s="11"/>
      <c r="L100" s="11"/>
    </row>
    <row r="101" spans="1:12" x14ac:dyDescent="0.25">
      <c r="A101" s="202" t="s">
        <v>30</v>
      </c>
      <c r="B101" s="202"/>
      <c r="C101" s="202"/>
      <c r="D101" s="202"/>
      <c r="E101" s="202"/>
      <c r="F101" s="202"/>
      <c r="G101" s="202"/>
      <c r="H101" s="202"/>
      <c r="I101" s="202"/>
      <c r="J101" s="202"/>
      <c r="K101" s="202"/>
      <c r="L101" s="202"/>
    </row>
    <row r="102" spans="1:12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1:12" ht="60" x14ac:dyDescent="0.25">
      <c r="A103" s="271" t="s">
        <v>32</v>
      </c>
      <c r="B103" s="271"/>
      <c r="C103" s="271"/>
      <c r="D103" s="271"/>
      <c r="E103" s="30" t="s">
        <v>7</v>
      </c>
      <c r="F103" s="30" t="s">
        <v>18</v>
      </c>
      <c r="G103" s="9" t="s">
        <v>68</v>
      </c>
      <c r="H103" s="9" t="s">
        <v>103</v>
      </c>
      <c r="I103" s="9" t="s">
        <v>93</v>
      </c>
      <c r="J103" s="11"/>
      <c r="K103" s="11"/>
    </row>
    <row r="104" spans="1:12" ht="15" customHeight="1" x14ac:dyDescent="0.25">
      <c r="A104" s="263" t="s">
        <v>155</v>
      </c>
      <c r="B104" s="264"/>
      <c r="C104" s="264"/>
      <c r="D104" s="265"/>
      <c r="E104" s="71" t="s">
        <v>31</v>
      </c>
      <c r="F104" s="30">
        <v>1</v>
      </c>
      <c r="G104" s="9">
        <f>38400</f>
        <v>38400</v>
      </c>
      <c r="H104" s="9"/>
      <c r="I104" s="9"/>
      <c r="J104" s="11"/>
      <c r="K104" s="11"/>
    </row>
    <row r="105" spans="1:12" ht="15" customHeight="1" x14ac:dyDescent="0.25">
      <c r="A105" s="263" t="s">
        <v>156</v>
      </c>
      <c r="B105" s="264"/>
      <c r="C105" s="264"/>
      <c r="D105" s="265"/>
      <c r="E105" s="71" t="s">
        <v>31</v>
      </c>
      <c r="F105" s="71">
        <v>1</v>
      </c>
      <c r="G105" s="104">
        <f>160000</f>
        <v>160000</v>
      </c>
      <c r="H105" s="65"/>
      <c r="I105" s="139" t="e">
        <f>G105/H105</f>
        <v>#DIV/0!</v>
      </c>
      <c r="J105" s="11"/>
      <c r="K105" s="11"/>
    </row>
    <row r="106" spans="1:12" ht="15" customHeight="1" x14ac:dyDescent="0.25">
      <c r="A106" s="263" t="s">
        <v>157</v>
      </c>
      <c r="B106" s="264"/>
      <c r="C106" s="264"/>
      <c r="D106" s="265"/>
      <c r="E106" s="71" t="s">
        <v>31</v>
      </c>
      <c r="F106" s="71">
        <v>1</v>
      </c>
      <c r="G106" s="104">
        <f>99000</f>
        <v>99000</v>
      </c>
      <c r="H106" s="65"/>
      <c r="I106" s="139" t="e">
        <f t="shared" ref="I106:I114" si="2">G106/H106</f>
        <v>#DIV/0!</v>
      </c>
      <c r="J106" s="11"/>
      <c r="K106" s="11"/>
    </row>
    <row r="107" spans="1:12" ht="15" customHeight="1" x14ac:dyDescent="0.25">
      <c r="A107" s="263" t="s">
        <v>158</v>
      </c>
      <c r="B107" s="264"/>
      <c r="C107" s="264"/>
      <c r="D107" s="265"/>
      <c r="E107" s="71" t="s">
        <v>31</v>
      </c>
      <c r="F107" s="71">
        <v>1</v>
      </c>
      <c r="G107" s="104">
        <f>9600</f>
        <v>9600</v>
      </c>
      <c r="H107" s="65"/>
      <c r="I107" s="139" t="e">
        <f t="shared" si="2"/>
        <v>#DIV/0!</v>
      </c>
      <c r="J107" s="11"/>
      <c r="K107" s="11"/>
    </row>
    <row r="108" spans="1:12" ht="15" customHeight="1" x14ac:dyDescent="0.25">
      <c r="A108" s="263" t="s">
        <v>102</v>
      </c>
      <c r="B108" s="264"/>
      <c r="C108" s="264"/>
      <c r="D108" s="265"/>
      <c r="E108" s="71" t="s">
        <v>31</v>
      </c>
      <c r="F108" s="71">
        <v>1</v>
      </c>
      <c r="G108" s="104">
        <f>3300</f>
        <v>3300</v>
      </c>
      <c r="H108" s="65"/>
      <c r="I108" s="139" t="e">
        <f t="shared" si="2"/>
        <v>#DIV/0!</v>
      </c>
      <c r="J108" s="11"/>
      <c r="K108" s="11"/>
    </row>
    <row r="109" spans="1:12" ht="15" customHeight="1" x14ac:dyDescent="0.25">
      <c r="A109" s="210" t="s">
        <v>159</v>
      </c>
      <c r="B109" s="211"/>
      <c r="C109" s="211"/>
      <c r="D109" s="219"/>
      <c r="E109" s="71" t="s">
        <v>31</v>
      </c>
      <c r="F109" s="71">
        <v>1</v>
      </c>
      <c r="G109" s="47">
        <f>32500</f>
        <v>32500</v>
      </c>
      <c r="H109" s="65"/>
      <c r="I109" s="139" t="e">
        <f t="shared" si="2"/>
        <v>#DIV/0!</v>
      </c>
      <c r="J109" s="11"/>
      <c r="K109" s="11"/>
    </row>
    <row r="110" spans="1:12" ht="28.5" customHeight="1" x14ac:dyDescent="0.25">
      <c r="A110" s="263" t="s">
        <v>160</v>
      </c>
      <c r="B110" s="264"/>
      <c r="C110" s="264"/>
      <c r="D110" s="265"/>
      <c r="E110" s="71" t="s">
        <v>31</v>
      </c>
      <c r="F110" s="71">
        <v>1</v>
      </c>
      <c r="G110" s="89">
        <f>51600</f>
        <v>51600</v>
      </c>
      <c r="H110" s="65"/>
      <c r="I110" s="139" t="e">
        <f t="shared" si="2"/>
        <v>#DIV/0!</v>
      </c>
      <c r="J110" s="11"/>
      <c r="K110" s="18"/>
    </row>
    <row r="111" spans="1:12" ht="16.5" customHeight="1" x14ac:dyDescent="0.25">
      <c r="A111" s="102" t="s">
        <v>161</v>
      </c>
      <c r="B111" s="103"/>
      <c r="C111" s="103"/>
      <c r="D111" s="103"/>
      <c r="E111" s="71" t="s">
        <v>31</v>
      </c>
      <c r="F111" s="71">
        <v>1</v>
      </c>
      <c r="G111" s="47">
        <f>3200</f>
        <v>3200</v>
      </c>
      <c r="H111" s="65"/>
      <c r="I111" s="139" t="e">
        <f t="shared" si="2"/>
        <v>#DIV/0!</v>
      </c>
      <c r="J111" s="11"/>
      <c r="K111" s="11"/>
    </row>
    <row r="112" spans="1:12" ht="15" customHeight="1" x14ac:dyDescent="0.25">
      <c r="A112" s="102" t="s">
        <v>162</v>
      </c>
      <c r="B112" s="103"/>
      <c r="C112" s="103"/>
      <c r="D112" s="103"/>
      <c r="E112" s="71" t="s">
        <v>31</v>
      </c>
      <c r="F112" s="71">
        <v>1</v>
      </c>
      <c r="G112" s="47">
        <f>30000</f>
        <v>30000</v>
      </c>
      <c r="H112" s="65"/>
      <c r="I112" s="139" t="e">
        <f t="shared" si="2"/>
        <v>#DIV/0!</v>
      </c>
      <c r="J112" s="11"/>
      <c r="K112" s="11"/>
    </row>
    <row r="113" spans="1:12" ht="15" customHeight="1" x14ac:dyDescent="0.25">
      <c r="A113" s="210" t="s">
        <v>163</v>
      </c>
      <c r="B113" s="211"/>
      <c r="C113" s="211"/>
      <c r="D113" s="219"/>
      <c r="E113" s="71" t="s">
        <v>31</v>
      </c>
      <c r="F113" s="71">
        <v>1</v>
      </c>
      <c r="G113" s="67">
        <f>24000</f>
        <v>24000</v>
      </c>
      <c r="H113" s="65"/>
      <c r="I113" s="139" t="e">
        <f t="shared" si="2"/>
        <v>#DIV/0!</v>
      </c>
      <c r="J113" s="11"/>
      <c r="K113" s="11"/>
    </row>
    <row r="114" spans="1:12" s="1" customFormat="1" ht="15" customHeight="1" thickBot="1" x14ac:dyDescent="0.3">
      <c r="A114" s="210" t="s">
        <v>164</v>
      </c>
      <c r="B114" s="211"/>
      <c r="C114" s="211"/>
      <c r="D114" s="219"/>
      <c r="E114" s="71" t="s">
        <v>31</v>
      </c>
      <c r="F114" s="71">
        <v>1</v>
      </c>
      <c r="G114" s="67">
        <f>25000</f>
        <v>25000</v>
      </c>
      <c r="H114" s="65"/>
      <c r="I114" s="139" t="e">
        <f t="shared" si="2"/>
        <v>#DIV/0!</v>
      </c>
      <c r="J114" s="13"/>
      <c r="K114" s="13"/>
    </row>
    <row r="115" spans="1:12" ht="15" customHeight="1" thickBot="1" x14ac:dyDescent="0.3">
      <c r="A115" s="130" t="s">
        <v>74</v>
      </c>
      <c r="B115" s="131"/>
      <c r="C115" s="131"/>
      <c r="D115" s="131"/>
      <c r="E115" s="131"/>
      <c r="F115" s="131"/>
      <c r="G115" s="93">
        <f>SUM(G104:G114)</f>
        <v>476600</v>
      </c>
      <c r="I115" s="39" t="e">
        <f>SUM(I109:I114)</f>
        <v>#DIV/0!</v>
      </c>
      <c r="K115" s="11"/>
      <c r="L115" s="11"/>
    </row>
    <row r="116" spans="1:12" ht="28.5" customHeight="1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1:12" ht="15" customHeight="1" x14ac:dyDescent="0.25">
      <c r="A117" s="202" t="s">
        <v>70</v>
      </c>
      <c r="B117" s="202"/>
      <c r="C117" s="202"/>
      <c r="D117" s="202"/>
      <c r="E117" s="202"/>
      <c r="F117" s="202"/>
      <c r="G117" s="202"/>
      <c r="H117" s="202"/>
      <c r="I117" s="202"/>
      <c r="J117" s="202"/>
      <c r="K117" s="202"/>
      <c r="L117" s="202"/>
    </row>
    <row r="118" spans="1:12" ht="15" customHeight="1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1:12" ht="60" x14ac:dyDescent="0.25">
      <c r="A119" s="193" t="s">
        <v>32</v>
      </c>
      <c r="B119" s="194"/>
      <c r="C119" s="194"/>
      <c r="D119" s="194"/>
      <c r="E119" s="30" t="s">
        <v>7</v>
      </c>
      <c r="F119" s="9" t="s">
        <v>77</v>
      </c>
      <c r="G119" s="9" t="s">
        <v>68</v>
      </c>
      <c r="H119" s="9" t="s">
        <v>103</v>
      </c>
      <c r="I119" s="9" t="s">
        <v>93</v>
      </c>
      <c r="J119" s="11"/>
      <c r="K119" s="11"/>
      <c r="L119" s="11"/>
    </row>
    <row r="120" spans="1:12" ht="15" customHeight="1" x14ac:dyDescent="0.25">
      <c r="A120" s="196" t="s">
        <v>166</v>
      </c>
      <c r="B120" s="197"/>
      <c r="C120" s="197"/>
      <c r="D120" s="197"/>
      <c r="E120" s="71" t="s">
        <v>31</v>
      </c>
      <c r="F120" s="71">
        <v>1</v>
      </c>
      <c r="G120" s="104">
        <f>9400</f>
        <v>9400</v>
      </c>
      <c r="H120" s="65"/>
      <c r="I120" s="140" t="e">
        <f>G120/H120</f>
        <v>#DIV/0!</v>
      </c>
      <c r="J120" s="11"/>
      <c r="K120" s="11"/>
      <c r="L120" s="11"/>
    </row>
    <row r="121" spans="1:12" ht="15" customHeight="1" x14ac:dyDescent="0.25">
      <c r="A121" s="196" t="s">
        <v>167</v>
      </c>
      <c r="B121" s="197"/>
      <c r="C121" s="197"/>
      <c r="D121" s="197"/>
      <c r="E121" s="71" t="s">
        <v>31</v>
      </c>
      <c r="F121" s="71">
        <v>1</v>
      </c>
      <c r="G121" s="104">
        <f>34580</f>
        <v>34580</v>
      </c>
      <c r="H121" s="65"/>
      <c r="I121" s="140" t="e">
        <f t="shared" ref="I121:I126" si="3">G121/H121</f>
        <v>#DIV/0!</v>
      </c>
      <c r="J121" s="11"/>
      <c r="K121" s="11"/>
      <c r="L121" s="11"/>
    </row>
    <row r="122" spans="1:12" ht="15" customHeight="1" x14ac:dyDescent="0.25">
      <c r="A122" s="196" t="s">
        <v>168</v>
      </c>
      <c r="B122" s="197"/>
      <c r="C122" s="197"/>
      <c r="D122" s="197"/>
      <c r="E122" s="71" t="s">
        <v>31</v>
      </c>
      <c r="F122" s="71">
        <v>1</v>
      </c>
      <c r="G122" s="104">
        <f>110960</f>
        <v>110960</v>
      </c>
      <c r="H122" s="65"/>
      <c r="I122" s="140" t="e">
        <f t="shared" si="3"/>
        <v>#DIV/0!</v>
      </c>
      <c r="J122" s="11"/>
      <c r="K122" s="11"/>
      <c r="L122" s="11"/>
    </row>
    <row r="123" spans="1:12" ht="15" customHeight="1" x14ac:dyDescent="0.25">
      <c r="A123" s="196" t="s">
        <v>169</v>
      </c>
      <c r="B123" s="197"/>
      <c r="C123" s="197"/>
      <c r="D123" s="197"/>
      <c r="E123" s="71" t="s">
        <v>31</v>
      </c>
      <c r="F123" s="71">
        <v>1</v>
      </c>
      <c r="G123" s="104">
        <f>10120</f>
        <v>10120</v>
      </c>
      <c r="H123" s="65"/>
      <c r="I123" s="140" t="e">
        <f t="shared" si="3"/>
        <v>#DIV/0!</v>
      </c>
      <c r="J123" s="11"/>
      <c r="K123" s="11"/>
      <c r="L123" s="11"/>
    </row>
    <row r="124" spans="1:12" ht="15" customHeight="1" x14ac:dyDescent="0.25">
      <c r="A124" s="196" t="s">
        <v>170</v>
      </c>
      <c r="B124" s="197"/>
      <c r="C124" s="197"/>
      <c r="D124" s="197"/>
      <c r="E124" s="71" t="s">
        <v>31</v>
      </c>
      <c r="F124" s="71">
        <v>1</v>
      </c>
      <c r="G124" s="104">
        <f>113400</f>
        <v>113400</v>
      </c>
      <c r="H124" s="65"/>
      <c r="I124" s="140" t="e">
        <f t="shared" si="3"/>
        <v>#DIV/0!</v>
      </c>
      <c r="J124" s="11"/>
      <c r="K124" s="11"/>
      <c r="L124" s="11"/>
    </row>
    <row r="125" spans="1:12" ht="18" customHeight="1" x14ac:dyDescent="0.25">
      <c r="A125" s="196" t="s">
        <v>171</v>
      </c>
      <c r="B125" s="197"/>
      <c r="C125" s="197"/>
      <c r="D125" s="197"/>
      <c r="E125" s="71" t="s">
        <v>31</v>
      </c>
      <c r="F125" s="71">
        <v>1</v>
      </c>
      <c r="G125" s="89">
        <f>15000</f>
        <v>15000</v>
      </c>
      <c r="H125" s="65"/>
      <c r="I125" s="140" t="e">
        <f t="shared" si="3"/>
        <v>#DIV/0!</v>
      </c>
      <c r="J125" s="11"/>
      <c r="K125" s="11"/>
      <c r="L125" s="11"/>
    </row>
    <row r="126" spans="1:12" ht="28.5" customHeight="1" thickBot="1" x14ac:dyDescent="0.3">
      <c r="A126" s="196" t="s">
        <v>172</v>
      </c>
      <c r="B126" s="197"/>
      <c r="C126" s="197"/>
      <c r="D126" s="197"/>
      <c r="E126" s="71" t="s">
        <v>31</v>
      </c>
      <c r="F126" s="71">
        <v>1</v>
      </c>
      <c r="G126" s="89">
        <f>14400</f>
        <v>14400</v>
      </c>
      <c r="H126" s="65"/>
      <c r="I126" s="140" t="e">
        <f t="shared" si="3"/>
        <v>#DIV/0!</v>
      </c>
      <c r="J126" s="11"/>
      <c r="K126" s="11"/>
      <c r="L126" s="11"/>
    </row>
    <row r="127" spans="1:12" ht="15.75" hidden="1" customHeight="1" x14ac:dyDescent="0.25">
      <c r="F127" s="95"/>
      <c r="H127" s="65">
        <v>5231</v>
      </c>
      <c r="I127" s="96"/>
      <c r="J127" s="11"/>
      <c r="K127" s="11"/>
      <c r="L127" s="11"/>
    </row>
    <row r="128" spans="1:12" ht="14.25" hidden="1" customHeight="1" x14ac:dyDescent="0.25">
      <c r="F128" s="29"/>
      <c r="G128" s="80"/>
      <c r="H128" s="65"/>
      <c r="I128" s="72"/>
      <c r="J128" s="11"/>
      <c r="K128" s="11"/>
      <c r="L128" s="11"/>
    </row>
    <row r="129" spans="1:12" ht="16.5" hidden="1" customHeight="1" x14ac:dyDescent="0.25">
      <c r="A129" s="196"/>
      <c r="B129" s="197"/>
      <c r="C129" s="197"/>
      <c r="D129" s="197"/>
      <c r="E129" s="129"/>
      <c r="F129" s="29"/>
      <c r="G129" s="78"/>
      <c r="H129" s="65">
        <v>3260</v>
      </c>
      <c r="I129" s="72">
        <f t="shared" ref="I129:I130" si="4">G129/H129</f>
        <v>0</v>
      </c>
      <c r="J129" s="11"/>
      <c r="K129" s="11"/>
      <c r="L129" s="11"/>
    </row>
    <row r="130" spans="1:12" ht="17.25" hidden="1" customHeight="1" x14ac:dyDescent="0.25">
      <c r="A130" s="196"/>
      <c r="B130" s="197"/>
      <c r="C130" s="197"/>
      <c r="D130" s="197"/>
      <c r="E130" s="129"/>
      <c r="F130" s="79"/>
      <c r="G130" s="47"/>
      <c r="H130" s="65">
        <v>3260</v>
      </c>
      <c r="I130" s="72">
        <f t="shared" si="4"/>
        <v>0</v>
      </c>
      <c r="J130" s="11"/>
      <c r="K130" s="11"/>
      <c r="L130" s="11"/>
    </row>
    <row r="131" spans="1:12" ht="20.25" customHeight="1" thickBot="1" x14ac:dyDescent="0.3">
      <c r="A131" s="215" t="s">
        <v>73</v>
      </c>
      <c r="B131" s="216"/>
      <c r="C131" s="216"/>
      <c r="D131" s="216"/>
      <c r="E131" s="126"/>
      <c r="F131" s="70"/>
      <c r="G131" s="92">
        <f>SUM(G120:G130)</f>
        <v>307860</v>
      </c>
      <c r="H131" s="66"/>
      <c r="I131" s="39" t="e">
        <f>SUM(I120:I130)</f>
        <v>#DIV/0!</v>
      </c>
      <c r="J131" s="11"/>
      <c r="K131" s="41"/>
      <c r="L131" s="11"/>
    </row>
    <row r="132" spans="1:12" s="113" customFormat="1" ht="20.25" customHeight="1" x14ac:dyDescent="0.25">
      <c r="A132" s="105"/>
      <c r="B132" s="106"/>
      <c r="C132" s="106"/>
      <c r="D132" s="106"/>
      <c r="E132" s="107"/>
      <c r="F132" s="108"/>
      <c r="G132" s="109"/>
      <c r="H132" s="110"/>
      <c r="I132" s="111"/>
      <c r="J132" s="112"/>
      <c r="K132" s="111"/>
    </row>
    <row r="133" spans="1:12" s="113" customFormat="1" ht="20.25" customHeight="1" x14ac:dyDescent="0.25">
      <c r="A133" s="114"/>
      <c r="B133" s="114"/>
      <c r="C133" s="114"/>
      <c r="D133" s="114"/>
      <c r="E133" s="114"/>
      <c r="F133" s="114"/>
      <c r="G133" s="114"/>
      <c r="H133" s="114"/>
      <c r="I133" s="108"/>
      <c r="J133" s="109"/>
      <c r="K133" s="110"/>
      <c r="L133" s="115"/>
    </row>
    <row r="134" spans="1:12" ht="15" customHeight="1" x14ac:dyDescent="0.25">
      <c r="A134" s="202" t="s">
        <v>122</v>
      </c>
      <c r="B134" s="202"/>
      <c r="C134" s="202"/>
      <c r="D134" s="202"/>
      <c r="E134" s="202"/>
      <c r="F134" s="202"/>
      <c r="G134" s="202"/>
      <c r="H134" s="202"/>
      <c r="I134" s="202"/>
      <c r="J134" s="202"/>
      <c r="K134" s="202"/>
      <c r="L134" s="202"/>
    </row>
    <row r="135" spans="1:12" s="113" customFormat="1" ht="20.25" customHeight="1" x14ac:dyDescent="0.25">
      <c r="A135" s="114"/>
      <c r="B135" s="114"/>
      <c r="C135" s="114"/>
      <c r="D135" s="114"/>
      <c r="E135" s="114"/>
      <c r="F135" s="114"/>
      <c r="G135" s="114"/>
      <c r="H135" s="114"/>
      <c r="I135" s="108"/>
      <c r="J135" s="109"/>
      <c r="K135" s="110"/>
      <c r="L135" s="115"/>
    </row>
    <row r="136" spans="1:12" ht="45" x14ac:dyDescent="0.25">
      <c r="A136" s="193" t="s">
        <v>32</v>
      </c>
      <c r="B136" s="194"/>
      <c r="C136" s="194"/>
      <c r="D136" s="194"/>
      <c r="E136" s="9" t="s">
        <v>104</v>
      </c>
      <c r="F136" s="9" t="s">
        <v>68</v>
      </c>
      <c r="G136" s="9" t="s">
        <v>103</v>
      </c>
      <c r="H136" s="9" t="s">
        <v>93</v>
      </c>
      <c r="I136" s="11"/>
      <c r="J136" s="11"/>
      <c r="K136" s="11"/>
    </row>
    <row r="137" spans="1:12" ht="15.75" thickBot="1" x14ac:dyDescent="0.3">
      <c r="A137" s="196" t="s">
        <v>107</v>
      </c>
      <c r="B137" s="197"/>
      <c r="C137" s="197"/>
      <c r="D137" s="197"/>
      <c r="E137" s="71" t="s">
        <v>31</v>
      </c>
      <c r="F137" s="104">
        <f>(10000)</f>
        <v>10000</v>
      </c>
      <c r="G137" s="65">
        <v>5231</v>
      </c>
      <c r="H137" s="140">
        <f t="shared" ref="H137" si="5">F137/G137</f>
        <v>1.9116803670426306</v>
      </c>
      <c r="I137" s="11"/>
      <c r="J137" s="11"/>
      <c r="K137" s="11"/>
    </row>
    <row r="138" spans="1:12" ht="15.75" hidden="1" customHeight="1" x14ac:dyDescent="0.25">
      <c r="E138" s="95"/>
      <c r="G138" s="9">
        <v>189</v>
      </c>
      <c r="H138" s="96"/>
      <c r="I138" s="11"/>
      <c r="J138" s="11"/>
      <c r="K138" s="11"/>
    </row>
    <row r="139" spans="1:12" ht="14.25" hidden="1" customHeight="1" x14ac:dyDescent="0.25">
      <c r="E139" s="29"/>
      <c r="F139" s="80"/>
      <c r="G139" s="9">
        <v>189</v>
      </c>
      <c r="H139" s="72"/>
      <c r="I139" s="11"/>
      <c r="J139" s="11"/>
      <c r="K139" s="11"/>
    </row>
    <row r="140" spans="1:12" ht="16.5" hidden="1" customHeight="1" x14ac:dyDescent="0.25">
      <c r="A140" s="196"/>
      <c r="B140" s="197"/>
      <c r="C140" s="197"/>
      <c r="D140" s="197"/>
      <c r="E140" s="29"/>
      <c r="F140" s="78"/>
      <c r="G140" s="9">
        <v>189</v>
      </c>
      <c r="H140" s="72">
        <f t="shared" ref="H140:H141" si="6">F140/G140</f>
        <v>0</v>
      </c>
      <c r="I140" s="11"/>
      <c r="J140" s="11"/>
      <c r="K140" s="11"/>
    </row>
    <row r="141" spans="1:12" ht="17.25" hidden="1" customHeight="1" x14ac:dyDescent="0.25">
      <c r="A141" s="196"/>
      <c r="B141" s="197"/>
      <c r="C141" s="197"/>
      <c r="D141" s="197"/>
      <c r="E141" s="79"/>
      <c r="F141" s="47"/>
      <c r="G141" s="9">
        <v>189</v>
      </c>
      <c r="H141" s="72">
        <f t="shared" si="6"/>
        <v>0</v>
      </c>
      <c r="I141" s="11"/>
      <c r="J141" s="11"/>
      <c r="K141" s="11"/>
    </row>
    <row r="142" spans="1:12" ht="20.25" customHeight="1" thickBot="1" x14ac:dyDescent="0.3">
      <c r="A142" s="215" t="s">
        <v>73</v>
      </c>
      <c r="B142" s="216"/>
      <c r="C142" s="216"/>
      <c r="D142" s="216"/>
      <c r="E142" s="70"/>
      <c r="F142" s="92">
        <f>SUM(F137:F141)</f>
        <v>10000</v>
      </c>
      <c r="G142" s="66"/>
      <c r="H142" s="73">
        <f>SUM(H137:H137)</f>
        <v>1.9116803670426306</v>
      </c>
      <c r="I142" s="11"/>
      <c r="J142" s="41"/>
      <c r="K142" s="11"/>
    </row>
    <row r="143" spans="1:12" ht="22.5" customHeight="1" x14ac:dyDescent="0.25">
      <c r="A143" s="116"/>
      <c r="B143" s="116"/>
      <c r="C143" s="116"/>
      <c r="D143" s="116"/>
      <c r="E143" s="117"/>
      <c r="F143" s="118"/>
      <c r="G143" s="119"/>
      <c r="H143" s="118"/>
      <c r="I143" s="120"/>
      <c r="J143" s="90"/>
      <c r="K143" s="121"/>
      <c r="L143" s="69"/>
    </row>
    <row r="144" spans="1:12" ht="15.75" x14ac:dyDescent="0.25">
      <c r="A144" s="217" t="s">
        <v>105</v>
      </c>
      <c r="B144" s="217"/>
      <c r="C144" s="217"/>
      <c r="D144" s="217"/>
      <c r="E144" s="217"/>
      <c r="F144" s="217"/>
      <c r="G144" s="217"/>
      <c r="H144" s="217"/>
      <c r="I144" s="217"/>
      <c r="J144" s="217"/>
      <c r="K144" s="217"/>
      <c r="L144" s="217"/>
    </row>
    <row r="145" spans="1:12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</row>
    <row r="146" spans="1:12" ht="60" x14ac:dyDescent="0.25">
      <c r="A146" s="218" t="s">
        <v>3</v>
      </c>
      <c r="B146" s="218"/>
      <c r="C146" s="218"/>
      <c r="D146" s="218"/>
      <c r="E146" s="9" t="s">
        <v>4</v>
      </c>
      <c r="F146" s="10" t="s">
        <v>0</v>
      </c>
      <c r="G146" s="42" t="s">
        <v>72</v>
      </c>
      <c r="H146" s="42" t="s">
        <v>63</v>
      </c>
      <c r="I146" s="9" t="s">
        <v>86</v>
      </c>
      <c r="J146" s="9" t="s">
        <v>93</v>
      </c>
      <c r="K146" s="9" t="s">
        <v>66</v>
      </c>
      <c r="L146" s="32"/>
    </row>
    <row r="147" spans="1:12" x14ac:dyDescent="0.25">
      <c r="A147" s="227">
        <v>1</v>
      </c>
      <c r="B147" s="228"/>
      <c r="C147" s="228"/>
      <c r="D147" s="228"/>
      <c r="E147" s="30">
        <v>2</v>
      </c>
      <c r="F147" s="12">
        <v>3</v>
      </c>
      <c r="G147" s="30">
        <v>4</v>
      </c>
      <c r="H147" s="30" t="s">
        <v>165</v>
      </c>
      <c r="I147" s="31">
        <v>6</v>
      </c>
      <c r="J147" s="45">
        <v>7</v>
      </c>
      <c r="K147" s="46">
        <v>8</v>
      </c>
      <c r="L147" s="32"/>
    </row>
    <row r="148" spans="1:12" ht="15.75" thickBot="1" x14ac:dyDescent="0.3">
      <c r="A148" s="205" t="s">
        <v>90</v>
      </c>
      <c r="B148" s="205"/>
      <c r="C148" s="205"/>
      <c r="D148" s="205"/>
      <c r="E148" s="47">
        <f>9144000/12/13.75</f>
        <v>55418.181818181816</v>
      </c>
      <c r="F148" s="47">
        <v>13.75</v>
      </c>
      <c r="G148" s="47">
        <v>7023041.4749999996</v>
      </c>
      <c r="H148" s="47">
        <f>(G148*1.302)</f>
        <v>9144000.0004500002</v>
      </c>
      <c r="I148" s="65">
        <v>5231</v>
      </c>
      <c r="J148" s="47">
        <f>H148/I148</f>
        <v>1748.0405277098071</v>
      </c>
      <c r="K148" s="82">
        <f>H148/(8696900+23460820)*100</f>
        <v>28.43485172596192</v>
      </c>
      <c r="L148" s="18"/>
    </row>
    <row r="149" spans="1:12" ht="15.75" hidden="1" thickBot="1" x14ac:dyDescent="0.3">
      <c r="A149" s="212"/>
      <c r="B149" s="213"/>
      <c r="C149" s="213"/>
      <c r="D149" s="213"/>
      <c r="E149" s="47">
        <v>17865.98</v>
      </c>
      <c r="F149" s="83">
        <v>4</v>
      </c>
      <c r="G149" s="65"/>
      <c r="H149" s="54">
        <f>H18</f>
        <v>0</v>
      </c>
      <c r="I149" s="47" t="e">
        <f t="shared" ref="I149:I170" si="7">F149/G149*H149</f>
        <v>#DIV/0!</v>
      </c>
      <c r="J149" s="47">
        <f t="shared" ref="J149:J170" si="8">E149*F149*12*1.302</f>
        <v>1116552.28608</v>
      </c>
      <c r="K149" s="84" t="s">
        <v>50</v>
      </c>
      <c r="L149" s="38" t="e">
        <f t="shared" ref="L149:L173" si="9">I149*J149</f>
        <v>#DIV/0!</v>
      </c>
    </row>
    <row r="150" spans="1:12" ht="15.75" hidden="1" thickBot="1" x14ac:dyDescent="0.3">
      <c r="A150" s="209"/>
      <c r="B150" s="209"/>
      <c r="C150" s="209"/>
      <c r="D150" s="209"/>
      <c r="E150" s="47">
        <v>9544</v>
      </c>
      <c r="F150" s="83">
        <v>1</v>
      </c>
      <c r="G150" s="65"/>
      <c r="H150" s="54">
        <f>H18</f>
        <v>0</v>
      </c>
      <c r="I150" s="47" t="e">
        <f t="shared" si="7"/>
        <v>#DIV/0!</v>
      </c>
      <c r="J150" s="47">
        <f t="shared" si="8"/>
        <v>149115.45600000001</v>
      </c>
      <c r="K150" s="54">
        <f>H150/11277167.39*100</f>
        <v>0</v>
      </c>
      <c r="L150" s="15" t="e">
        <f t="shared" si="9"/>
        <v>#DIV/0!</v>
      </c>
    </row>
    <row r="151" spans="1:12" ht="15" hidden="1" customHeight="1" x14ac:dyDescent="0.25">
      <c r="A151" s="210"/>
      <c r="B151" s="211"/>
      <c r="C151" s="211"/>
      <c r="D151" s="211"/>
      <c r="E151" s="47">
        <v>11560</v>
      </c>
      <c r="F151" s="83">
        <v>1</v>
      </c>
      <c r="G151" s="65"/>
      <c r="H151" s="54">
        <f>H18</f>
        <v>0</v>
      </c>
      <c r="I151" s="47" t="e">
        <f t="shared" si="7"/>
        <v>#DIV/0!</v>
      </c>
      <c r="J151" s="47">
        <f t="shared" si="8"/>
        <v>180613.44</v>
      </c>
      <c r="K151" s="34"/>
      <c r="L151" s="15" t="e">
        <f t="shared" si="9"/>
        <v>#DIV/0!</v>
      </c>
    </row>
    <row r="152" spans="1:12" ht="15.75" hidden="1" thickBot="1" x14ac:dyDescent="0.3">
      <c r="A152" s="205"/>
      <c r="B152" s="205"/>
      <c r="C152" s="205"/>
      <c r="D152" s="205"/>
      <c r="E152" s="47">
        <v>9544</v>
      </c>
      <c r="F152" s="85">
        <v>0.5</v>
      </c>
      <c r="G152" s="65"/>
      <c r="H152" s="54">
        <f>H18</f>
        <v>0</v>
      </c>
      <c r="I152" s="47" t="e">
        <f t="shared" si="7"/>
        <v>#DIV/0!</v>
      </c>
      <c r="J152" s="47">
        <f t="shared" si="8"/>
        <v>74557.728000000003</v>
      </c>
      <c r="K152" s="34"/>
      <c r="L152" s="15" t="e">
        <f t="shared" si="9"/>
        <v>#DIV/0!</v>
      </c>
    </row>
    <row r="153" spans="1:12" ht="15.75" hidden="1" thickBot="1" x14ac:dyDescent="0.3">
      <c r="A153" s="205"/>
      <c r="B153" s="205"/>
      <c r="C153" s="205"/>
      <c r="D153" s="205"/>
      <c r="E153" s="47">
        <v>9544</v>
      </c>
      <c r="F153" s="83">
        <v>1</v>
      </c>
      <c r="G153" s="65"/>
      <c r="H153" s="54">
        <f>H18</f>
        <v>0</v>
      </c>
      <c r="I153" s="47" t="e">
        <f t="shared" si="7"/>
        <v>#DIV/0!</v>
      </c>
      <c r="J153" s="47">
        <f t="shared" si="8"/>
        <v>149115.45600000001</v>
      </c>
      <c r="K153" s="47"/>
      <c r="L153" s="15" t="e">
        <f t="shared" si="9"/>
        <v>#DIV/0!</v>
      </c>
    </row>
    <row r="154" spans="1:12" ht="14.25" hidden="1" customHeight="1" x14ac:dyDescent="0.25">
      <c r="A154" s="205"/>
      <c r="B154" s="205"/>
      <c r="C154" s="205"/>
      <c r="D154" s="205"/>
      <c r="E154" s="47">
        <v>9544</v>
      </c>
      <c r="F154" s="83">
        <v>1</v>
      </c>
      <c r="G154" s="65"/>
      <c r="H154" s="54">
        <f>H18</f>
        <v>0</v>
      </c>
      <c r="I154" s="47" t="e">
        <f t="shared" si="7"/>
        <v>#DIV/0!</v>
      </c>
      <c r="J154" s="47">
        <f t="shared" si="8"/>
        <v>149115.45600000001</v>
      </c>
      <c r="K154" s="66"/>
      <c r="L154" s="15" t="e">
        <f t="shared" si="9"/>
        <v>#DIV/0!</v>
      </c>
    </row>
    <row r="155" spans="1:12" ht="15.75" hidden="1" thickBot="1" x14ac:dyDescent="0.3">
      <c r="A155" s="196"/>
      <c r="B155" s="197"/>
      <c r="C155" s="197"/>
      <c r="D155" s="197"/>
      <c r="E155" s="47">
        <v>9544</v>
      </c>
      <c r="F155" s="47"/>
      <c r="G155" s="65"/>
      <c r="H155" s="54">
        <f>H18</f>
        <v>0</v>
      </c>
      <c r="I155" s="47" t="e">
        <f t="shared" si="7"/>
        <v>#DIV/0!</v>
      </c>
      <c r="J155" s="47">
        <f t="shared" si="8"/>
        <v>0</v>
      </c>
      <c r="K155" s="66"/>
      <c r="L155" s="15" t="e">
        <f t="shared" si="9"/>
        <v>#DIV/0!</v>
      </c>
    </row>
    <row r="156" spans="1:12" ht="15.75" hidden="1" thickBot="1" x14ac:dyDescent="0.3">
      <c r="A156" s="196"/>
      <c r="B156" s="197"/>
      <c r="C156" s="197"/>
      <c r="D156" s="197"/>
      <c r="E156" s="47">
        <v>9544</v>
      </c>
      <c r="F156" s="86">
        <v>0.25</v>
      </c>
      <c r="G156" s="65"/>
      <c r="H156" s="54">
        <f>H18</f>
        <v>0</v>
      </c>
      <c r="I156" s="47" t="e">
        <f t="shared" si="7"/>
        <v>#DIV/0!</v>
      </c>
      <c r="J156" s="47">
        <f t="shared" si="8"/>
        <v>37278.864000000001</v>
      </c>
      <c r="K156" s="66"/>
      <c r="L156" s="15" t="e">
        <f t="shared" si="9"/>
        <v>#DIV/0!</v>
      </c>
    </row>
    <row r="157" spans="1:12" ht="15.75" hidden="1" thickBot="1" x14ac:dyDescent="0.3">
      <c r="A157" s="196"/>
      <c r="B157" s="197"/>
      <c r="C157" s="197"/>
      <c r="D157" s="197"/>
      <c r="E157" s="47">
        <v>9544</v>
      </c>
      <c r="F157" s="47"/>
      <c r="G157" s="65"/>
      <c r="H157" s="54">
        <f>H18</f>
        <v>0</v>
      </c>
      <c r="I157" s="47" t="e">
        <f t="shared" si="7"/>
        <v>#DIV/0!</v>
      </c>
      <c r="J157" s="47">
        <f t="shared" si="8"/>
        <v>0</v>
      </c>
      <c r="K157" s="66"/>
      <c r="L157" s="15" t="e">
        <f t="shared" si="9"/>
        <v>#DIV/0!</v>
      </c>
    </row>
    <row r="158" spans="1:12" ht="15.75" hidden="1" thickBot="1" x14ac:dyDescent="0.3">
      <c r="A158" s="196"/>
      <c r="B158" s="197"/>
      <c r="C158" s="197"/>
      <c r="D158" s="197"/>
      <c r="E158" s="47">
        <v>9544</v>
      </c>
      <c r="F158" s="85">
        <v>0.5</v>
      </c>
      <c r="G158" s="65"/>
      <c r="H158" s="54">
        <f>H18</f>
        <v>0</v>
      </c>
      <c r="I158" s="47" t="e">
        <f t="shared" si="7"/>
        <v>#DIV/0!</v>
      </c>
      <c r="J158" s="47">
        <f t="shared" si="8"/>
        <v>74557.728000000003</v>
      </c>
      <c r="K158" s="66"/>
      <c r="L158" s="15" t="e">
        <f t="shared" si="9"/>
        <v>#DIV/0!</v>
      </c>
    </row>
    <row r="159" spans="1:12" ht="15.75" hidden="1" customHeight="1" x14ac:dyDescent="0.25">
      <c r="A159" s="196"/>
      <c r="B159" s="197"/>
      <c r="C159" s="197"/>
      <c r="D159" s="197"/>
      <c r="E159" s="47">
        <v>9544</v>
      </c>
      <c r="F159" s="83">
        <v>1</v>
      </c>
      <c r="G159" s="65"/>
      <c r="H159" s="54">
        <f>H18</f>
        <v>0</v>
      </c>
      <c r="I159" s="47" t="e">
        <f t="shared" si="7"/>
        <v>#DIV/0!</v>
      </c>
      <c r="J159" s="47">
        <f t="shared" si="8"/>
        <v>149115.45600000001</v>
      </c>
      <c r="K159" s="66"/>
      <c r="L159" s="15" t="e">
        <f t="shared" si="9"/>
        <v>#DIV/0!</v>
      </c>
    </row>
    <row r="160" spans="1:12" ht="15" hidden="1" customHeight="1" x14ac:dyDescent="0.25">
      <c r="A160" s="205"/>
      <c r="B160" s="205"/>
      <c r="C160" s="205"/>
      <c r="D160" s="205"/>
      <c r="E160" s="47">
        <v>9544</v>
      </c>
      <c r="F160" s="83">
        <v>1</v>
      </c>
      <c r="G160" s="65"/>
      <c r="H160" s="54">
        <f>H18</f>
        <v>0</v>
      </c>
      <c r="I160" s="47" t="e">
        <f t="shared" si="7"/>
        <v>#DIV/0!</v>
      </c>
      <c r="J160" s="47">
        <f t="shared" si="8"/>
        <v>149115.45600000001</v>
      </c>
      <c r="K160" s="66"/>
      <c r="L160" s="15" t="e">
        <f t="shared" si="9"/>
        <v>#DIV/0!</v>
      </c>
    </row>
    <row r="161" spans="1:12" ht="15" hidden="1" customHeight="1" x14ac:dyDescent="0.25">
      <c r="A161" s="205"/>
      <c r="B161" s="205"/>
      <c r="C161" s="205"/>
      <c r="D161" s="205"/>
      <c r="E161" s="47">
        <v>9544</v>
      </c>
      <c r="F161" s="85">
        <v>5.5</v>
      </c>
      <c r="G161" s="65"/>
      <c r="H161" s="54">
        <f>H18</f>
        <v>0</v>
      </c>
      <c r="I161" s="47" t="e">
        <f t="shared" si="7"/>
        <v>#DIV/0!</v>
      </c>
      <c r="J161" s="47">
        <f t="shared" si="8"/>
        <v>820135.00800000003</v>
      </c>
      <c r="K161" s="66"/>
      <c r="L161" s="15" t="e">
        <f t="shared" si="9"/>
        <v>#DIV/0!</v>
      </c>
    </row>
    <row r="162" spans="1:12" ht="15" hidden="1" customHeight="1" x14ac:dyDescent="0.25">
      <c r="A162" s="205"/>
      <c r="B162" s="205"/>
      <c r="C162" s="205"/>
      <c r="D162" s="205"/>
      <c r="E162" s="47">
        <v>9544</v>
      </c>
      <c r="F162" s="83">
        <v>1</v>
      </c>
      <c r="G162" s="65"/>
      <c r="H162" s="54">
        <f>H18</f>
        <v>0</v>
      </c>
      <c r="I162" s="47" t="e">
        <f t="shared" si="7"/>
        <v>#DIV/0!</v>
      </c>
      <c r="J162" s="47">
        <f t="shared" si="8"/>
        <v>149115.45600000001</v>
      </c>
      <c r="K162" s="66"/>
      <c r="L162" s="15" t="e">
        <f t="shared" si="9"/>
        <v>#DIV/0!</v>
      </c>
    </row>
    <row r="163" spans="1:12" ht="15" hidden="1" customHeight="1" x14ac:dyDescent="0.25">
      <c r="A163" s="205"/>
      <c r="B163" s="205"/>
      <c r="C163" s="205"/>
      <c r="D163" s="205"/>
      <c r="E163" s="47">
        <v>9544</v>
      </c>
      <c r="F163" s="85">
        <v>0.5</v>
      </c>
      <c r="G163" s="65"/>
      <c r="H163" s="54">
        <f>H18</f>
        <v>0</v>
      </c>
      <c r="I163" s="47" t="e">
        <f t="shared" si="7"/>
        <v>#DIV/0!</v>
      </c>
      <c r="J163" s="47">
        <f t="shared" si="8"/>
        <v>74557.728000000003</v>
      </c>
      <c r="K163" s="66"/>
      <c r="L163" s="15" t="e">
        <f t="shared" si="9"/>
        <v>#DIV/0!</v>
      </c>
    </row>
    <row r="164" spans="1:12" ht="15" hidden="1" customHeight="1" x14ac:dyDescent="0.25">
      <c r="A164" s="205"/>
      <c r="B164" s="205"/>
      <c r="C164" s="205"/>
      <c r="D164" s="205"/>
      <c r="E164" s="47">
        <v>9544</v>
      </c>
      <c r="F164" s="85">
        <v>0.5</v>
      </c>
      <c r="G164" s="65"/>
      <c r="H164" s="54">
        <f>H18</f>
        <v>0</v>
      </c>
      <c r="I164" s="47" t="e">
        <f t="shared" si="7"/>
        <v>#DIV/0!</v>
      </c>
      <c r="J164" s="47">
        <f t="shared" si="8"/>
        <v>74557.728000000003</v>
      </c>
      <c r="K164" s="66"/>
      <c r="L164" s="15" t="e">
        <f t="shared" si="9"/>
        <v>#DIV/0!</v>
      </c>
    </row>
    <row r="165" spans="1:12" ht="15.75" hidden="1" thickBot="1" x14ac:dyDescent="0.3">
      <c r="A165" s="205"/>
      <c r="B165" s="205"/>
      <c r="C165" s="205"/>
      <c r="D165" s="205"/>
      <c r="E165" s="47">
        <v>9544</v>
      </c>
      <c r="F165" s="83">
        <v>1</v>
      </c>
      <c r="G165" s="65"/>
      <c r="H165" s="54">
        <f>H18</f>
        <v>0</v>
      </c>
      <c r="I165" s="47" t="e">
        <f t="shared" si="7"/>
        <v>#DIV/0!</v>
      </c>
      <c r="J165" s="47">
        <f t="shared" si="8"/>
        <v>149115.45600000001</v>
      </c>
      <c r="K165" s="66"/>
      <c r="L165" s="15" t="e">
        <f t="shared" si="9"/>
        <v>#DIV/0!</v>
      </c>
    </row>
    <row r="166" spans="1:12" ht="15.75" hidden="1" customHeight="1" x14ac:dyDescent="0.25">
      <c r="A166" s="205"/>
      <c r="B166" s="205"/>
      <c r="C166" s="205"/>
      <c r="D166" s="205"/>
      <c r="E166" s="47">
        <v>9544</v>
      </c>
      <c r="F166" s="83">
        <v>4</v>
      </c>
      <c r="G166" s="65"/>
      <c r="H166" s="54">
        <f>H18</f>
        <v>0</v>
      </c>
      <c r="I166" s="47" t="e">
        <f t="shared" si="7"/>
        <v>#DIV/0!</v>
      </c>
      <c r="J166" s="47">
        <f t="shared" si="8"/>
        <v>596461.82400000002</v>
      </c>
      <c r="K166" s="66"/>
      <c r="L166" s="15" t="e">
        <f t="shared" si="9"/>
        <v>#DIV/0!</v>
      </c>
    </row>
    <row r="167" spans="1:12" ht="16.5" hidden="1" customHeight="1" x14ac:dyDescent="0.25">
      <c r="A167" s="196"/>
      <c r="B167" s="197"/>
      <c r="C167" s="197"/>
      <c r="D167" s="197"/>
      <c r="E167" s="47">
        <v>9544</v>
      </c>
      <c r="F167" s="83">
        <v>1</v>
      </c>
      <c r="G167" s="65"/>
      <c r="H167" s="54">
        <f>H18</f>
        <v>0</v>
      </c>
      <c r="I167" s="47" t="e">
        <f t="shared" si="7"/>
        <v>#DIV/0!</v>
      </c>
      <c r="J167" s="47">
        <f t="shared" si="8"/>
        <v>149115.45600000001</v>
      </c>
      <c r="K167" s="66"/>
      <c r="L167" s="15" t="e">
        <f t="shared" si="9"/>
        <v>#DIV/0!</v>
      </c>
    </row>
    <row r="168" spans="1:12" ht="16.5" hidden="1" customHeight="1" x14ac:dyDescent="0.25">
      <c r="A168" s="196"/>
      <c r="B168" s="197"/>
      <c r="C168" s="197"/>
      <c r="D168" s="197"/>
      <c r="E168" s="47">
        <v>9544</v>
      </c>
      <c r="F168" s="86">
        <v>1.75</v>
      </c>
      <c r="G168" s="65"/>
      <c r="H168" s="54">
        <f>H18</f>
        <v>0</v>
      </c>
      <c r="I168" s="47" t="e">
        <f t="shared" si="7"/>
        <v>#DIV/0!</v>
      </c>
      <c r="J168" s="47">
        <f t="shared" si="8"/>
        <v>260952.04800000001</v>
      </c>
      <c r="K168" s="66"/>
      <c r="L168" s="15" t="e">
        <f t="shared" si="9"/>
        <v>#DIV/0!</v>
      </c>
    </row>
    <row r="169" spans="1:12" ht="16.5" hidden="1" customHeight="1" x14ac:dyDescent="0.25">
      <c r="A169" s="196"/>
      <c r="B169" s="197"/>
      <c r="C169" s="197"/>
      <c r="D169" s="197"/>
      <c r="E169" s="47">
        <v>9544</v>
      </c>
      <c r="F169" s="54"/>
      <c r="G169" s="65"/>
      <c r="H169" s="54">
        <f>H18</f>
        <v>0</v>
      </c>
      <c r="I169" s="47" t="e">
        <f t="shared" si="7"/>
        <v>#DIV/0!</v>
      </c>
      <c r="J169" s="47">
        <f t="shared" si="8"/>
        <v>0</v>
      </c>
      <c r="K169" s="66"/>
      <c r="L169" s="15" t="e">
        <f t="shared" si="9"/>
        <v>#DIV/0!</v>
      </c>
    </row>
    <row r="170" spans="1:12" ht="16.5" hidden="1" customHeight="1" x14ac:dyDescent="0.25">
      <c r="A170" s="196"/>
      <c r="B170" s="197"/>
      <c r="C170" s="197"/>
      <c r="D170" s="197"/>
      <c r="E170" s="47">
        <v>9544</v>
      </c>
      <c r="F170" s="85">
        <v>0.5</v>
      </c>
      <c r="G170" s="65"/>
      <c r="H170" s="54">
        <f>H18</f>
        <v>0</v>
      </c>
      <c r="I170" s="47" t="e">
        <f t="shared" si="7"/>
        <v>#DIV/0!</v>
      </c>
      <c r="J170" s="47">
        <f t="shared" si="8"/>
        <v>74557.728000000003</v>
      </c>
      <c r="K170" s="66"/>
      <c r="L170" s="15" t="e">
        <f t="shared" si="9"/>
        <v>#DIV/0!</v>
      </c>
    </row>
    <row r="171" spans="1:12" ht="15" hidden="1" customHeight="1" x14ac:dyDescent="0.25">
      <c r="A171" s="196"/>
      <c r="B171" s="197"/>
      <c r="C171" s="197"/>
      <c r="D171" s="197"/>
      <c r="E171" s="47"/>
      <c r="F171" s="47"/>
      <c r="G171" s="47"/>
      <c r="H171" s="47"/>
      <c r="I171" s="47"/>
      <c r="J171" s="47"/>
      <c r="K171" s="66"/>
      <c r="L171" s="15">
        <f t="shared" si="9"/>
        <v>0</v>
      </c>
    </row>
    <row r="172" spans="1:12" ht="15.75" hidden="1" customHeight="1" x14ac:dyDescent="0.25">
      <c r="A172" s="196"/>
      <c r="B172" s="197"/>
      <c r="C172" s="197"/>
      <c r="D172" s="197"/>
      <c r="E172" s="47"/>
      <c r="F172" s="47"/>
      <c r="G172" s="47"/>
      <c r="H172" s="47"/>
      <c r="I172" s="47"/>
      <c r="J172" s="47"/>
      <c r="K172" s="66"/>
      <c r="L172" s="15">
        <f t="shared" si="9"/>
        <v>0</v>
      </c>
    </row>
    <row r="173" spans="1:12" ht="14.25" hidden="1" customHeight="1" x14ac:dyDescent="0.25">
      <c r="A173" s="196"/>
      <c r="B173" s="197"/>
      <c r="C173" s="197"/>
      <c r="D173" s="197"/>
      <c r="E173" s="47"/>
      <c r="F173" s="47"/>
      <c r="G173" s="47"/>
      <c r="H173" s="47"/>
      <c r="I173" s="65">
        <v>105</v>
      </c>
      <c r="J173" s="67">
        <f>H173/I173</f>
        <v>0</v>
      </c>
      <c r="K173" s="66"/>
      <c r="L173" s="36">
        <f t="shared" si="9"/>
        <v>0</v>
      </c>
    </row>
    <row r="174" spans="1:12" ht="15.75" thickBot="1" x14ac:dyDescent="0.3">
      <c r="A174" s="226" t="s">
        <v>67</v>
      </c>
      <c r="B174" s="226"/>
      <c r="C174" s="226"/>
      <c r="D174" s="226"/>
      <c r="E174" s="87"/>
      <c r="F174" s="134"/>
      <c r="G174" s="134"/>
      <c r="H174" s="92">
        <f>H148</f>
        <v>9144000.0004500002</v>
      </c>
      <c r="I174" s="68"/>
      <c r="J174" s="88">
        <f>J148</f>
        <v>1748.0405277098071</v>
      </c>
      <c r="K174" s="66"/>
      <c r="L174" s="18"/>
    </row>
    <row r="175" spans="1:12" ht="12" customHeight="1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9"/>
      <c r="L175" s="19"/>
    </row>
    <row r="176" spans="1:12" ht="12" customHeight="1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9"/>
      <c r="L176" s="19"/>
    </row>
    <row r="177" spans="1:12" ht="15.75" x14ac:dyDescent="0.25">
      <c r="A177" s="217" t="s">
        <v>92</v>
      </c>
      <c r="B177" s="217"/>
      <c r="C177" s="217"/>
      <c r="D177" s="217"/>
      <c r="E177" s="217"/>
      <c r="F177" s="217"/>
      <c r="G177" s="217"/>
      <c r="H177" s="217"/>
      <c r="I177" s="217"/>
      <c r="J177" s="217"/>
      <c r="K177" s="217"/>
      <c r="L177" s="217"/>
    </row>
    <row r="178" spans="1:12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</row>
    <row r="179" spans="1:12" ht="60" x14ac:dyDescent="0.25">
      <c r="A179" s="218" t="s">
        <v>3</v>
      </c>
      <c r="B179" s="218"/>
      <c r="C179" s="218"/>
      <c r="D179" s="218"/>
      <c r="E179" s="9" t="s">
        <v>4</v>
      </c>
      <c r="F179" s="10" t="s">
        <v>0</v>
      </c>
      <c r="G179" s="42" t="s">
        <v>72</v>
      </c>
      <c r="H179" s="42" t="s">
        <v>63</v>
      </c>
      <c r="I179" s="9" t="s">
        <v>86</v>
      </c>
      <c r="J179" s="9" t="s">
        <v>93</v>
      </c>
      <c r="K179" s="9" t="s">
        <v>66</v>
      </c>
      <c r="L179" s="32"/>
    </row>
    <row r="180" spans="1:12" x14ac:dyDescent="0.25">
      <c r="A180" s="227">
        <v>1</v>
      </c>
      <c r="B180" s="228"/>
      <c r="C180" s="228"/>
      <c r="D180" s="228"/>
      <c r="E180" s="30">
        <v>2</v>
      </c>
      <c r="F180" s="12">
        <v>3</v>
      </c>
      <c r="G180" s="30">
        <v>4</v>
      </c>
      <c r="H180" s="30">
        <v>5</v>
      </c>
      <c r="I180" s="31">
        <v>6</v>
      </c>
      <c r="J180" s="45">
        <v>7</v>
      </c>
      <c r="K180" s="46">
        <v>8</v>
      </c>
      <c r="L180" s="32"/>
    </row>
    <row r="181" spans="1:12" ht="15.75" thickBot="1" x14ac:dyDescent="0.3">
      <c r="A181" s="205" t="s">
        <v>91</v>
      </c>
      <c r="B181" s="205"/>
      <c r="C181" s="205"/>
      <c r="D181" s="205"/>
      <c r="E181" s="47">
        <f>18861400/12/55.25</f>
        <v>28448.567119155352</v>
      </c>
      <c r="F181" s="47">
        <v>55.25</v>
      </c>
      <c r="G181" s="47">
        <v>14486482.34</v>
      </c>
      <c r="H181" s="47">
        <f>G181*1.302-0.01</f>
        <v>18861399.996679999</v>
      </c>
      <c r="I181" s="65">
        <v>5231</v>
      </c>
      <c r="J181" s="47">
        <f>H181/I181</f>
        <v>3605.6968068591091</v>
      </c>
      <c r="K181" s="82">
        <f>H181/(8696900+23460820)*100</f>
        <v>58.652790050662794</v>
      </c>
      <c r="L181" s="18"/>
    </row>
    <row r="182" spans="1:12" ht="15.75" hidden="1" thickBot="1" x14ac:dyDescent="0.3">
      <c r="A182" s="212"/>
      <c r="B182" s="213"/>
      <c r="C182" s="213"/>
      <c r="D182" s="213"/>
      <c r="E182" s="47">
        <v>17865.98</v>
      </c>
      <c r="F182" s="83">
        <v>4</v>
      </c>
      <c r="G182" s="65"/>
      <c r="H182" s="54">
        <f>H51</f>
        <v>0</v>
      </c>
      <c r="I182" s="47" t="e">
        <f t="shared" ref="I182:I203" si="10">F182/G182*H182</f>
        <v>#DIV/0!</v>
      </c>
      <c r="J182" s="47">
        <f t="shared" ref="J182:J203" si="11">E182*F182*12*1.302</f>
        <v>1116552.28608</v>
      </c>
      <c r="K182" s="84" t="s">
        <v>50</v>
      </c>
      <c r="L182" s="38" t="e">
        <f t="shared" ref="L182:L206" si="12">I182*J182</f>
        <v>#DIV/0!</v>
      </c>
    </row>
    <row r="183" spans="1:12" ht="15.75" hidden="1" thickBot="1" x14ac:dyDescent="0.3">
      <c r="A183" s="209"/>
      <c r="B183" s="209"/>
      <c r="C183" s="209"/>
      <c r="D183" s="209"/>
      <c r="E183" s="47">
        <v>9544</v>
      </c>
      <c r="F183" s="83">
        <v>1</v>
      </c>
      <c r="G183" s="65"/>
      <c r="H183" s="54">
        <f>H51</f>
        <v>0</v>
      </c>
      <c r="I183" s="47" t="e">
        <f t="shared" si="10"/>
        <v>#DIV/0!</v>
      </c>
      <c r="J183" s="47">
        <f t="shared" si="11"/>
        <v>149115.45600000001</v>
      </c>
      <c r="K183" s="54">
        <f>H183/11277167.39*100</f>
        <v>0</v>
      </c>
      <c r="L183" s="15" t="e">
        <f t="shared" si="12"/>
        <v>#DIV/0!</v>
      </c>
    </row>
    <row r="184" spans="1:12" ht="15" hidden="1" customHeight="1" x14ac:dyDescent="0.25">
      <c r="A184" s="210"/>
      <c r="B184" s="211"/>
      <c r="C184" s="211"/>
      <c r="D184" s="211"/>
      <c r="E184" s="47">
        <v>11560</v>
      </c>
      <c r="F184" s="83">
        <v>1</v>
      </c>
      <c r="G184" s="65"/>
      <c r="H184" s="54">
        <f>H51</f>
        <v>0</v>
      </c>
      <c r="I184" s="47" t="e">
        <f t="shared" si="10"/>
        <v>#DIV/0!</v>
      </c>
      <c r="J184" s="47">
        <f t="shared" si="11"/>
        <v>180613.44</v>
      </c>
      <c r="K184" s="34"/>
      <c r="L184" s="15" t="e">
        <f t="shared" si="12"/>
        <v>#DIV/0!</v>
      </c>
    </row>
    <row r="185" spans="1:12" ht="15.75" hidden="1" thickBot="1" x14ac:dyDescent="0.3">
      <c r="A185" s="205"/>
      <c r="B185" s="205"/>
      <c r="C185" s="205"/>
      <c r="D185" s="205"/>
      <c r="E185" s="47">
        <v>9544</v>
      </c>
      <c r="F185" s="85">
        <v>0.5</v>
      </c>
      <c r="G185" s="65"/>
      <c r="H185" s="54">
        <f>H51</f>
        <v>0</v>
      </c>
      <c r="I185" s="47" t="e">
        <f t="shared" si="10"/>
        <v>#DIV/0!</v>
      </c>
      <c r="J185" s="47">
        <f t="shared" si="11"/>
        <v>74557.728000000003</v>
      </c>
      <c r="K185" s="34"/>
      <c r="L185" s="15" t="e">
        <f t="shared" si="12"/>
        <v>#DIV/0!</v>
      </c>
    </row>
    <row r="186" spans="1:12" ht="15.75" hidden="1" thickBot="1" x14ac:dyDescent="0.3">
      <c r="A186" s="205"/>
      <c r="B186" s="205"/>
      <c r="C186" s="205"/>
      <c r="D186" s="205"/>
      <c r="E186" s="47">
        <v>9544</v>
      </c>
      <c r="F186" s="83">
        <v>1</v>
      </c>
      <c r="G186" s="65"/>
      <c r="H186" s="54">
        <f>H51</f>
        <v>0</v>
      </c>
      <c r="I186" s="47" t="e">
        <f t="shared" si="10"/>
        <v>#DIV/0!</v>
      </c>
      <c r="J186" s="47">
        <f t="shared" si="11"/>
        <v>149115.45600000001</v>
      </c>
      <c r="K186" s="47"/>
      <c r="L186" s="15" t="e">
        <f t="shared" si="12"/>
        <v>#DIV/0!</v>
      </c>
    </row>
    <row r="187" spans="1:12" ht="14.25" hidden="1" customHeight="1" x14ac:dyDescent="0.25">
      <c r="A187" s="205"/>
      <c r="B187" s="205"/>
      <c r="C187" s="205"/>
      <c r="D187" s="205"/>
      <c r="E187" s="47">
        <v>9544</v>
      </c>
      <c r="F187" s="83">
        <v>1</v>
      </c>
      <c r="G187" s="65"/>
      <c r="H187" s="54">
        <f>H51</f>
        <v>0</v>
      </c>
      <c r="I187" s="47" t="e">
        <f t="shared" si="10"/>
        <v>#DIV/0!</v>
      </c>
      <c r="J187" s="47">
        <f t="shared" si="11"/>
        <v>149115.45600000001</v>
      </c>
      <c r="K187" s="66"/>
      <c r="L187" s="15" t="e">
        <f t="shared" si="12"/>
        <v>#DIV/0!</v>
      </c>
    </row>
    <row r="188" spans="1:12" ht="15.75" hidden="1" thickBot="1" x14ac:dyDescent="0.3">
      <c r="A188" s="196"/>
      <c r="B188" s="197"/>
      <c r="C188" s="197"/>
      <c r="D188" s="197"/>
      <c r="E188" s="47">
        <v>9544</v>
      </c>
      <c r="F188" s="47"/>
      <c r="G188" s="65"/>
      <c r="H188" s="54">
        <f>H51</f>
        <v>0</v>
      </c>
      <c r="I188" s="47" t="e">
        <f t="shared" si="10"/>
        <v>#DIV/0!</v>
      </c>
      <c r="J188" s="47">
        <f t="shared" si="11"/>
        <v>0</v>
      </c>
      <c r="K188" s="66"/>
      <c r="L188" s="15" t="e">
        <f t="shared" si="12"/>
        <v>#DIV/0!</v>
      </c>
    </row>
    <row r="189" spans="1:12" ht="15.75" hidden="1" thickBot="1" x14ac:dyDescent="0.3">
      <c r="A189" s="196"/>
      <c r="B189" s="197"/>
      <c r="C189" s="197"/>
      <c r="D189" s="197"/>
      <c r="E189" s="47">
        <v>9544</v>
      </c>
      <c r="F189" s="86">
        <v>0.25</v>
      </c>
      <c r="G189" s="65"/>
      <c r="H189" s="54">
        <f>H51</f>
        <v>0</v>
      </c>
      <c r="I189" s="47" t="e">
        <f t="shared" si="10"/>
        <v>#DIV/0!</v>
      </c>
      <c r="J189" s="47">
        <f t="shared" si="11"/>
        <v>37278.864000000001</v>
      </c>
      <c r="K189" s="66"/>
      <c r="L189" s="15" t="e">
        <f t="shared" si="12"/>
        <v>#DIV/0!</v>
      </c>
    </row>
    <row r="190" spans="1:12" ht="15.75" hidden="1" thickBot="1" x14ac:dyDescent="0.3">
      <c r="A190" s="196"/>
      <c r="B190" s="197"/>
      <c r="C190" s="197"/>
      <c r="D190" s="197"/>
      <c r="E190" s="47">
        <v>9544</v>
      </c>
      <c r="F190" s="47"/>
      <c r="G190" s="65"/>
      <c r="H190" s="54">
        <f>H51</f>
        <v>0</v>
      </c>
      <c r="I190" s="47" t="e">
        <f t="shared" si="10"/>
        <v>#DIV/0!</v>
      </c>
      <c r="J190" s="47">
        <f t="shared" si="11"/>
        <v>0</v>
      </c>
      <c r="K190" s="66"/>
      <c r="L190" s="15" t="e">
        <f t="shared" si="12"/>
        <v>#DIV/0!</v>
      </c>
    </row>
    <row r="191" spans="1:12" ht="15.75" hidden="1" thickBot="1" x14ac:dyDescent="0.3">
      <c r="A191" s="196"/>
      <c r="B191" s="197"/>
      <c r="C191" s="197"/>
      <c r="D191" s="197"/>
      <c r="E191" s="47">
        <v>9544</v>
      </c>
      <c r="F191" s="85">
        <v>0.5</v>
      </c>
      <c r="G191" s="65"/>
      <c r="H191" s="54">
        <f>H51</f>
        <v>0</v>
      </c>
      <c r="I191" s="47" t="e">
        <f t="shared" si="10"/>
        <v>#DIV/0!</v>
      </c>
      <c r="J191" s="47">
        <f t="shared" si="11"/>
        <v>74557.728000000003</v>
      </c>
      <c r="K191" s="66"/>
      <c r="L191" s="15" t="e">
        <f t="shared" si="12"/>
        <v>#DIV/0!</v>
      </c>
    </row>
    <row r="192" spans="1:12" ht="15.75" hidden="1" customHeight="1" x14ac:dyDescent="0.25">
      <c r="A192" s="196"/>
      <c r="B192" s="197"/>
      <c r="C192" s="197"/>
      <c r="D192" s="197"/>
      <c r="E192" s="47">
        <v>9544</v>
      </c>
      <c r="F192" s="83">
        <v>1</v>
      </c>
      <c r="G192" s="65"/>
      <c r="H192" s="54">
        <f>H51</f>
        <v>0</v>
      </c>
      <c r="I192" s="47" t="e">
        <f t="shared" si="10"/>
        <v>#DIV/0!</v>
      </c>
      <c r="J192" s="47">
        <f t="shared" si="11"/>
        <v>149115.45600000001</v>
      </c>
      <c r="K192" s="66"/>
      <c r="L192" s="15" t="e">
        <f t="shared" si="12"/>
        <v>#DIV/0!</v>
      </c>
    </row>
    <row r="193" spans="1:12" ht="15" hidden="1" customHeight="1" x14ac:dyDescent="0.25">
      <c r="A193" s="205"/>
      <c r="B193" s="205"/>
      <c r="C193" s="205"/>
      <c r="D193" s="205"/>
      <c r="E193" s="47">
        <v>9544</v>
      </c>
      <c r="F193" s="83">
        <v>1</v>
      </c>
      <c r="G193" s="65"/>
      <c r="H193" s="54">
        <f>H51</f>
        <v>0</v>
      </c>
      <c r="I193" s="47" t="e">
        <f t="shared" si="10"/>
        <v>#DIV/0!</v>
      </c>
      <c r="J193" s="47">
        <f t="shared" si="11"/>
        <v>149115.45600000001</v>
      </c>
      <c r="K193" s="66"/>
      <c r="L193" s="15" t="e">
        <f t="shared" si="12"/>
        <v>#DIV/0!</v>
      </c>
    </row>
    <row r="194" spans="1:12" ht="15" hidden="1" customHeight="1" x14ac:dyDescent="0.25">
      <c r="A194" s="205"/>
      <c r="B194" s="205"/>
      <c r="C194" s="205"/>
      <c r="D194" s="205"/>
      <c r="E194" s="47">
        <v>9544</v>
      </c>
      <c r="F194" s="85">
        <v>5.5</v>
      </c>
      <c r="G194" s="65"/>
      <c r="H194" s="54">
        <f>H51</f>
        <v>0</v>
      </c>
      <c r="I194" s="47" t="e">
        <f t="shared" si="10"/>
        <v>#DIV/0!</v>
      </c>
      <c r="J194" s="47">
        <f t="shared" si="11"/>
        <v>820135.00800000003</v>
      </c>
      <c r="K194" s="66"/>
      <c r="L194" s="15" t="e">
        <f t="shared" si="12"/>
        <v>#DIV/0!</v>
      </c>
    </row>
    <row r="195" spans="1:12" ht="15" hidden="1" customHeight="1" x14ac:dyDescent="0.25">
      <c r="A195" s="205"/>
      <c r="B195" s="205"/>
      <c r="C195" s="205"/>
      <c r="D195" s="205"/>
      <c r="E195" s="47">
        <v>9544</v>
      </c>
      <c r="F195" s="83">
        <v>1</v>
      </c>
      <c r="G195" s="65"/>
      <c r="H195" s="54">
        <f>H51</f>
        <v>0</v>
      </c>
      <c r="I195" s="47" t="e">
        <f t="shared" si="10"/>
        <v>#DIV/0!</v>
      </c>
      <c r="J195" s="47">
        <f t="shared" si="11"/>
        <v>149115.45600000001</v>
      </c>
      <c r="K195" s="66"/>
      <c r="L195" s="15" t="e">
        <f t="shared" si="12"/>
        <v>#DIV/0!</v>
      </c>
    </row>
    <row r="196" spans="1:12" ht="15" hidden="1" customHeight="1" x14ac:dyDescent="0.25">
      <c r="A196" s="205"/>
      <c r="B196" s="205"/>
      <c r="C196" s="205"/>
      <c r="D196" s="205"/>
      <c r="E196" s="47">
        <v>9544</v>
      </c>
      <c r="F196" s="85">
        <v>0.5</v>
      </c>
      <c r="G196" s="65"/>
      <c r="H196" s="54">
        <f>H51</f>
        <v>0</v>
      </c>
      <c r="I196" s="47" t="e">
        <f t="shared" si="10"/>
        <v>#DIV/0!</v>
      </c>
      <c r="J196" s="47">
        <f t="shared" si="11"/>
        <v>74557.728000000003</v>
      </c>
      <c r="K196" s="66"/>
      <c r="L196" s="15" t="e">
        <f t="shared" si="12"/>
        <v>#DIV/0!</v>
      </c>
    </row>
    <row r="197" spans="1:12" ht="15" hidden="1" customHeight="1" x14ac:dyDescent="0.25">
      <c r="A197" s="205"/>
      <c r="B197" s="205"/>
      <c r="C197" s="205"/>
      <c r="D197" s="205"/>
      <c r="E197" s="47">
        <v>9544</v>
      </c>
      <c r="F197" s="85">
        <v>0.5</v>
      </c>
      <c r="G197" s="65"/>
      <c r="H197" s="54">
        <f>H51</f>
        <v>0</v>
      </c>
      <c r="I197" s="47" t="e">
        <f t="shared" si="10"/>
        <v>#DIV/0!</v>
      </c>
      <c r="J197" s="47">
        <f t="shared" si="11"/>
        <v>74557.728000000003</v>
      </c>
      <c r="K197" s="66"/>
      <c r="L197" s="15" t="e">
        <f t="shared" si="12"/>
        <v>#DIV/0!</v>
      </c>
    </row>
    <row r="198" spans="1:12" ht="15.75" hidden="1" thickBot="1" x14ac:dyDescent="0.3">
      <c r="A198" s="205"/>
      <c r="B198" s="205"/>
      <c r="C198" s="205"/>
      <c r="D198" s="205"/>
      <c r="E198" s="47">
        <v>9544</v>
      </c>
      <c r="F198" s="83">
        <v>1</v>
      </c>
      <c r="G198" s="65"/>
      <c r="H198" s="54">
        <f>H51</f>
        <v>0</v>
      </c>
      <c r="I198" s="47" t="e">
        <f t="shared" si="10"/>
        <v>#DIV/0!</v>
      </c>
      <c r="J198" s="47">
        <f t="shared" si="11"/>
        <v>149115.45600000001</v>
      </c>
      <c r="K198" s="66"/>
      <c r="L198" s="15" t="e">
        <f t="shared" si="12"/>
        <v>#DIV/0!</v>
      </c>
    </row>
    <row r="199" spans="1:12" ht="15.75" hidden="1" customHeight="1" x14ac:dyDescent="0.25">
      <c r="A199" s="205"/>
      <c r="B199" s="205"/>
      <c r="C199" s="205"/>
      <c r="D199" s="205"/>
      <c r="E199" s="47">
        <v>9544</v>
      </c>
      <c r="F199" s="83">
        <v>4</v>
      </c>
      <c r="G199" s="65"/>
      <c r="H199" s="54">
        <f>H51</f>
        <v>0</v>
      </c>
      <c r="I199" s="47" t="e">
        <f t="shared" si="10"/>
        <v>#DIV/0!</v>
      </c>
      <c r="J199" s="47">
        <f t="shared" si="11"/>
        <v>596461.82400000002</v>
      </c>
      <c r="K199" s="66"/>
      <c r="L199" s="15" t="e">
        <f t="shared" si="12"/>
        <v>#DIV/0!</v>
      </c>
    </row>
    <row r="200" spans="1:12" ht="16.5" hidden="1" customHeight="1" x14ac:dyDescent="0.25">
      <c r="A200" s="196"/>
      <c r="B200" s="197"/>
      <c r="C200" s="197"/>
      <c r="D200" s="197"/>
      <c r="E200" s="47">
        <v>9544</v>
      </c>
      <c r="F200" s="83">
        <v>1</v>
      </c>
      <c r="G200" s="65"/>
      <c r="H200" s="54">
        <f>H51</f>
        <v>0</v>
      </c>
      <c r="I200" s="47" t="e">
        <f t="shared" si="10"/>
        <v>#DIV/0!</v>
      </c>
      <c r="J200" s="47">
        <f t="shared" si="11"/>
        <v>149115.45600000001</v>
      </c>
      <c r="K200" s="66"/>
      <c r="L200" s="15" t="e">
        <f t="shared" si="12"/>
        <v>#DIV/0!</v>
      </c>
    </row>
    <row r="201" spans="1:12" ht="16.5" hidden="1" customHeight="1" x14ac:dyDescent="0.25">
      <c r="A201" s="196"/>
      <c r="B201" s="197"/>
      <c r="C201" s="197"/>
      <c r="D201" s="197"/>
      <c r="E201" s="47">
        <v>9544</v>
      </c>
      <c r="F201" s="86">
        <v>1.75</v>
      </c>
      <c r="G201" s="65"/>
      <c r="H201" s="54">
        <f>H51</f>
        <v>0</v>
      </c>
      <c r="I201" s="47" t="e">
        <f t="shared" si="10"/>
        <v>#DIV/0!</v>
      </c>
      <c r="J201" s="47">
        <f t="shared" si="11"/>
        <v>260952.04800000001</v>
      </c>
      <c r="K201" s="66"/>
      <c r="L201" s="15" t="e">
        <f t="shared" si="12"/>
        <v>#DIV/0!</v>
      </c>
    </row>
    <row r="202" spans="1:12" ht="16.5" hidden="1" customHeight="1" x14ac:dyDescent="0.25">
      <c r="A202" s="196"/>
      <c r="B202" s="197"/>
      <c r="C202" s="197"/>
      <c r="D202" s="197"/>
      <c r="E202" s="47">
        <v>9544</v>
      </c>
      <c r="F202" s="54"/>
      <c r="G202" s="65"/>
      <c r="H202" s="54">
        <f>H51</f>
        <v>0</v>
      </c>
      <c r="I202" s="47" t="e">
        <f t="shared" si="10"/>
        <v>#DIV/0!</v>
      </c>
      <c r="J202" s="47">
        <f t="shared" si="11"/>
        <v>0</v>
      </c>
      <c r="K202" s="66"/>
      <c r="L202" s="15" t="e">
        <f t="shared" si="12"/>
        <v>#DIV/0!</v>
      </c>
    </row>
    <row r="203" spans="1:12" ht="16.5" hidden="1" customHeight="1" x14ac:dyDescent="0.25">
      <c r="A203" s="196"/>
      <c r="B203" s="197"/>
      <c r="C203" s="197"/>
      <c r="D203" s="197"/>
      <c r="E203" s="47">
        <v>9544</v>
      </c>
      <c r="F203" s="85">
        <v>0.5</v>
      </c>
      <c r="G203" s="65"/>
      <c r="H203" s="54">
        <f>H51</f>
        <v>0</v>
      </c>
      <c r="I203" s="47" t="e">
        <f t="shared" si="10"/>
        <v>#DIV/0!</v>
      </c>
      <c r="J203" s="47">
        <f t="shared" si="11"/>
        <v>74557.728000000003</v>
      </c>
      <c r="K203" s="66"/>
      <c r="L203" s="15" t="e">
        <f t="shared" si="12"/>
        <v>#DIV/0!</v>
      </c>
    </row>
    <row r="204" spans="1:12" ht="15" hidden="1" customHeight="1" x14ac:dyDescent="0.25">
      <c r="A204" s="196"/>
      <c r="B204" s="197"/>
      <c r="C204" s="197"/>
      <c r="D204" s="197"/>
      <c r="E204" s="47"/>
      <c r="F204" s="47"/>
      <c r="G204" s="47"/>
      <c r="H204" s="47"/>
      <c r="I204" s="47"/>
      <c r="J204" s="47"/>
      <c r="K204" s="66"/>
      <c r="L204" s="15">
        <f t="shared" si="12"/>
        <v>0</v>
      </c>
    </row>
    <row r="205" spans="1:12" ht="15.75" hidden="1" customHeight="1" x14ac:dyDescent="0.25">
      <c r="A205" s="196"/>
      <c r="B205" s="197"/>
      <c r="C205" s="197"/>
      <c r="D205" s="197"/>
      <c r="E205" s="47"/>
      <c r="F205" s="47"/>
      <c r="G205" s="47"/>
      <c r="H205" s="47"/>
      <c r="I205" s="47"/>
      <c r="J205" s="47"/>
      <c r="K205" s="66"/>
      <c r="L205" s="15">
        <f t="shared" si="12"/>
        <v>0</v>
      </c>
    </row>
    <row r="206" spans="1:12" ht="14.25" hidden="1" customHeight="1" x14ac:dyDescent="0.25">
      <c r="A206" s="196"/>
      <c r="B206" s="197"/>
      <c r="C206" s="197"/>
      <c r="D206" s="197"/>
      <c r="E206" s="47"/>
      <c r="F206" s="47"/>
      <c r="G206" s="47"/>
      <c r="H206" s="47"/>
      <c r="I206" s="65">
        <v>105</v>
      </c>
      <c r="J206" s="67">
        <f>H206/I206</f>
        <v>0</v>
      </c>
      <c r="K206" s="66"/>
      <c r="L206" s="36">
        <f t="shared" si="12"/>
        <v>0</v>
      </c>
    </row>
    <row r="207" spans="1:12" ht="15.75" thickBot="1" x14ac:dyDescent="0.3">
      <c r="A207" s="226" t="s">
        <v>67</v>
      </c>
      <c r="B207" s="226"/>
      <c r="C207" s="226"/>
      <c r="D207" s="226"/>
      <c r="E207" s="87"/>
      <c r="F207" s="134"/>
      <c r="G207" s="134"/>
      <c r="H207" s="92">
        <f>H181</f>
        <v>18861399.996679999</v>
      </c>
      <c r="I207" s="68"/>
      <c r="J207" s="88">
        <f>J181</f>
        <v>3605.6968068591091</v>
      </c>
      <c r="K207" s="66"/>
      <c r="L207" s="18"/>
    </row>
    <row r="208" spans="1:12" ht="24.75" customHeight="1" x14ac:dyDescent="0.25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11"/>
    </row>
    <row r="209" spans="1:12" hidden="1" x14ac:dyDescent="0.25">
      <c r="A209" s="202" t="s">
        <v>33</v>
      </c>
      <c r="B209" s="202"/>
      <c r="C209" s="202"/>
      <c r="D209" s="202"/>
      <c r="E209" s="202"/>
      <c r="F209" s="202"/>
      <c r="G209" s="202"/>
      <c r="H209" s="202"/>
      <c r="I209" s="202"/>
      <c r="J209" s="202"/>
      <c r="K209" s="202"/>
      <c r="L209" s="202"/>
    </row>
    <row r="210" spans="1:12" hidden="1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</row>
    <row r="211" spans="1:12" ht="45" hidden="1" x14ac:dyDescent="0.25">
      <c r="A211" s="218" t="s">
        <v>34</v>
      </c>
      <c r="B211" s="218"/>
      <c r="C211" s="218"/>
      <c r="D211" s="218"/>
      <c r="E211" s="9" t="s">
        <v>7</v>
      </c>
      <c r="F211" s="9" t="s">
        <v>18</v>
      </c>
      <c r="G211" s="9" t="s">
        <v>19</v>
      </c>
      <c r="H211" s="9" t="s">
        <v>20</v>
      </c>
      <c r="I211" s="9"/>
      <c r="J211" s="9" t="s">
        <v>21</v>
      </c>
      <c r="K211" s="9" t="s">
        <v>22</v>
      </c>
      <c r="L211" s="9" t="s">
        <v>68</v>
      </c>
    </row>
    <row r="212" spans="1:12" hidden="1" x14ac:dyDescent="0.25">
      <c r="A212" s="279" t="s">
        <v>35</v>
      </c>
      <c r="B212" s="279"/>
      <c r="C212" s="279"/>
      <c r="D212" s="279"/>
      <c r="E212" s="12" t="s">
        <v>38</v>
      </c>
      <c r="F212" s="12">
        <v>0</v>
      </c>
      <c r="G212" s="45">
        <f>L91</f>
        <v>0</v>
      </c>
      <c r="H212" s="37">
        <f>H51</f>
        <v>0</v>
      </c>
      <c r="I212" s="37"/>
      <c r="J212" s="12"/>
      <c r="K212" s="12"/>
      <c r="L212" s="12"/>
    </row>
    <row r="213" spans="1:12" hidden="1" x14ac:dyDescent="0.25">
      <c r="A213" s="279" t="s">
        <v>36</v>
      </c>
      <c r="B213" s="279"/>
      <c r="C213" s="279"/>
      <c r="D213" s="279"/>
      <c r="E213" s="12" t="s">
        <v>39</v>
      </c>
      <c r="F213" s="12">
        <v>0</v>
      </c>
      <c r="G213" s="45">
        <f>L91</f>
        <v>0</v>
      </c>
      <c r="H213" s="37">
        <f>H51</f>
        <v>0</v>
      </c>
      <c r="I213" s="37"/>
      <c r="J213" s="12"/>
      <c r="K213" s="12"/>
      <c r="L213" s="12"/>
    </row>
    <row r="214" spans="1:12" hidden="1" x14ac:dyDescent="0.25">
      <c r="A214" s="279" t="s">
        <v>37</v>
      </c>
      <c r="B214" s="279"/>
      <c r="C214" s="279"/>
      <c r="D214" s="279"/>
      <c r="E214" s="12" t="s">
        <v>39</v>
      </c>
      <c r="F214" s="12">
        <v>0</v>
      </c>
      <c r="G214" s="45">
        <f>L91</f>
        <v>0</v>
      </c>
      <c r="H214" s="37">
        <f>H51</f>
        <v>0</v>
      </c>
      <c r="I214" s="37"/>
      <c r="J214" s="12"/>
      <c r="K214" s="12"/>
      <c r="L214" s="12"/>
    </row>
    <row r="215" spans="1:12" hidden="1" x14ac:dyDescent="0.25">
      <c r="A215" s="280" t="s">
        <v>40</v>
      </c>
      <c r="B215" s="281"/>
      <c r="C215" s="281"/>
      <c r="D215" s="281"/>
      <c r="E215" s="281"/>
      <c r="F215" s="281"/>
      <c r="G215" s="281"/>
      <c r="H215" s="281"/>
      <c r="I215" s="281"/>
      <c r="J215" s="281"/>
      <c r="K215" s="282"/>
      <c r="L215" s="49">
        <f>L212+L213+L214</f>
        <v>0</v>
      </c>
    </row>
    <row r="216" spans="1:12" hidden="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</row>
    <row r="217" spans="1:12" hidden="1" x14ac:dyDescent="0.25">
      <c r="A217" s="283" t="s">
        <v>78</v>
      </c>
      <c r="B217" s="284"/>
      <c r="C217" s="284"/>
      <c r="D217" s="284"/>
      <c r="E217" s="284"/>
      <c r="F217" s="284"/>
      <c r="G217" s="284"/>
      <c r="H217" s="284"/>
      <c r="I217" s="284"/>
      <c r="J217" s="284"/>
      <c r="K217" s="284"/>
      <c r="L217" s="11"/>
    </row>
    <row r="218" spans="1:12" hidden="1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</row>
    <row r="219" spans="1:12" ht="75" hidden="1" x14ac:dyDescent="0.25">
      <c r="A219" s="193" t="s">
        <v>55</v>
      </c>
      <c r="B219" s="194"/>
      <c r="C219" s="194"/>
      <c r="D219" s="194"/>
      <c r="E219" s="9" t="s">
        <v>7</v>
      </c>
      <c r="F219" s="9" t="s">
        <v>18</v>
      </c>
      <c r="G219" s="30" t="s">
        <v>22</v>
      </c>
      <c r="H219" s="9" t="s">
        <v>68</v>
      </c>
      <c r="I219" s="30" t="s">
        <v>64</v>
      </c>
      <c r="J219" s="30" t="s">
        <v>62</v>
      </c>
      <c r="K219" s="11"/>
      <c r="L219" s="11"/>
    </row>
    <row r="220" spans="1:12" hidden="1" x14ac:dyDescent="0.25">
      <c r="A220" s="227">
        <v>1</v>
      </c>
      <c r="B220" s="228"/>
      <c r="C220" s="228"/>
      <c r="D220" s="228"/>
      <c r="E220" s="30">
        <v>2</v>
      </c>
      <c r="F220" s="30">
        <v>3</v>
      </c>
      <c r="G220" s="30">
        <v>4</v>
      </c>
      <c r="H220" s="30">
        <v>5</v>
      </c>
      <c r="I220" s="31">
        <v>6</v>
      </c>
      <c r="J220" s="45">
        <v>7</v>
      </c>
      <c r="K220" s="11"/>
      <c r="L220" s="11"/>
    </row>
    <row r="221" spans="1:12" hidden="1" x14ac:dyDescent="0.25">
      <c r="A221" s="285" t="s">
        <v>80</v>
      </c>
      <c r="B221" s="286"/>
      <c r="C221" s="286"/>
      <c r="D221" s="286"/>
      <c r="E221" s="15"/>
      <c r="F221" s="16"/>
      <c r="G221" s="15"/>
      <c r="H221" s="15"/>
      <c r="I221" s="16">
        <v>30</v>
      </c>
      <c r="J221" s="10">
        <f>H221/I221</f>
        <v>0</v>
      </c>
      <c r="K221" s="11"/>
      <c r="L221" s="11"/>
    </row>
    <row r="222" spans="1:12" ht="15.75" hidden="1" thickBot="1" x14ac:dyDescent="0.3">
      <c r="A222" s="56" t="s">
        <v>79</v>
      </c>
      <c r="B222" s="57"/>
      <c r="C222" s="57"/>
      <c r="D222" s="57"/>
      <c r="E222" s="57"/>
      <c r="F222" s="57"/>
      <c r="G222" s="57"/>
      <c r="H222" s="50">
        <f>H221</f>
        <v>0</v>
      </c>
      <c r="I222" s="51"/>
      <c r="J222" s="52">
        <f>J221</f>
        <v>0</v>
      </c>
      <c r="K222" s="11"/>
      <c r="L222" s="11"/>
    </row>
    <row r="223" spans="1:12" hidden="1" x14ac:dyDescent="0.25">
      <c r="A223" s="287" t="s">
        <v>54</v>
      </c>
      <c r="B223" s="287"/>
      <c r="C223" s="287"/>
      <c r="D223" s="287"/>
      <c r="E223" s="287"/>
      <c r="F223" s="287"/>
      <c r="G223" s="287"/>
      <c r="H223" s="287"/>
      <c r="I223" s="287"/>
      <c r="J223" s="287"/>
      <c r="K223" s="287"/>
      <c r="L223" s="287"/>
    </row>
    <row r="224" spans="1:12" hidden="1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</row>
    <row r="225" spans="1:12" hidden="1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</row>
    <row r="226" spans="1:12" hidden="1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</row>
    <row r="227" spans="1:12" hidden="1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</row>
    <row r="228" spans="1:12" ht="60" hidden="1" x14ac:dyDescent="0.25">
      <c r="A228" s="193" t="s">
        <v>55</v>
      </c>
      <c r="B228" s="194"/>
      <c r="C228" s="194"/>
      <c r="D228" s="194"/>
      <c r="E228" s="9" t="s">
        <v>7</v>
      </c>
      <c r="F228" s="9" t="s">
        <v>18</v>
      </c>
      <c r="G228" s="30" t="s">
        <v>22</v>
      </c>
      <c r="H228" s="9" t="s">
        <v>68</v>
      </c>
      <c r="I228" s="9" t="s">
        <v>86</v>
      </c>
      <c r="J228" s="9" t="s">
        <v>87</v>
      </c>
      <c r="K228" s="11"/>
      <c r="L228" s="11"/>
    </row>
    <row r="229" spans="1:12" hidden="1" x14ac:dyDescent="0.25">
      <c r="A229" s="227">
        <v>1</v>
      </c>
      <c r="B229" s="228"/>
      <c r="C229" s="228"/>
      <c r="D229" s="228"/>
      <c r="E229" s="30">
        <v>2</v>
      </c>
      <c r="F229" s="30">
        <v>3</v>
      </c>
      <c r="G229" s="30">
        <v>4</v>
      </c>
      <c r="H229" s="30">
        <v>5</v>
      </c>
      <c r="I229" s="31">
        <v>6</v>
      </c>
      <c r="J229" s="45">
        <v>7</v>
      </c>
      <c r="K229" s="11"/>
      <c r="L229" s="53"/>
    </row>
    <row r="230" spans="1:12" hidden="1" x14ac:dyDescent="0.25">
      <c r="A230" s="285" t="s">
        <v>57</v>
      </c>
      <c r="B230" s="286"/>
      <c r="C230" s="286"/>
      <c r="D230" s="286"/>
      <c r="E230" s="15" t="s">
        <v>31</v>
      </c>
      <c r="F230" s="16">
        <v>0</v>
      </c>
      <c r="G230" s="15"/>
      <c r="H230" s="15">
        <f>H51</f>
        <v>0</v>
      </c>
      <c r="I230" s="18"/>
      <c r="J230" s="11"/>
      <c r="K230" s="11"/>
      <c r="L230" s="38">
        <f>I230*G230</f>
        <v>0</v>
      </c>
    </row>
    <row r="231" spans="1:12" hidden="1" x14ac:dyDescent="0.25">
      <c r="A231" s="285" t="s">
        <v>58</v>
      </c>
      <c r="B231" s="286"/>
      <c r="C231" s="286"/>
      <c r="D231" s="286"/>
      <c r="E231" s="15" t="s">
        <v>31</v>
      </c>
      <c r="F231" s="16">
        <v>0</v>
      </c>
      <c r="G231" s="15"/>
      <c r="H231" s="15">
        <f>H51</f>
        <v>0</v>
      </c>
      <c r="I231" s="18"/>
      <c r="J231" s="11"/>
      <c r="K231" s="11"/>
      <c r="L231" s="15"/>
    </row>
    <row r="232" spans="1:12" hidden="1" x14ac:dyDescent="0.25">
      <c r="A232" s="285" t="s">
        <v>59</v>
      </c>
      <c r="B232" s="286"/>
      <c r="C232" s="286"/>
      <c r="D232" s="286"/>
      <c r="E232" s="15" t="s">
        <v>76</v>
      </c>
      <c r="F232" s="54"/>
      <c r="G232" s="15"/>
      <c r="H232" s="35"/>
      <c r="I232" s="65">
        <v>3260</v>
      </c>
      <c r="J232" s="55">
        <f>H232/I232</f>
        <v>0</v>
      </c>
      <c r="K232" s="11"/>
      <c r="L232" s="11"/>
    </row>
    <row r="233" spans="1:12" ht="15.75" hidden="1" thickBot="1" x14ac:dyDescent="0.3">
      <c r="A233" s="56" t="s">
        <v>56</v>
      </c>
      <c r="B233" s="57"/>
      <c r="C233" s="57"/>
      <c r="D233" s="57"/>
      <c r="E233" s="57"/>
      <c r="F233" s="57"/>
      <c r="G233" s="57"/>
      <c r="H233" s="50">
        <f>H232</f>
        <v>0</v>
      </c>
      <c r="I233" s="48"/>
      <c r="J233" s="40">
        <f>J232</f>
        <v>0</v>
      </c>
      <c r="K233" s="11"/>
      <c r="L233" s="11"/>
    </row>
    <row r="234" spans="1:12" x14ac:dyDescent="0.25">
      <c r="A234" s="59"/>
      <c r="B234" s="59"/>
      <c r="C234" s="59"/>
      <c r="D234" s="59"/>
      <c r="E234" s="59"/>
      <c r="F234" s="59"/>
      <c r="G234" s="59"/>
      <c r="H234" s="43"/>
      <c r="I234" s="61"/>
      <c r="J234" s="44"/>
      <c r="K234" s="11"/>
      <c r="L234" s="11"/>
    </row>
    <row r="235" spans="1:12" x14ac:dyDescent="0.25">
      <c r="A235" s="11"/>
      <c r="B235" s="11"/>
      <c r="C235" s="11"/>
      <c r="D235" s="11"/>
      <c r="E235" s="11"/>
      <c r="F235" s="11"/>
      <c r="G235" s="11"/>
      <c r="H235" s="13"/>
      <c r="I235" s="13"/>
      <c r="J235" s="13"/>
      <c r="K235" s="11"/>
      <c r="L235" s="11"/>
    </row>
    <row r="236" spans="1:12" x14ac:dyDescent="0.25">
      <c r="A236" s="220" t="s">
        <v>84</v>
      </c>
      <c r="B236" s="220"/>
      <c r="C236" s="220"/>
      <c r="D236" s="220"/>
      <c r="E236" s="220"/>
      <c r="F236" s="220"/>
      <c r="G236" s="220"/>
      <c r="H236" s="220"/>
      <c r="I236" s="220"/>
      <c r="J236" s="220"/>
      <c r="K236" s="220"/>
      <c r="L236" s="11"/>
    </row>
    <row r="237" spans="1:12" ht="60" x14ac:dyDescent="0.25">
      <c r="A237" s="193" t="s">
        <v>85</v>
      </c>
      <c r="B237" s="194"/>
      <c r="C237" s="194"/>
      <c r="D237" s="195"/>
      <c r="E237" s="132" t="s">
        <v>7</v>
      </c>
      <c r="F237" s="132" t="s">
        <v>75</v>
      </c>
      <c r="G237" s="132" t="s">
        <v>60</v>
      </c>
      <c r="H237" s="132" t="s">
        <v>68</v>
      </c>
      <c r="I237" s="9" t="s">
        <v>86</v>
      </c>
      <c r="J237" s="9" t="s">
        <v>93</v>
      </c>
      <c r="K237" s="58"/>
      <c r="L237" s="11"/>
    </row>
    <row r="238" spans="1:12" ht="36.75" customHeight="1" x14ac:dyDescent="0.25">
      <c r="A238" s="196" t="s">
        <v>173</v>
      </c>
      <c r="B238" s="197"/>
      <c r="C238" s="197"/>
      <c r="D238" s="198"/>
      <c r="E238" s="132"/>
      <c r="F238" s="132"/>
      <c r="G238" s="132"/>
      <c r="H238" s="127">
        <f>300000</f>
        <v>300000</v>
      </c>
      <c r="I238" s="65">
        <v>5231</v>
      </c>
      <c r="J238" s="141">
        <f>H238/I238</f>
        <v>57.350411011278915</v>
      </c>
      <c r="K238" s="58"/>
      <c r="L238" s="11"/>
    </row>
    <row r="239" spans="1:12" ht="34.5" customHeight="1" thickBot="1" x14ac:dyDescent="0.3">
      <c r="A239" s="196" t="s">
        <v>174</v>
      </c>
      <c r="B239" s="197"/>
      <c r="C239" s="197"/>
      <c r="D239" s="198"/>
      <c r="E239" s="132"/>
      <c r="F239" s="132"/>
      <c r="G239" s="132"/>
      <c r="H239" s="127">
        <f>140000</f>
        <v>140000</v>
      </c>
      <c r="I239" s="65">
        <v>5231</v>
      </c>
      <c r="J239" s="141">
        <f t="shared" ref="J239" si="13">H239/I239</f>
        <v>26.763525138596826</v>
      </c>
      <c r="K239" s="58"/>
      <c r="L239" s="11"/>
    </row>
    <row r="240" spans="1:12" ht="15.75" thickBot="1" x14ac:dyDescent="0.3">
      <c r="A240" s="199" t="s">
        <v>79</v>
      </c>
      <c r="B240" s="200"/>
      <c r="C240" s="200"/>
      <c r="D240" s="200"/>
      <c r="E240" s="200"/>
      <c r="F240" s="200"/>
      <c r="G240" s="201"/>
      <c r="H240" s="81">
        <f>H239+H238</f>
        <v>440000</v>
      </c>
      <c r="I240" s="77"/>
      <c r="J240" s="39">
        <f>SUM(J238:J239)</f>
        <v>84.113936149875741</v>
      </c>
      <c r="K240" s="11"/>
      <c r="L240" s="11"/>
    </row>
    <row r="241" spans="1:13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</row>
    <row r="242" spans="1:13" ht="60" x14ac:dyDescent="0.25">
      <c r="A242" s="193" t="s">
        <v>85</v>
      </c>
      <c r="B242" s="194"/>
      <c r="C242" s="194"/>
      <c r="D242" s="195"/>
      <c r="E242" s="132" t="s">
        <v>175</v>
      </c>
      <c r="F242" s="132" t="s">
        <v>75</v>
      </c>
      <c r="G242" s="132" t="s">
        <v>60</v>
      </c>
      <c r="H242" s="132" t="s">
        <v>68</v>
      </c>
      <c r="I242" s="9" t="s">
        <v>86</v>
      </c>
      <c r="J242" s="9" t="s">
        <v>93</v>
      </c>
      <c r="K242" s="58"/>
      <c r="L242" s="11"/>
    </row>
    <row r="243" spans="1:13" x14ac:dyDescent="0.25">
      <c r="A243" s="196" t="s">
        <v>108</v>
      </c>
      <c r="B243" s="197"/>
      <c r="C243" s="197"/>
      <c r="D243" s="198"/>
      <c r="E243" s="132">
        <v>120</v>
      </c>
      <c r="F243" s="132"/>
      <c r="G243" s="132"/>
      <c r="H243" s="127">
        <f>129600</f>
        <v>129600</v>
      </c>
      <c r="I243" s="65">
        <v>5231</v>
      </c>
      <c r="J243" s="141">
        <f>H243/I243</f>
        <v>24.775377556872492</v>
      </c>
      <c r="K243" s="58"/>
      <c r="L243" s="11"/>
    </row>
    <row r="244" spans="1:13" x14ac:dyDescent="0.25">
      <c r="A244" s="196" t="s">
        <v>109</v>
      </c>
      <c r="B244" s="197"/>
      <c r="C244" s="197"/>
      <c r="D244" s="198"/>
      <c r="E244" s="146">
        <v>640</v>
      </c>
      <c r="F244" s="132"/>
      <c r="G244" s="132"/>
      <c r="H244" s="127">
        <f>10800</f>
        <v>10800</v>
      </c>
      <c r="I244" s="65">
        <v>5231</v>
      </c>
      <c r="J244" s="141">
        <f t="shared" ref="J244:J245" si="14">H244/I244</f>
        <v>2.0646147964060408</v>
      </c>
      <c r="K244" s="58"/>
      <c r="L244" s="11"/>
    </row>
    <row r="245" spans="1:13" ht="18" customHeight="1" thickBot="1" x14ac:dyDescent="0.3">
      <c r="A245" s="196" t="s">
        <v>110</v>
      </c>
      <c r="B245" s="197"/>
      <c r="C245" s="197"/>
      <c r="D245" s="198"/>
      <c r="E245" s="146">
        <v>200</v>
      </c>
      <c r="F245" s="132"/>
      <c r="G245" s="132"/>
      <c r="H245" s="127">
        <f>15000</f>
        <v>15000</v>
      </c>
      <c r="I245" s="65">
        <v>5231</v>
      </c>
      <c r="J245" s="141">
        <f t="shared" si="14"/>
        <v>2.8675205505639458</v>
      </c>
      <c r="K245" s="58"/>
      <c r="L245" s="11"/>
    </row>
    <row r="246" spans="1:13" ht="15.75" thickBot="1" x14ac:dyDescent="0.3">
      <c r="A246" s="199" t="s">
        <v>79</v>
      </c>
      <c r="B246" s="200"/>
      <c r="C246" s="200"/>
      <c r="D246" s="200"/>
      <c r="E246" s="200"/>
      <c r="F246" s="200"/>
      <c r="G246" s="201"/>
      <c r="H246" s="81">
        <f>SUM(H243:H245)</f>
        <v>155400</v>
      </c>
      <c r="I246" s="77"/>
      <c r="J246" s="39">
        <f>SUM(J243:J245)</f>
        <v>29.707512903842478</v>
      </c>
      <c r="K246" s="11"/>
      <c r="L246" s="11"/>
    </row>
    <row r="247" spans="1:13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</row>
    <row r="248" spans="1:13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</row>
    <row r="249" spans="1:13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</row>
    <row r="250" spans="1:13" x14ac:dyDescent="0.25">
      <c r="A250" s="202" t="s">
        <v>41</v>
      </c>
      <c r="B250" s="202"/>
      <c r="C250" s="202"/>
      <c r="D250" s="202"/>
      <c r="E250" s="202"/>
      <c r="F250" s="202"/>
      <c r="G250" s="202"/>
      <c r="H250" s="202"/>
      <c r="I250" s="202"/>
      <c r="J250" s="202"/>
      <c r="K250" s="202"/>
      <c r="L250" s="202"/>
    </row>
    <row r="251" spans="1:13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</row>
    <row r="252" spans="1:13" ht="47.25" customHeight="1" x14ac:dyDescent="0.25">
      <c r="A252" s="252" t="s">
        <v>42</v>
      </c>
      <c r="B252" s="252"/>
      <c r="C252" s="252"/>
      <c r="D252" s="218" t="s">
        <v>43</v>
      </c>
      <c r="E252" s="218"/>
      <c r="F252" s="218"/>
      <c r="G252" s="218"/>
      <c r="H252" s="218"/>
      <c r="I252" s="218"/>
      <c r="J252" s="218"/>
      <c r="K252" s="288"/>
      <c r="L252" s="288"/>
      <c r="M252" s="132" t="s">
        <v>47</v>
      </c>
    </row>
    <row r="253" spans="1:13" ht="45" x14ac:dyDescent="0.25">
      <c r="A253" s="10" t="s">
        <v>44</v>
      </c>
      <c r="B253" s="9" t="s">
        <v>45</v>
      </c>
      <c r="C253" s="10" t="s">
        <v>46</v>
      </c>
      <c r="D253" s="9" t="s">
        <v>118</v>
      </c>
      <c r="E253" s="9" t="s">
        <v>119</v>
      </c>
      <c r="F253" s="9" t="s">
        <v>120</v>
      </c>
      <c r="G253" s="9" t="s">
        <v>121</v>
      </c>
      <c r="H253" s="9" t="s">
        <v>123</v>
      </c>
      <c r="I253" s="9" t="s">
        <v>124</v>
      </c>
      <c r="J253" s="42" t="s">
        <v>125</v>
      </c>
      <c r="K253" s="132" t="s">
        <v>126</v>
      </c>
      <c r="L253" s="132"/>
    </row>
    <row r="254" spans="1:13" x14ac:dyDescent="0.25">
      <c r="A254" s="15">
        <f>I51</f>
        <v>0</v>
      </c>
      <c r="B254" s="15"/>
      <c r="C254" s="15"/>
      <c r="D254" s="15" t="e">
        <f>J87</f>
        <v>#DIV/0!</v>
      </c>
      <c r="E254" s="15" t="e">
        <f>J99</f>
        <v>#DIV/0!</v>
      </c>
      <c r="F254" s="15" t="e">
        <f>I115</f>
        <v>#DIV/0!</v>
      </c>
      <c r="G254" s="15" t="e">
        <f>I131</f>
        <v>#DIV/0!</v>
      </c>
      <c r="H254" s="15">
        <f>H142</f>
        <v>1.9116803670426306</v>
      </c>
      <c r="I254" s="17">
        <f>J174</f>
        <v>1748.0405277098071</v>
      </c>
      <c r="J254" s="143">
        <f>J207</f>
        <v>3605.6968068591091</v>
      </c>
      <c r="K254" s="142">
        <f>J240+J246</f>
        <v>113.82144905371823</v>
      </c>
      <c r="L254" s="142" t="e">
        <f>SUM(D254:K254)</f>
        <v>#DIV/0!</v>
      </c>
      <c r="M254">
        <v>8804.6299999999992</v>
      </c>
    </row>
    <row r="255" spans="1:13" ht="15.75" thickBot="1" x14ac:dyDescent="0.3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</row>
    <row r="256" spans="1:13" ht="15.75" thickBot="1" x14ac:dyDescent="0.3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28" t="e">
        <f>L254*5231</f>
        <v>#DIV/0!</v>
      </c>
    </row>
    <row r="257" spans="1:12" ht="15.75" thickBot="1" x14ac:dyDescent="0.3">
      <c r="A257" s="14" t="s">
        <v>88</v>
      </c>
      <c r="B257" s="14"/>
      <c r="C257" s="14"/>
      <c r="D257" s="11"/>
      <c r="E257" s="11"/>
      <c r="F257" s="11"/>
      <c r="G257" s="11"/>
      <c r="H257" s="11"/>
      <c r="I257" s="11"/>
      <c r="J257" s="91">
        <f>H87+H99+G115+G131+F142+H174+H207+H240+H246</f>
        <v>31876599.997129999</v>
      </c>
      <c r="K257" s="11"/>
      <c r="L257" s="11"/>
    </row>
    <row r="258" spans="1:12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</row>
    <row r="259" spans="1:12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</row>
    <row r="260" spans="1:12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</row>
    <row r="261" spans="1:12" ht="18.75" x14ac:dyDescent="0.3">
      <c r="A261" s="3" t="s">
        <v>176</v>
      </c>
      <c r="B261" s="3"/>
      <c r="C261" s="3"/>
      <c r="F261" s="3" t="s">
        <v>177</v>
      </c>
    </row>
    <row r="269" spans="1:12" ht="15.75" x14ac:dyDescent="0.25">
      <c r="A269" s="7" t="s">
        <v>61</v>
      </c>
      <c r="B269" s="7"/>
    </row>
    <row r="270" spans="1:12" ht="15.75" x14ac:dyDescent="0.25">
      <c r="A270" s="7" t="s">
        <v>111</v>
      </c>
      <c r="B270" s="7"/>
    </row>
    <row r="271" spans="1:12" ht="15.75" x14ac:dyDescent="0.25">
      <c r="A271" s="7" t="s">
        <v>112</v>
      </c>
      <c r="C271" s="7"/>
    </row>
  </sheetData>
  <mergeCells count="237">
    <mergeCell ref="A250:L250"/>
    <mergeCell ref="A252:C252"/>
    <mergeCell ref="D252:L252"/>
    <mergeCell ref="A245:D245"/>
    <mergeCell ref="A246:G246"/>
    <mergeCell ref="A239:D239"/>
    <mergeCell ref="A240:G240"/>
    <mergeCell ref="A242:D242"/>
    <mergeCell ref="A243:D243"/>
    <mergeCell ref="A244:D244"/>
    <mergeCell ref="A230:D230"/>
    <mergeCell ref="A231:D231"/>
    <mergeCell ref="A232:D232"/>
    <mergeCell ref="A236:K236"/>
    <mergeCell ref="A237:D237"/>
    <mergeCell ref="A238:D238"/>
    <mergeCell ref="A219:D219"/>
    <mergeCell ref="A220:D220"/>
    <mergeCell ref="A221:D221"/>
    <mergeCell ref="A223:L223"/>
    <mergeCell ref="A228:D228"/>
    <mergeCell ref="A229:D229"/>
    <mergeCell ref="A211:D211"/>
    <mergeCell ref="A212:D212"/>
    <mergeCell ref="A213:D213"/>
    <mergeCell ref="A214:D214"/>
    <mergeCell ref="A215:K215"/>
    <mergeCell ref="A217:K217"/>
    <mergeCell ref="A203:D203"/>
    <mergeCell ref="A204:D204"/>
    <mergeCell ref="A205:D205"/>
    <mergeCell ref="A206:D206"/>
    <mergeCell ref="A207:D207"/>
    <mergeCell ref="A209:L209"/>
    <mergeCell ref="A197:D197"/>
    <mergeCell ref="A198:D198"/>
    <mergeCell ref="A199:D199"/>
    <mergeCell ref="A200:D200"/>
    <mergeCell ref="A201:D201"/>
    <mergeCell ref="A202:D202"/>
    <mergeCell ref="A191:D191"/>
    <mergeCell ref="A192:D192"/>
    <mergeCell ref="A193:D193"/>
    <mergeCell ref="A194:D194"/>
    <mergeCell ref="A195:D195"/>
    <mergeCell ref="A196:D196"/>
    <mergeCell ref="A185:D185"/>
    <mergeCell ref="A186:D186"/>
    <mergeCell ref="A187:D187"/>
    <mergeCell ref="A188:D188"/>
    <mergeCell ref="A189:D189"/>
    <mergeCell ref="A190:D190"/>
    <mergeCell ref="A179:D179"/>
    <mergeCell ref="A180:D180"/>
    <mergeCell ref="A181:D181"/>
    <mergeCell ref="A182:D182"/>
    <mergeCell ref="A183:D183"/>
    <mergeCell ref="A184:D184"/>
    <mergeCell ref="A170:D170"/>
    <mergeCell ref="A171:D171"/>
    <mergeCell ref="A172:D172"/>
    <mergeCell ref="A173:D173"/>
    <mergeCell ref="A174:D174"/>
    <mergeCell ref="A177:L177"/>
    <mergeCell ref="A164:D164"/>
    <mergeCell ref="A165:D165"/>
    <mergeCell ref="A166:D166"/>
    <mergeCell ref="A167:D167"/>
    <mergeCell ref="A168:D168"/>
    <mergeCell ref="A169:D169"/>
    <mergeCell ref="A163:D163"/>
    <mergeCell ref="A153:D153"/>
    <mergeCell ref="A154:D154"/>
    <mergeCell ref="A155:D155"/>
    <mergeCell ref="A156:D156"/>
    <mergeCell ref="A157:D157"/>
    <mergeCell ref="A152:D152"/>
    <mergeCell ref="A146:D146"/>
    <mergeCell ref="A147:D147"/>
    <mergeCell ref="A148:D148"/>
    <mergeCell ref="A149:D149"/>
    <mergeCell ref="A150:D150"/>
    <mergeCell ref="A151:D151"/>
    <mergeCell ref="A108:D108"/>
    <mergeCell ref="A125:D125"/>
    <mergeCell ref="A158:D158"/>
    <mergeCell ref="A159:D159"/>
    <mergeCell ref="A160:D160"/>
    <mergeCell ref="A161:D161"/>
    <mergeCell ref="A162:D162"/>
    <mergeCell ref="A134:L134"/>
    <mergeCell ref="A136:D136"/>
    <mergeCell ref="A140:D140"/>
    <mergeCell ref="A141:D141"/>
    <mergeCell ref="A142:D142"/>
    <mergeCell ref="A144:L144"/>
    <mergeCell ref="A137:D137"/>
    <mergeCell ref="A131:D131"/>
    <mergeCell ref="A126:D126"/>
    <mergeCell ref="A129:D129"/>
    <mergeCell ref="A130:D130"/>
    <mergeCell ref="A119:D119"/>
    <mergeCell ref="A120:D120"/>
    <mergeCell ref="A121:D121"/>
    <mergeCell ref="A122:D122"/>
    <mergeCell ref="A123:D123"/>
    <mergeCell ref="A124:D124"/>
    <mergeCell ref="A103:D103"/>
    <mergeCell ref="A109:D109"/>
    <mergeCell ref="A110:D110"/>
    <mergeCell ref="A113:D113"/>
    <mergeCell ref="A114:D114"/>
    <mergeCell ref="A86:D86"/>
    <mergeCell ref="A87:D87"/>
    <mergeCell ref="A89:L89"/>
    <mergeCell ref="A91:K91"/>
    <mergeCell ref="A93:D93"/>
    <mergeCell ref="A94:D94"/>
    <mergeCell ref="A95:D95"/>
    <mergeCell ref="A96:D96"/>
    <mergeCell ref="A97:D97"/>
    <mergeCell ref="A98:D98"/>
    <mergeCell ref="A99:D99"/>
    <mergeCell ref="A101:L101"/>
    <mergeCell ref="A104:D104"/>
    <mergeCell ref="A105:D105"/>
    <mergeCell ref="A106:D106"/>
    <mergeCell ref="A117:L117"/>
    <mergeCell ref="A107:D107"/>
    <mergeCell ref="A77:K77"/>
    <mergeCell ref="A79:L79"/>
    <mergeCell ref="A81:K81"/>
    <mergeCell ref="A83:D83"/>
    <mergeCell ref="A84:D84"/>
    <mergeCell ref="A85:D85"/>
    <mergeCell ref="A71:D71"/>
    <mergeCell ref="A72:D72"/>
    <mergeCell ref="A73:D73"/>
    <mergeCell ref="A74:D74"/>
    <mergeCell ref="A75:D75"/>
    <mergeCell ref="A76:D76"/>
    <mergeCell ref="G52:K52"/>
    <mergeCell ref="A65:D65"/>
    <mergeCell ref="A66:D66"/>
    <mergeCell ref="A67:D67"/>
    <mergeCell ref="A68:D68"/>
    <mergeCell ref="A69:D69"/>
    <mergeCell ref="A70:D70"/>
    <mergeCell ref="A61:D61"/>
    <mergeCell ref="A62:D62"/>
    <mergeCell ref="A63:D63"/>
    <mergeCell ref="A64:D64"/>
    <mergeCell ref="A59:D59"/>
    <mergeCell ref="A60:D60"/>
    <mergeCell ref="A43:E43"/>
    <mergeCell ref="G43:K43"/>
    <mergeCell ref="A44:E44"/>
    <mergeCell ref="G44:K44"/>
    <mergeCell ref="A45:E45"/>
    <mergeCell ref="G45:K45"/>
    <mergeCell ref="A46:E46"/>
    <mergeCell ref="G46:K46"/>
    <mergeCell ref="A47:E47"/>
    <mergeCell ref="G47:K47"/>
    <mergeCell ref="A53:D53"/>
    <mergeCell ref="G53:M53"/>
    <mergeCell ref="A54:L54"/>
    <mergeCell ref="A56:D56"/>
    <mergeCell ref="A57:D57"/>
    <mergeCell ref="A58:D58"/>
    <mergeCell ref="A48:E48"/>
    <mergeCell ref="A49:E49"/>
    <mergeCell ref="A50:E50"/>
    <mergeCell ref="A51:E51"/>
    <mergeCell ref="G51:K51"/>
    <mergeCell ref="A52:E52"/>
    <mergeCell ref="A38:E38"/>
    <mergeCell ref="G38:K38"/>
    <mergeCell ref="A39:E39"/>
    <mergeCell ref="G39:K39"/>
    <mergeCell ref="A40:E40"/>
    <mergeCell ref="G40:K40"/>
    <mergeCell ref="A41:E41"/>
    <mergeCell ref="G41:K41"/>
    <mergeCell ref="A42:E42"/>
    <mergeCell ref="G42:K42"/>
    <mergeCell ref="A33:E33"/>
    <mergeCell ref="G33:K33"/>
    <mergeCell ref="A34:E34"/>
    <mergeCell ref="G34:K34"/>
    <mergeCell ref="A35:E35"/>
    <mergeCell ref="G35:K35"/>
    <mergeCell ref="A36:E36"/>
    <mergeCell ref="G36:K36"/>
    <mergeCell ref="A37:E37"/>
    <mergeCell ref="G37:K37"/>
    <mergeCell ref="A28:E28"/>
    <mergeCell ref="G28:K28"/>
    <mergeCell ref="A29:E29"/>
    <mergeCell ref="G29:K29"/>
    <mergeCell ref="A30:E30"/>
    <mergeCell ref="G30:K30"/>
    <mergeCell ref="A31:E31"/>
    <mergeCell ref="G31:K31"/>
    <mergeCell ref="A32:E32"/>
    <mergeCell ref="G32:K32"/>
    <mergeCell ref="A2:D2"/>
    <mergeCell ref="E2:G2"/>
    <mergeCell ref="A3:B3"/>
    <mergeCell ref="A5:C5"/>
    <mergeCell ref="E5:F5"/>
    <mergeCell ref="H5:K5"/>
    <mergeCell ref="A18:E18"/>
    <mergeCell ref="G18:K18"/>
    <mergeCell ref="A19:E19"/>
    <mergeCell ref="G19:K19"/>
    <mergeCell ref="A7:C7"/>
    <mergeCell ref="E7:F7"/>
    <mergeCell ref="A9:F9"/>
    <mergeCell ref="A10:G10"/>
    <mergeCell ref="A14:L14"/>
    <mergeCell ref="A25:E25"/>
    <mergeCell ref="G25:K25"/>
    <mergeCell ref="A26:E26"/>
    <mergeCell ref="G26:K26"/>
    <mergeCell ref="A27:E27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G27:K27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opLeftCell="A16" workbookViewId="0">
      <selection activeCell="G49" sqref="G49"/>
    </sheetView>
  </sheetViews>
  <sheetFormatPr defaultColWidth="24.5703125" defaultRowHeight="15" x14ac:dyDescent="0.25"/>
  <cols>
    <col min="1" max="1" width="16.7109375" style="11" customWidth="1"/>
    <col min="2" max="2" width="23.140625" style="11" customWidth="1"/>
    <col min="3" max="3" width="55.5703125" style="166" customWidth="1"/>
    <col min="4" max="4" width="8.140625" style="167" customWidth="1"/>
    <col min="5" max="5" width="9.5703125" style="11" customWidth="1"/>
    <col min="6" max="16384" width="24.5703125" style="11"/>
  </cols>
  <sheetData>
    <row r="1" spans="1:6" x14ac:dyDescent="0.25">
      <c r="D1" s="167" t="s">
        <v>187</v>
      </c>
    </row>
    <row r="2" spans="1:6" x14ac:dyDescent="0.25">
      <c r="D2" s="167" t="s">
        <v>188</v>
      </c>
    </row>
    <row r="3" spans="1:6" x14ac:dyDescent="0.25">
      <c r="D3" s="167" t="s">
        <v>189</v>
      </c>
    </row>
    <row r="5" spans="1:6" ht="36" customHeight="1" x14ac:dyDescent="0.25">
      <c r="A5" s="299" t="s">
        <v>214</v>
      </c>
      <c r="B5" s="299"/>
      <c r="C5" s="299"/>
      <c r="D5" s="299"/>
      <c r="E5" s="299"/>
    </row>
    <row r="7" spans="1:6" ht="76.5" customHeight="1" x14ac:dyDescent="0.25">
      <c r="A7" s="168" t="s">
        <v>190</v>
      </c>
      <c r="B7" s="169" t="s">
        <v>191</v>
      </c>
      <c r="C7" s="170" t="s">
        <v>192</v>
      </c>
      <c r="D7" s="169" t="s">
        <v>193</v>
      </c>
      <c r="E7" s="169" t="s">
        <v>194</v>
      </c>
      <c r="F7" s="162"/>
    </row>
    <row r="8" spans="1:6" x14ac:dyDescent="0.25">
      <c r="A8" s="163">
        <v>1</v>
      </c>
      <c r="B8" s="161">
        <v>2</v>
      </c>
      <c r="C8" s="171">
        <v>4</v>
      </c>
      <c r="D8" s="172">
        <v>5</v>
      </c>
      <c r="E8" s="163">
        <v>6</v>
      </c>
    </row>
    <row r="9" spans="1:6" ht="24.75" customHeight="1" x14ac:dyDescent="0.25">
      <c r="A9" s="290" t="s">
        <v>101</v>
      </c>
      <c r="B9" s="302" t="s">
        <v>195</v>
      </c>
      <c r="C9" s="173" t="s">
        <v>196</v>
      </c>
      <c r="D9" s="174" t="s">
        <v>197</v>
      </c>
      <c r="E9" s="181">
        <v>13.75</v>
      </c>
    </row>
    <row r="10" spans="1:6" ht="26.25" customHeight="1" x14ac:dyDescent="0.25">
      <c r="A10" s="300"/>
      <c r="B10" s="305"/>
      <c r="C10" s="173" t="s">
        <v>198</v>
      </c>
      <c r="D10" s="174" t="s">
        <v>197</v>
      </c>
      <c r="E10" s="174">
        <v>55.25</v>
      </c>
    </row>
    <row r="11" spans="1:6" x14ac:dyDescent="0.25">
      <c r="A11" s="300"/>
      <c r="B11" s="305"/>
      <c r="C11" s="301" t="s">
        <v>199</v>
      </c>
      <c r="D11" s="301"/>
      <c r="E11" s="301"/>
    </row>
    <row r="12" spans="1:6" ht="18.75" customHeight="1" x14ac:dyDescent="0.25">
      <c r="A12" s="300"/>
      <c r="B12" s="305"/>
      <c r="C12" s="175" t="s">
        <v>200</v>
      </c>
      <c r="D12" s="174" t="s">
        <v>201</v>
      </c>
      <c r="E12" s="174">
        <v>5</v>
      </c>
    </row>
    <row r="13" spans="1:6" ht="18.75" customHeight="1" x14ac:dyDescent="0.25">
      <c r="A13" s="300"/>
      <c r="B13" s="304"/>
      <c r="C13" s="175" t="s">
        <v>83</v>
      </c>
      <c r="D13" s="174"/>
      <c r="E13" s="174">
        <v>1</v>
      </c>
    </row>
    <row r="14" spans="1:6" x14ac:dyDescent="0.25">
      <c r="A14" s="290" t="s">
        <v>113</v>
      </c>
      <c r="B14" s="302" t="s">
        <v>202</v>
      </c>
      <c r="C14" s="301" t="s">
        <v>203</v>
      </c>
      <c r="D14" s="301"/>
      <c r="E14" s="301"/>
    </row>
    <row r="15" spans="1:6" ht="13.5" customHeight="1" x14ac:dyDescent="0.25">
      <c r="A15" s="300"/>
      <c r="B15" s="303"/>
      <c r="C15" s="175" t="s">
        <v>23</v>
      </c>
      <c r="D15" s="174" t="s">
        <v>204</v>
      </c>
      <c r="E15" s="33">
        <v>123860</v>
      </c>
    </row>
    <row r="16" spans="1:6" x14ac:dyDescent="0.25">
      <c r="A16" s="300"/>
      <c r="B16" s="303"/>
      <c r="C16" s="175" t="s">
        <v>24</v>
      </c>
      <c r="D16" s="174" t="s">
        <v>27</v>
      </c>
      <c r="E16" s="34">
        <v>660</v>
      </c>
    </row>
    <row r="17" spans="1:5" x14ac:dyDescent="0.25">
      <c r="A17" s="300"/>
      <c r="B17" s="303"/>
      <c r="C17" s="175" t="s">
        <v>69</v>
      </c>
      <c r="D17" s="174" t="s">
        <v>28</v>
      </c>
      <c r="E17" s="34">
        <v>2600</v>
      </c>
    </row>
    <row r="18" spans="1:5" ht="15" customHeight="1" x14ac:dyDescent="0.25">
      <c r="A18" s="300"/>
      <c r="B18" s="304"/>
      <c r="C18" s="175" t="s">
        <v>25</v>
      </c>
      <c r="D18" s="174" t="s">
        <v>28</v>
      </c>
      <c r="E18" s="34">
        <v>2800</v>
      </c>
    </row>
    <row r="19" spans="1:5" ht="15" customHeight="1" x14ac:dyDescent="0.25">
      <c r="A19" s="290" t="s">
        <v>114</v>
      </c>
      <c r="B19" s="289" t="s">
        <v>211</v>
      </c>
      <c r="C19" s="176" t="s">
        <v>205</v>
      </c>
      <c r="D19" s="177"/>
      <c r="E19" s="178"/>
    </row>
    <row r="20" spans="1:5" ht="12.75" customHeight="1" x14ac:dyDescent="0.25">
      <c r="A20" s="300"/>
      <c r="B20" s="314"/>
      <c r="C20" s="79" t="s">
        <v>155</v>
      </c>
      <c r="D20" s="182"/>
      <c r="E20" s="185">
        <v>1</v>
      </c>
    </row>
    <row r="21" spans="1:5" ht="12.75" customHeight="1" x14ac:dyDescent="0.25">
      <c r="A21" s="300"/>
      <c r="B21" s="314"/>
      <c r="C21" s="79" t="s">
        <v>156</v>
      </c>
      <c r="D21" s="182"/>
      <c r="E21" s="185">
        <v>1</v>
      </c>
    </row>
    <row r="22" spans="1:5" ht="12.75" customHeight="1" x14ac:dyDescent="0.25">
      <c r="A22" s="300"/>
      <c r="B22" s="314"/>
      <c r="C22" s="79" t="s">
        <v>157</v>
      </c>
      <c r="D22" s="182"/>
      <c r="E22" s="185">
        <v>1</v>
      </c>
    </row>
    <row r="23" spans="1:5" ht="12.75" customHeight="1" x14ac:dyDescent="0.25">
      <c r="A23" s="300"/>
      <c r="B23" s="314"/>
      <c r="C23" s="79" t="s">
        <v>158</v>
      </c>
      <c r="D23" s="182"/>
      <c r="E23" s="185">
        <v>1</v>
      </c>
    </row>
    <row r="24" spans="1:5" ht="12.75" customHeight="1" x14ac:dyDescent="0.25">
      <c r="A24" s="300"/>
      <c r="B24" s="314"/>
      <c r="C24" s="79" t="s">
        <v>102</v>
      </c>
      <c r="D24" s="182"/>
      <c r="E24" s="185">
        <v>1</v>
      </c>
    </row>
    <row r="25" spans="1:5" ht="12.75" customHeight="1" x14ac:dyDescent="0.25">
      <c r="A25" s="300"/>
      <c r="B25" s="314"/>
      <c r="C25" s="79" t="s">
        <v>159</v>
      </c>
      <c r="D25" s="182"/>
      <c r="E25" s="185">
        <v>1</v>
      </c>
    </row>
    <row r="26" spans="1:5" ht="12.75" customHeight="1" x14ac:dyDescent="0.25">
      <c r="A26" s="300"/>
      <c r="B26" s="314"/>
      <c r="C26" s="79" t="s">
        <v>160</v>
      </c>
      <c r="D26" s="182"/>
      <c r="E26" s="185">
        <v>1</v>
      </c>
    </row>
    <row r="27" spans="1:5" ht="12.75" customHeight="1" x14ac:dyDescent="0.25">
      <c r="A27" s="300"/>
      <c r="B27" s="314"/>
      <c r="C27" s="183" t="s">
        <v>161</v>
      </c>
      <c r="D27" s="184"/>
      <c r="E27" s="185">
        <v>1</v>
      </c>
    </row>
    <row r="28" spans="1:5" ht="12.75" customHeight="1" x14ac:dyDescent="0.25">
      <c r="A28" s="313"/>
      <c r="B28" s="314"/>
      <c r="C28" s="183" t="s">
        <v>162</v>
      </c>
      <c r="D28" s="184"/>
      <c r="E28" s="185">
        <v>1</v>
      </c>
    </row>
    <row r="29" spans="1:5" ht="12.75" customHeight="1" x14ac:dyDescent="0.25">
      <c r="A29" s="290" t="s">
        <v>213</v>
      </c>
      <c r="B29" s="289" t="s">
        <v>215</v>
      </c>
      <c r="C29" s="79" t="s">
        <v>163</v>
      </c>
      <c r="D29" s="182"/>
      <c r="E29" s="185">
        <v>1</v>
      </c>
    </row>
    <row r="30" spans="1:5" ht="12.75" customHeight="1" x14ac:dyDescent="0.25">
      <c r="A30" s="291"/>
      <c r="B30" s="314"/>
      <c r="C30" s="79" t="s">
        <v>164</v>
      </c>
      <c r="D30" s="182"/>
      <c r="E30" s="185">
        <v>1</v>
      </c>
    </row>
    <row r="31" spans="1:5" ht="15" customHeight="1" x14ac:dyDescent="0.25">
      <c r="A31" s="292"/>
      <c r="B31" s="314"/>
      <c r="C31" s="296" t="s">
        <v>206</v>
      </c>
      <c r="D31" s="297"/>
      <c r="E31" s="298"/>
    </row>
    <row r="32" spans="1:5" ht="13.5" customHeight="1" x14ac:dyDescent="0.25">
      <c r="A32" s="292"/>
      <c r="B32" s="314"/>
      <c r="C32" s="165" t="s">
        <v>166</v>
      </c>
      <c r="D32" s="165"/>
      <c r="E32" s="185">
        <v>1</v>
      </c>
    </row>
    <row r="33" spans="1:5" ht="28.5" customHeight="1" x14ac:dyDescent="0.25">
      <c r="A33" s="292"/>
      <c r="B33" s="314"/>
      <c r="C33" s="165" t="s">
        <v>167</v>
      </c>
      <c r="D33" s="165"/>
      <c r="E33" s="185">
        <v>1</v>
      </c>
    </row>
    <row r="34" spans="1:5" ht="16.5" customHeight="1" x14ac:dyDescent="0.25">
      <c r="A34" s="292"/>
      <c r="B34" s="314"/>
      <c r="C34" s="165" t="s">
        <v>168</v>
      </c>
      <c r="D34" s="165"/>
      <c r="E34" s="185">
        <v>1</v>
      </c>
    </row>
    <row r="35" spans="1:5" ht="24" customHeight="1" x14ac:dyDescent="0.25">
      <c r="A35" s="310" t="s">
        <v>151</v>
      </c>
      <c r="B35" s="289" t="s">
        <v>216</v>
      </c>
      <c r="C35" s="165" t="s">
        <v>169</v>
      </c>
      <c r="D35" s="165"/>
      <c r="E35" s="185">
        <v>1</v>
      </c>
    </row>
    <row r="36" spans="1:5" ht="11.25" customHeight="1" x14ac:dyDescent="0.25">
      <c r="A36" s="311"/>
      <c r="B36" s="314"/>
      <c r="C36" s="165" t="s">
        <v>170</v>
      </c>
      <c r="D36" s="165"/>
      <c r="E36" s="185">
        <v>1</v>
      </c>
    </row>
    <row r="37" spans="1:5" ht="12.75" customHeight="1" x14ac:dyDescent="0.25">
      <c r="A37" s="312"/>
      <c r="B37" s="314"/>
      <c r="C37" s="165" t="s">
        <v>171</v>
      </c>
      <c r="D37" s="165"/>
      <c r="E37" s="185">
        <v>1</v>
      </c>
    </row>
    <row r="38" spans="1:5" ht="25.5" customHeight="1" x14ac:dyDescent="0.25">
      <c r="A38" s="312"/>
      <c r="B38" s="314"/>
      <c r="C38" s="165" t="s">
        <v>172</v>
      </c>
      <c r="D38" s="165"/>
      <c r="E38" s="185">
        <v>1</v>
      </c>
    </row>
    <row r="39" spans="1:5" ht="15" customHeight="1" x14ac:dyDescent="0.25">
      <c r="A39" s="312"/>
      <c r="B39" s="314"/>
      <c r="C39" s="293" t="s">
        <v>212</v>
      </c>
      <c r="D39" s="294"/>
      <c r="E39" s="295"/>
    </row>
    <row r="40" spans="1:5" ht="15.75" customHeight="1" x14ac:dyDescent="0.25">
      <c r="A40" s="312"/>
      <c r="B40" s="314"/>
      <c r="C40" s="179" t="s">
        <v>107</v>
      </c>
      <c r="D40" s="180"/>
      <c r="E40" s="185">
        <v>1</v>
      </c>
    </row>
    <row r="41" spans="1:5" x14ac:dyDescent="0.25">
      <c r="A41" s="306" t="s">
        <v>153</v>
      </c>
      <c r="B41" s="289" t="s">
        <v>217</v>
      </c>
      <c r="C41" s="293" t="s">
        <v>207</v>
      </c>
      <c r="D41" s="294"/>
      <c r="E41" s="295"/>
    </row>
    <row r="42" spans="1:5" ht="12" customHeight="1" x14ac:dyDescent="0.25">
      <c r="A42" s="307"/>
      <c r="B42" s="288"/>
      <c r="C42" s="179" t="s">
        <v>208</v>
      </c>
      <c r="D42" s="180"/>
      <c r="E42" s="185">
        <v>1</v>
      </c>
    </row>
    <row r="43" spans="1:5" ht="12" customHeight="1" x14ac:dyDescent="0.25">
      <c r="A43" s="307"/>
      <c r="B43" s="288"/>
      <c r="C43" s="179" t="s">
        <v>209</v>
      </c>
      <c r="D43" s="180"/>
      <c r="E43" s="185">
        <v>1</v>
      </c>
    </row>
    <row r="44" spans="1:5" ht="12" customHeight="1" x14ac:dyDescent="0.25">
      <c r="A44" s="307"/>
      <c r="B44" s="288"/>
      <c r="C44" s="179" t="s">
        <v>210</v>
      </c>
      <c r="D44" s="180"/>
      <c r="E44" s="185">
        <v>1</v>
      </c>
    </row>
    <row r="45" spans="1:5" ht="12" customHeight="1" x14ac:dyDescent="0.25">
      <c r="A45" s="308"/>
      <c r="B45" s="288"/>
      <c r="C45" s="179" t="s">
        <v>108</v>
      </c>
      <c r="D45" s="180"/>
      <c r="E45" s="185">
        <v>1</v>
      </c>
    </row>
    <row r="46" spans="1:5" ht="12" customHeight="1" x14ac:dyDescent="0.25">
      <c r="A46" s="308"/>
      <c r="B46" s="288"/>
      <c r="C46" s="179" t="s">
        <v>109</v>
      </c>
      <c r="D46" s="180"/>
      <c r="E46" s="185">
        <v>1</v>
      </c>
    </row>
    <row r="47" spans="1:5" ht="12" customHeight="1" x14ac:dyDescent="0.25">
      <c r="A47" s="309"/>
      <c r="B47" s="288"/>
      <c r="C47" s="179" t="s">
        <v>110</v>
      </c>
      <c r="D47" s="180"/>
      <c r="E47" s="185">
        <v>1</v>
      </c>
    </row>
    <row r="53" spans="1:3" customFormat="1" ht="15.75" x14ac:dyDescent="0.25">
      <c r="A53" s="186" t="s">
        <v>61</v>
      </c>
      <c r="B53" s="7"/>
    </row>
    <row r="54" spans="1:3" customFormat="1" ht="15.75" x14ac:dyDescent="0.25">
      <c r="A54" s="186" t="s">
        <v>111</v>
      </c>
      <c r="B54" s="7"/>
    </row>
    <row r="55" spans="1:3" customFormat="1" ht="15.75" x14ac:dyDescent="0.25">
      <c r="A55" s="186" t="s">
        <v>112</v>
      </c>
      <c r="C55" s="7"/>
    </row>
  </sheetData>
  <mergeCells count="18">
    <mergeCell ref="A19:A28"/>
    <mergeCell ref="B19:B28"/>
    <mergeCell ref="B29:B34"/>
    <mergeCell ref="B35:B40"/>
    <mergeCell ref="A5:E5"/>
    <mergeCell ref="A9:A13"/>
    <mergeCell ref="C11:E11"/>
    <mergeCell ref="A14:A18"/>
    <mergeCell ref="C14:E14"/>
    <mergeCell ref="B14:B18"/>
    <mergeCell ref="B9:B13"/>
    <mergeCell ref="B41:B47"/>
    <mergeCell ref="A29:A34"/>
    <mergeCell ref="C39:E39"/>
    <mergeCell ref="C41:E41"/>
    <mergeCell ref="C31:E31"/>
    <mergeCell ref="A41:A47"/>
    <mergeCell ref="A35:A40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Услуга №1</vt:lpstr>
      <vt:lpstr>Услуга №2</vt:lpstr>
      <vt:lpstr>Работа №1</vt:lpstr>
      <vt:lpstr>Работа №2</vt:lpstr>
      <vt:lpstr>Работа №3</vt:lpstr>
      <vt:lpstr>Работа №4</vt:lpstr>
      <vt:lpstr>ВСЕГО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2019-01-21T09:17:45Z</dcterms:modified>
</cp:coreProperties>
</file>