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005" activeTab="1"/>
  </bookViews>
  <sheets>
    <sheet name="СВОД" sheetId="14" r:id="rId1"/>
    <sheet name="Услуга №1  " sheetId="11" r:id="rId2"/>
    <sheet name="Работа №1" sheetId="12" r:id="rId3"/>
    <sheet name="Работа №2" sheetId="13" r:id="rId4"/>
  </sheets>
  <calcPr calcId="162913" refMode="R1C1"/>
</workbook>
</file>

<file path=xl/calcChain.xml><?xml version="1.0" encoding="utf-8"?>
<calcChain xmlns="http://schemas.openxmlformats.org/spreadsheetml/2006/main">
  <c r="K113" i="11" l="1"/>
  <c r="I79" i="11"/>
  <c r="I33" i="12"/>
  <c r="I33" i="11"/>
  <c r="J33" i="13"/>
  <c r="K64" i="12"/>
  <c r="K115" i="13" l="1"/>
  <c r="I117" i="13"/>
  <c r="I109" i="12"/>
  <c r="I111" i="12"/>
  <c r="I83" i="13"/>
  <c r="H83" i="13"/>
  <c r="H33" i="13"/>
  <c r="I78" i="12"/>
  <c r="H78" i="12"/>
  <c r="H33" i="12"/>
  <c r="H79" i="11"/>
  <c r="I113" i="11" s="1"/>
  <c r="H33" i="11"/>
  <c r="A2" i="14" l="1"/>
  <c r="M79" i="11"/>
  <c r="I104" i="13"/>
  <c r="I103" i="13"/>
  <c r="I99" i="12"/>
  <c r="I98" i="12"/>
  <c r="I100" i="11"/>
  <c r="I99" i="11"/>
  <c r="K99" i="12" l="1"/>
  <c r="M100" i="11" l="1"/>
  <c r="I109" i="13"/>
  <c r="I108" i="13"/>
  <c r="K104" i="13"/>
  <c r="I98" i="13"/>
  <c r="I93" i="13"/>
  <c r="I94" i="13" s="1"/>
  <c r="K94" i="13" s="1"/>
  <c r="I92" i="13"/>
  <c r="K92" i="13" s="1"/>
  <c r="K103" i="13"/>
  <c r="K98" i="13"/>
  <c r="I99" i="13"/>
  <c r="K99" i="13" s="1"/>
  <c r="I103" i="12"/>
  <c r="I102" i="12"/>
  <c r="I93" i="12"/>
  <c r="I94" i="12" s="1"/>
  <c r="I88" i="12"/>
  <c r="I87" i="12"/>
  <c r="K98" i="12"/>
  <c r="K93" i="12"/>
  <c r="K88" i="12"/>
  <c r="K87" i="12"/>
  <c r="I105" i="11"/>
  <c r="I104" i="11"/>
  <c r="K99" i="11"/>
  <c r="I94" i="11"/>
  <c r="I89" i="11"/>
  <c r="I88" i="11"/>
  <c r="I90" i="11" s="1"/>
  <c r="K94" i="11"/>
  <c r="I95" i="11"/>
  <c r="M95" i="11" s="1"/>
  <c r="K88" i="11"/>
  <c r="I87" i="13"/>
  <c r="K87" i="13" s="1"/>
  <c r="I82" i="12"/>
  <c r="K82" i="12" s="1"/>
  <c r="I83" i="11"/>
  <c r="I84" i="11" s="1"/>
  <c r="K84" i="11" s="1"/>
  <c r="K83" i="11"/>
  <c r="I68" i="13"/>
  <c r="K67" i="13"/>
  <c r="I67" i="13"/>
  <c r="I66" i="13"/>
  <c r="I65" i="13"/>
  <c r="I64" i="13"/>
  <c r="I63" i="13"/>
  <c r="I63" i="12"/>
  <c r="K63" i="12" s="1"/>
  <c r="I62" i="12"/>
  <c r="I61" i="12"/>
  <c r="I60" i="12"/>
  <c r="I59" i="12"/>
  <c r="I58" i="12"/>
  <c r="I63" i="11"/>
  <c r="I62" i="11"/>
  <c r="I61" i="11"/>
  <c r="I60" i="11"/>
  <c r="I59" i="11"/>
  <c r="I58" i="11"/>
  <c r="I75" i="13"/>
  <c r="I74" i="13"/>
  <c r="I73" i="13"/>
  <c r="I70" i="12"/>
  <c r="I69" i="12"/>
  <c r="I68" i="12"/>
  <c r="I70" i="11"/>
  <c r="I69" i="11"/>
  <c r="I68" i="11"/>
  <c r="I58" i="13"/>
  <c r="I57" i="13"/>
  <c r="I56" i="13"/>
  <c r="I55" i="13"/>
  <c r="I53" i="13"/>
  <c r="I52" i="13"/>
  <c r="I51" i="13"/>
  <c r="I53" i="12"/>
  <c r="I52" i="12"/>
  <c r="I51" i="12"/>
  <c r="I50" i="12"/>
  <c r="I48" i="12"/>
  <c r="I47" i="12"/>
  <c r="I46" i="12"/>
  <c r="I53" i="11"/>
  <c r="I52" i="11"/>
  <c r="I51" i="11"/>
  <c r="I50" i="11"/>
  <c r="I48" i="11"/>
  <c r="I47" i="11"/>
  <c r="I46" i="11"/>
  <c r="I41" i="13"/>
  <c r="I40" i="13"/>
  <c r="I39" i="13"/>
  <c r="I38" i="13"/>
  <c r="I42" i="13" s="1"/>
  <c r="I37" i="13"/>
  <c r="I41" i="12"/>
  <c r="I40" i="12"/>
  <c r="I39" i="12"/>
  <c r="I38" i="12"/>
  <c r="I37" i="12"/>
  <c r="I41" i="11"/>
  <c r="I40" i="11"/>
  <c r="I39" i="11"/>
  <c r="I38" i="11"/>
  <c r="I37" i="11"/>
  <c r="J83" i="13"/>
  <c r="G33" i="13"/>
  <c r="I33" i="13" s="1"/>
  <c r="G33" i="12"/>
  <c r="J33" i="12"/>
  <c r="J32" i="12"/>
  <c r="I42" i="12" l="1"/>
  <c r="K33" i="12"/>
  <c r="A109" i="12" s="1"/>
  <c r="K109" i="12" s="1"/>
  <c r="K90" i="11"/>
  <c r="I42" i="11"/>
  <c r="K42" i="11" s="1"/>
  <c r="I64" i="11"/>
  <c r="I89" i="12"/>
  <c r="K89" i="12" s="1"/>
  <c r="K93" i="13"/>
  <c r="K94" i="12"/>
  <c r="K95" i="11"/>
  <c r="K89" i="11"/>
  <c r="I88" i="13"/>
  <c r="K88" i="13" s="1"/>
  <c r="I83" i="12"/>
  <c r="K83" i="12" s="1"/>
  <c r="M90" i="11" l="1"/>
  <c r="M84" i="11"/>
  <c r="K100" i="11"/>
  <c r="J33" i="11" l="1"/>
  <c r="I104" i="12" l="1"/>
  <c r="I110" i="13"/>
  <c r="I82" i="13"/>
  <c r="F82" i="13" s="1"/>
  <c r="I81" i="13"/>
  <c r="K83" i="13" s="1"/>
  <c r="I78" i="11"/>
  <c r="I77" i="11"/>
  <c r="I77" i="12"/>
  <c r="I76" i="12"/>
  <c r="F78" i="11"/>
  <c r="F77" i="11"/>
  <c r="F81" i="13" l="1"/>
  <c r="H81" i="13" s="1"/>
  <c r="J37" i="12"/>
  <c r="J37" i="11"/>
  <c r="K33" i="13"/>
  <c r="H75" i="13" l="1"/>
  <c r="H73" i="13"/>
  <c r="H70" i="12"/>
  <c r="H68" i="12"/>
  <c r="F28" i="13"/>
  <c r="F29" i="13"/>
  <c r="F30" i="13"/>
  <c r="F31" i="13"/>
  <c r="F32" i="13"/>
  <c r="F27" i="13"/>
  <c r="F77" i="12"/>
  <c r="H77" i="12" s="1"/>
  <c r="F76" i="12"/>
  <c r="H76" i="12" s="1"/>
  <c r="F28" i="12"/>
  <c r="F29" i="12"/>
  <c r="F30" i="12"/>
  <c r="F31" i="12"/>
  <c r="F32" i="12"/>
  <c r="F27" i="12"/>
  <c r="I106" i="11" l="1"/>
  <c r="M106" i="11" s="1"/>
  <c r="H78" i="11"/>
  <c r="H77" i="11"/>
  <c r="I71" i="11"/>
  <c r="I49" i="11"/>
  <c r="I49" i="12"/>
  <c r="H32" i="12"/>
  <c r="I32" i="12" s="1"/>
  <c r="H31" i="12"/>
  <c r="I31" i="12" s="1"/>
  <c r="H30" i="12"/>
  <c r="I30" i="12" s="1"/>
  <c r="H29" i="12"/>
  <c r="I29" i="12" s="1"/>
  <c r="H28" i="12"/>
  <c r="I28" i="12" s="1"/>
  <c r="J27" i="12"/>
  <c r="J28" i="12" s="1"/>
  <c r="H27" i="12"/>
  <c r="I27" i="12" s="1"/>
  <c r="H82" i="13"/>
  <c r="I54" i="13"/>
  <c r="I46" i="13"/>
  <c r="H32" i="13"/>
  <c r="I32" i="13" s="1"/>
  <c r="H31" i="13"/>
  <c r="I31" i="13" s="1"/>
  <c r="H30" i="13"/>
  <c r="I30" i="13" s="1"/>
  <c r="H29" i="13"/>
  <c r="I29" i="13" s="1"/>
  <c r="H28" i="13"/>
  <c r="I28" i="13" s="1"/>
  <c r="J27" i="13"/>
  <c r="J28" i="13" s="1"/>
  <c r="H27" i="13"/>
  <c r="I27" i="13" s="1"/>
  <c r="I54" i="11" l="1"/>
  <c r="K54" i="11" s="1"/>
  <c r="I59" i="13"/>
  <c r="I54" i="12"/>
  <c r="I76" i="13"/>
  <c r="I64" i="12"/>
  <c r="J109" i="12" s="1"/>
  <c r="K28" i="13"/>
  <c r="I71" i="12"/>
  <c r="J31" i="12"/>
  <c r="J29" i="12"/>
  <c r="K31" i="12"/>
  <c r="K27" i="12"/>
  <c r="K28" i="12"/>
  <c r="K27" i="13"/>
  <c r="J29" i="13"/>
  <c r="J37" i="13"/>
  <c r="J38" i="13" s="1"/>
  <c r="K29" i="13"/>
  <c r="I69" i="13"/>
  <c r="K37" i="13"/>
  <c r="M64" i="11" l="1"/>
  <c r="M71" i="11"/>
  <c r="M40" i="11"/>
  <c r="M54" i="11"/>
  <c r="J30" i="12"/>
  <c r="K29" i="12"/>
  <c r="J31" i="13"/>
  <c r="K31" i="13" s="1"/>
  <c r="J30" i="13"/>
  <c r="J81" i="13"/>
  <c r="J40" i="13"/>
  <c r="J42" i="13" s="1"/>
  <c r="K42" i="13" s="1"/>
  <c r="J52" i="13"/>
  <c r="J39" i="13"/>
  <c r="K38" i="13"/>
  <c r="K39" i="13" l="1"/>
  <c r="J41" i="13"/>
  <c r="K41" i="13" s="1"/>
  <c r="K32" i="12"/>
  <c r="K30" i="12"/>
  <c r="J38" i="12"/>
  <c r="K37" i="12"/>
  <c r="J77" i="12"/>
  <c r="K76" i="12"/>
  <c r="J51" i="13"/>
  <c r="K51" i="13" s="1"/>
  <c r="J46" i="13"/>
  <c r="K46" i="13" s="1"/>
  <c r="K40" i="13"/>
  <c r="D115" i="13" s="1"/>
  <c r="J32" i="13"/>
  <c r="K32" i="13" s="1"/>
  <c r="K30" i="13"/>
  <c r="J53" i="13"/>
  <c r="K52" i="13"/>
  <c r="J82" i="13"/>
  <c r="K81" i="13"/>
  <c r="J78" i="12" l="1"/>
  <c r="K78" i="12" s="1"/>
  <c r="A115" i="13"/>
  <c r="J46" i="11"/>
  <c r="K46" i="11" s="1"/>
  <c r="J38" i="11"/>
  <c r="K37" i="11"/>
  <c r="J102" i="12"/>
  <c r="K77" i="12"/>
  <c r="J47" i="12"/>
  <c r="J40" i="12"/>
  <c r="J42" i="12" s="1"/>
  <c r="K42" i="12" s="1"/>
  <c r="D109" i="12" s="1"/>
  <c r="J39" i="12"/>
  <c r="K38" i="12"/>
  <c r="J108" i="13"/>
  <c r="K108" i="13" s="1"/>
  <c r="K82" i="13"/>
  <c r="I115" i="13" s="1"/>
  <c r="J55" i="13"/>
  <c r="J59" i="13" s="1"/>
  <c r="J54" i="13"/>
  <c r="J56" i="13" s="1"/>
  <c r="K56" i="13" s="1"/>
  <c r="K53" i="13"/>
  <c r="J66" i="13" l="1"/>
  <c r="K66" i="13" s="1"/>
  <c r="K59" i="13"/>
  <c r="K39" i="12"/>
  <c r="J41" i="12"/>
  <c r="K41" i="12" s="1"/>
  <c r="J39" i="11"/>
  <c r="J41" i="11" s="1"/>
  <c r="K41" i="11" s="1"/>
  <c r="J40" i="11"/>
  <c r="K38" i="11"/>
  <c r="J48" i="12"/>
  <c r="K47" i="12"/>
  <c r="J103" i="12"/>
  <c r="K102" i="12"/>
  <c r="J46" i="12"/>
  <c r="K46" i="12" s="1"/>
  <c r="K40" i="12"/>
  <c r="J57" i="13"/>
  <c r="K55" i="13"/>
  <c r="J109" i="13"/>
  <c r="J58" i="13"/>
  <c r="J65" i="13" s="1"/>
  <c r="K54" i="13"/>
  <c r="K109" i="13" l="1"/>
  <c r="J110" i="13"/>
  <c r="K110" i="13" s="1"/>
  <c r="H115" i="13" s="1"/>
  <c r="J69" i="13"/>
  <c r="K69" i="13" s="1"/>
  <c r="J115" i="13" s="1"/>
  <c r="K65" i="13"/>
  <c r="K103" i="12"/>
  <c r="J104" i="12"/>
  <c r="K104" i="12" s="1"/>
  <c r="H109" i="12" s="1"/>
  <c r="K40" i="11"/>
  <c r="J42" i="11"/>
  <c r="J47" i="11"/>
  <c r="K39" i="11"/>
  <c r="D111" i="11" s="1"/>
  <c r="J49" i="12"/>
  <c r="J50" i="12"/>
  <c r="J54" i="12" s="1"/>
  <c r="K48" i="12"/>
  <c r="J63" i="13"/>
  <c r="K63" i="13" s="1"/>
  <c r="K58" i="13"/>
  <c r="J64" i="13"/>
  <c r="K57" i="13"/>
  <c r="E115" i="13" s="1"/>
  <c r="J62" i="12" l="1"/>
  <c r="K62" i="12" s="1"/>
  <c r="K54" i="12"/>
  <c r="E109" i="12" s="1"/>
  <c r="J48" i="11"/>
  <c r="J49" i="11" s="1"/>
  <c r="K47" i="11"/>
  <c r="J51" i="12"/>
  <c r="J52" i="12" s="1"/>
  <c r="K50" i="12"/>
  <c r="J53" i="12"/>
  <c r="J61" i="12" s="1"/>
  <c r="K61" i="12" s="1"/>
  <c r="K49" i="12"/>
  <c r="J68" i="13"/>
  <c r="K64" i="13"/>
  <c r="J60" i="12" l="1"/>
  <c r="K60" i="12" s="1"/>
  <c r="K52" i="12"/>
  <c r="J50" i="11"/>
  <c r="J54" i="11" s="1"/>
  <c r="J62" i="11" s="1"/>
  <c r="K62" i="11" s="1"/>
  <c r="K48" i="11"/>
  <c r="J58" i="12"/>
  <c r="K58" i="12" s="1"/>
  <c r="K53" i="12"/>
  <c r="J59" i="12"/>
  <c r="K51" i="12"/>
  <c r="J73" i="13"/>
  <c r="J74" i="13" s="1"/>
  <c r="K68" i="13"/>
  <c r="K74" i="13" l="1"/>
  <c r="J76" i="13"/>
  <c r="K76" i="13" s="1"/>
  <c r="J53" i="11"/>
  <c r="J61" i="11" s="1"/>
  <c r="K61" i="11" s="1"/>
  <c r="K49" i="11"/>
  <c r="J51" i="11"/>
  <c r="J52" i="11" s="1"/>
  <c r="K50" i="11"/>
  <c r="K59" i="12"/>
  <c r="J75" i="13"/>
  <c r="K75" i="13" s="1"/>
  <c r="K73" i="13"/>
  <c r="J60" i="11" l="1"/>
  <c r="K52" i="11"/>
  <c r="G115" i="13"/>
  <c r="J59" i="11"/>
  <c r="K51" i="11"/>
  <c r="J58" i="11"/>
  <c r="K58" i="11" s="1"/>
  <c r="K53" i="11"/>
  <c r="J68" i="12"/>
  <c r="J69" i="12" s="1"/>
  <c r="K69" i="12" l="1"/>
  <c r="J71" i="12"/>
  <c r="K71" i="12" s="1"/>
  <c r="G109" i="12" s="1"/>
  <c r="K111" i="12" s="1"/>
  <c r="J64" i="11"/>
  <c r="K60" i="11"/>
  <c r="K117" i="13"/>
  <c r="E111" i="11"/>
  <c r="J63" i="11"/>
  <c r="K59" i="11"/>
  <c r="J70" i="12"/>
  <c r="K70" i="12" s="1"/>
  <c r="K68" i="12"/>
  <c r="J68" i="11" l="1"/>
  <c r="K63" i="11"/>
  <c r="K64" i="11" s="1"/>
  <c r="J111" i="11" s="1"/>
  <c r="J69" i="11" l="1"/>
  <c r="K69" i="11" s="1"/>
  <c r="K68" i="11"/>
  <c r="K71" i="11"/>
  <c r="J70" i="11"/>
  <c r="K79" i="11" s="1"/>
  <c r="K70" i="11" l="1"/>
  <c r="J79" i="11"/>
  <c r="J77" i="11"/>
  <c r="I111" i="11"/>
  <c r="G111" i="11"/>
  <c r="L23" i="13"/>
  <c r="G83" i="13" s="1"/>
  <c r="F23" i="13"/>
  <c r="L23" i="12"/>
  <c r="G78" i="12" s="1"/>
  <c r="F23" i="12"/>
  <c r="J78" i="11" l="1"/>
  <c r="K77" i="11"/>
  <c r="L23" i="11"/>
  <c r="G79" i="11" s="1"/>
  <c r="F23" i="11"/>
  <c r="M23" i="11" l="1"/>
  <c r="G33" i="11"/>
  <c r="J104" i="11"/>
  <c r="K104" i="11" s="1"/>
  <c r="K78" i="11"/>
  <c r="M33" i="11" l="1"/>
  <c r="K33" i="11"/>
  <c r="A111" i="11" s="1"/>
  <c r="K111" i="11" s="1"/>
  <c r="J105" i="11"/>
  <c r="K105" i="11" s="1"/>
  <c r="K106" i="11"/>
  <c r="H111" i="11" s="1"/>
  <c r="B2" i="14" l="1"/>
</calcChain>
</file>

<file path=xl/sharedStrings.xml><?xml version="1.0" encoding="utf-8"?>
<sst xmlns="http://schemas.openxmlformats.org/spreadsheetml/2006/main" count="627" uniqueCount="124">
  <si>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</si>
  <si>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</si>
  <si>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</si>
  <si>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</si>
  <si>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</si>
  <si>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</si>
  <si>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</si>
  <si>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</si>
  <si>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</si>
  <si>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</si>
  <si>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</si>
  <si>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</si>
  <si>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</si>
  <si>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Итого коммунальные услуги</t>
  </si>
  <si>
    <t>Затраты на содержание объектов недвижимого имущества</t>
  </si>
  <si>
    <t>Вывоз мусора</t>
  </si>
  <si>
    <t>Промывка теплосети</t>
  </si>
  <si>
    <t>договор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</si>
  <si>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</si>
  <si>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</si>
  <si>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</si>
  <si>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</si>
  <si>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</si>
  <si>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</si>
  <si>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сумма в год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</si>
  <si>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</si>
  <si>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</si>
  <si>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</si>
  <si>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</si>
  <si>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</si>
  <si>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</si>
  <si>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</si>
  <si>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</si>
  <si>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</si>
  <si>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</si>
  <si>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</si>
  <si>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</si>
  <si>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</si>
  <si>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</si>
  <si>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</si>
  <si>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Заместитель директора по основной деятельности</t>
  </si>
  <si>
    <t>Директор</t>
  </si>
  <si>
    <t>Библиотекарь</t>
  </si>
  <si>
    <t>Заведующий отделом</t>
  </si>
  <si>
    <t>Заведующий филиалом</t>
  </si>
  <si>
    <t>Редактор</t>
  </si>
  <si>
    <t>Обслуживание программы Ирбис</t>
  </si>
  <si>
    <t>Зам. директора (по основной деятельности)</t>
  </si>
  <si>
    <t xml:space="preserve">Директор МБУК "ЦБС"                                                                                                   </t>
  </si>
  <si>
    <t>О. С. Рогачева</t>
  </si>
  <si>
    <t>8(39155) 7-45-95</t>
  </si>
  <si>
    <t>Утверждаю</t>
  </si>
  <si>
    <t xml:space="preserve">Приказ № _____  от   _________________ </t>
  </si>
  <si>
    <t>_________________________ Н.Н.Гурулев</t>
  </si>
  <si>
    <t>"______" _________________20____ г.</t>
  </si>
  <si>
    <t>ИСХОДНЫЕ ДАННЫЕ И РЕЗУЛЬТАТЫ РАСЧЕТОВ МБУК "ЦБС" г.НАЗАРОВО</t>
  </si>
  <si>
    <r>
      <t xml:space="preserve">Услуга: </t>
    </r>
    <r>
      <rPr>
        <sz val="11"/>
        <color theme="1"/>
        <rFont val="Times New Roman"/>
        <family val="1"/>
        <charset val="204"/>
      </rPr>
      <t>Библиотечное, библиографическое и информационное обслуживание пользователей библиотеки.</t>
    </r>
  </si>
  <si>
    <t xml:space="preserve">Библиограф </t>
  </si>
  <si>
    <t xml:space="preserve">Нормативный объем </t>
  </si>
  <si>
    <t xml:space="preserve">Тариф (цена), рублей </t>
  </si>
  <si>
    <t>ТО средств пожарной сигнализации</t>
  </si>
  <si>
    <t>Услуги по дератизации и дезинсекции помещений</t>
  </si>
  <si>
    <t>Плата за содержание и текущий ремонт общего имущества МКД</t>
  </si>
  <si>
    <r>
      <t>Содержание услуги: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</si>
  <si>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t>Штатное расписание: 40,5 человек</t>
  </si>
  <si>
    <r>
      <t>Работа:</t>
    </r>
    <r>
      <rPr>
        <sz val="11"/>
        <color theme="1"/>
        <rFont val="Times New Roman"/>
        <family val="1"/>
        <charset val="204"/>
      </rPr>
      <t xml:space="preserve"> Библиографическая обработка документов и создание каталогов  </t>
    </r>
  </si>
  <si>
    <t>Специалист по библиотечно-выставочной работе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</si>
  <si>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</si>
  <si>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</si>
  <si>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</si>
  <si>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</si>
  <si>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Итого работники,  связанные с оказанием услуг</t>
  </si>
  <si>
    <t>СВОД (рубли)</t>
  </si>
  <si>
    <t>СВОД (норматив)</t>
  </si>
  <si>
    <t>Сумма в год</t>
  </si>
  <si>
    <t>объекты</t>
  </si>
  <si>
    <t>Итого содержание объектов недвиж.имущества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</si>
  <si>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</si>
  <si>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</si>
  <si>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</si>
  <si>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</si>
  <si>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</si>
  <si>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кол-во точек, ед.</t>
  </si>
  <si>
    <t>Затраты на прочие расходы</t>
  </si>
  <si>
    <t>Итого прочие расходы</t>
  </si>
  <si>
    <t>Прочие затраты</t>
  </si>
  <si>
    <t>БАЗОВОГО НОРМАТИВА ЗАТРАТ НА ОКАЗАНИЕ МУНИЦИПАЛЬНЫХ УСЛУГ (РАБОТ)</t>
  </si>
  <si>
    <r>
      <t>Содержание работы: с</t>
    </r>
    <r>
      <rPr>
        <sz val="11"/>
        <color theme="1"/>
        <rFont val="Times New Roman"/>
        <family val="1"/>
        <charset val="204"/>
      </rPr>
      <t xml:space="preserve">тационар, вне стационара  </t>
    </r>
  </si>
  <si>
    <r>
      <t>Планируемое число документов в год:</t>
    </r>
    <r>
      <rPr>
        <sz val="11"/>
        <color theme="1"/>
        <rFont val="Times New Roman"/>
        <family val="1"/>
        <charset val="204"/>
      </rPr>
      <t xml:space="preserve"> ед. </t>
    </r>
  </si>
  <si>
    <r>
      <t>Планируемое число потребителей услуги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</si>
  <si>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фондов библиотек, включая в интересах общества оцифровку фондов</t>
    </r>
  </si>
  <si>
    <t>Особо ценное движимое имущество</t>
  </si>
  <si>
    <t>Наименование орсобо ценного движимого имущества</t>
  </si>
  <si>
    <t>Комплектование книжных фондов</t>
  </si>
  <si>
    <t>Итого ОЦДИ</t>
  </si>
  <si>
    <t>Услуги междугородней связи</t>
  </si>
  <si>
    <t>Членские взносы в Краевое библиотечное агенство</t>
  </si>
  <si>
    <t>НА 2020г.</t>
  </si>
  <si>
    <t>Лонская Клавдия Алексеевна</t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</si>
  <si>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27531</t>
    </r>
    <r>
      <rPr>
        <b/>
        <sz val="11"/>
        <color theme="1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человек</t>
    </r>
  </si>
  <si>
    <r>
      <t>Наименование показателя объема: 2180</t>
    </r>
    <r>
      <rPr>
        <sz val="11"/>
        <color theme="1"/>
        <rFont val="Times New Roman"/>
        <family val="1"/>
        <charset val="204"/>
      </rPr>
      <t xml:space="preserve"> ед. документов</t>
    </r>
  </si>
  <si>
    <r>
      <t>Наименование показателя объема: 170798</t>
    </r>
    <r>
      <rPr>
        <sz val="11"/>
        <color theme="1"/>
        <rFont val="Times New Roman"/>
        <family val="1"/>
        <charset val="204"/>
      </rPr>
      <t xml:space="preserve"> ед. документов</t>
    </r>
  </si>
  <si>
    <t>Гкал.</t>
  </si>
  <si>
    <t>кВт</t>
  </si>
  <si>
    <t>м3</t>
  </si>
  <si>
    <t>Антивирус Касперского</t>
  </si>
  <si>
    <t>Спил деревьев на прилегающей территрории</t>
  </si>
  <si>
    <t>Ремонт электроосвещения в ЦГБ</t>
  </si>
  <si>
    <t>Типографические работы, приобретение бибтехники</t>
  </si>
  <si>
    <t>Услуги по демеркузации</t>
  </si>
  <si>
    <t>Обучение</t>
  </si>
  <si>
    <t>Обустройство второго эвакуационного выхода</t>
  </si>
  <si>
    <t>Затраты на пособия по социальной помощи населению</t>
  </si>
  <si>
    <t>Компенс.выпл.раб.по уходу за ребенком до 3-х лет</t>
  </si>
  <si>
    <t>Итого затраты на пособия</t>
  </si>
  <si>
    <t>Затраты на прочие оборотные запасы</t>
  </si>
  <si>
    <t>Итого прочие запасы</t>
  </si>
  <si>
    <t>Канцелярские товары, хозяйственные товары</t>
  </si>
  <si>
    <t>Мероприятия</t>
  </si>
  <si>
    <t>Затраты на материальные запасы однократного применения</t>
  </si>
  <si>
    <t xml:space="preserve">Итого затраты </t>
  </si>
  <si>
    <t>Призовая продукция</t>
  </si>
  <si>
    <t>Затраты на увеличение стоимости основных средств</t>
  </si>
  <si>
    <t>Участие в ежегодной конференции российской библиотечной ассоциации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</si>
</sst>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4">
    <xf numFmtId="0" fontId="0" fillId="0" borderId="0" xfId="0"/>
    <xf numFmtId="4" fontId="1" fillId="0" borderId="1" xfId="0" applyNumberFormat="1" applyFont="1" applyBorder="1"/>
    <xf numFmtId="4" fontId="9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12" fillId="0" borderId="1" xfId="0" applyFont="1" applyBorder="1" applyAlignment="1">
      <alignment horizontal="center"/>
    </xf>
    <xf numFmtId="4" fontId="0" fillId="0" borderId="0" xfId="0" applyNumberFormat="1"/>
    <xf numFmtId="4" fontId="9" fillId="0" borderId="2" xfId="0" applyNumberFormat="1" applyFont="1" applyBorder="1" applyAlignment="1">
      <alignment horizontal="right"/>
    </xf>
    <xf numFmtId="4" fontId="9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0" fillId="0" borderId="0" xfId="0" applyNumberFormat="1" applyFont="1"/>
    <xf numFmtId="4" fontId="9" fillId="0" borderId="1" xfId="0" applyNumberFormat="1" applyFont="1" applyBorder="1" applyAlignment="1"/>
    <xf numFmtId="4" fontId="9" fillId="0" borderId="0" xfId="0" applyNumberFormat="1" applyFont="1" applyBorder="1" applyAlignment="1"/>
    <xf numFmtId="4" fontId="13" fillId="2" borderId="1" xfId="0" applyNumberFormat="1" applyFont="1" applyFill="1" applyBorder="1"/>
    <xf numFmtId="4" fontId="0" fillId="0" borderId="1" xfId="0" applyNumberFormat="1" applyBorder="1" applyAlignment="1">
      <alignment horizontal="center"/>
    </xf>
    <xf numFmtId="4" fontId="1" fillId="0" borderId="0" xfId="0" applyNumberFormat="1" applyFont="1"/>
    <xf numFmtId="4" fontId="12" fillId="0" borderId="0" xfId="0" applyNumberFormat="1" applyFont="1"/>
    <xf numFmtId="4" fontId="9" fillId="0" borderId="0" xfId="0" applyNumberFormat="1" applyFont="1"/>
    <xf numFmtId="4" fontId="9" fillId="0" borderId="5" xfId="0" applyNumberFormat="1" applyFont="1" applyBorder="1" applyAlignment="1"/>
    <xf numFmtId="4" fontId="0" fillId="0" borderId="0" xfId="0" applyNumberFormat="1" applyAlignment="1"/>
    <xf numFmtId="4" fontId="3" fillId="0" borderId="0" xfId="0" applyNumberFormat="1" applyFont="1" applyAlignment="1"/>
    <xf numFmtId="4" fontId="3" fillId="0" borderId="0" xfId="0" applyNumberFormat="1" applyFont="1"/>
    <xf numFmtId="4" fontId="1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1" fillId="0" borderId="1" xfId="0" applyNumberFormat="1" applyFont="1" applyFill="1" applyBorder="1" applyAlignment="1">
      <alignment vertical="top"/>
    </xf>
    <xf numFmtId="4" fontId="1" fillId="0" borderId="1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center" vertical="top"/>
    </xf>
    <xf numFmtId="4" fontId="1" fillId="0" borderId="0" xfId="0" applyNumberFormat="1" applyFont="1" applyBorder="1" applyAlignment="1">
      <alignment vertical="top"/>
    </xf>
    <xf numFmtId="4" fontId="1" fillId="0" borderId="0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9" fillId="0" borderId="1" xfId="0" applyNumberFormat="1" applyFont="1" applyBorder="1" applyAlignment="1">
      <alignment wrapText="1"/>
    </xf>
    <xf numFmtId="4" fontId="1" fillId="0" borderId="0" xfId="0" applyNumberFormat="1" applyFont="1" applyBorder="1" applyAlignment="1">
      <alignment horizontal="left"/>
    </xf>
    <xf numFmtId="4" fontId="9" fillId="0" borderId="0" xfId="0" applyNumberFormat="1" applyFont="1" applyBorder="1" applyAlignment="1">
      <alignment horizontal="center"/>
    </xf>
    <xf numFmtId="4" fontId="1" fillId="0" borderId="2" xfId="0" applyNumberFormat="1" applyFont="1" applyFill="1" applyBorder="1" applyAlignment="1">
      <alignment horizontal="center" wrapText="1"/>
    </xf>
    <xf numFmtId="4" fontId="1" fillId="0" borderId="7" xfId="0" applyNumberFormat="1" applyFont="1" applyBorder="1" applyAlignment="1">
      <alignment wrapText="1"/>
    </xf>
    <xf numFmtId="4" fontId="1" fillId="0" borderId="2" xfId="0" applyNumberFormat="1" applyFont="1" applyBorder="1"/>
    <xf numFmtId="4" fontId="1" fillId="0" borderId="7" xfId="0" applyNumberFormat="1" applyFont="1" applyBorder="1"/>
    <xf numFmtId="4" fontId="1" fillId="0" borderId="1" xfId="0" applyNumberFormat="1" applyFont="1" applyBorder="1" applyAlignment="1">
      <alignment horizontal="left"/>
    </xf>
    <xf numFmtId="4" fontId="1" fillId="0" borderId="4" xfId="0" applyNumberFormat="1" applyFont="1" applyBorder="1"/>
    <xf numFmtId="4" fontId="9" fillId="0" borderId="1" xfId="0" applyNumberFormat="1" applyFont="1" applyBorder="1"/>
    <xf numFmtId="4" fontId="9" fillId="0" borderId="0" xfId="0" applyNumberFormat="1" applyFont="1" applyAlignment="1">
      <alignment horizontal="center"/>
    </xf>
    <xf numFmtId="4" fontId="1" fillId="0" borderId="0" xfId="0" applyNumberFormat="1" applyFont="1" applyBorder="1"/>
    <xf numFmtId="4" fontId="1" fillId="0" borderId="6" xfId="0" applyNumberFormat="1" applyFont="1" applyBorder="1" applyAlignment="1">
      <alignment horizontal="center"/>
    </xf>
    <xf numFmtId="4" fontId="1" fillId="0" borderId="6" xfId="0" applyNumberFormat="1" applyFont="1" applyBorder="1"/>
    <xf numFmtId="4" fontId="9" fillId="0" borderId="6" xfId="0" applyNumberFormat="1" applyFont="1" applyBorder="1" applyAlignment="1">
      <alignment horizontal="left"/>
    </xf>
    <xf numFmtId="4" fontId="1" fillId="0" borderId="0" xfId="0" applyNumberFormat="1" applyFont="1" applyBorder="1" applyAlignment="1">
      <alignment wrapText="1"/>
    </xf>
    <xf numFmtId="4" fontId="9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9" fillId="0" borderId="0" xfId="0" applyNumberFormat="1" applyFont="1" applyBorder="1"/>
    <xf numFmtId="4" fontId="10" fillId="0" borderId="1" xfId="0" applyNumberFormat="1" applyFont="1" applyBorder="1"/>
    <xf numFmtId="4" fontId="9" fillId="0" borderId="4" xfId="0" applyNumberFormat="1" applyFont="1" applyBorder="1" applyAlignment="1">
      <alignment wrapText="1"/>
    </xf>
    <xf numFmtId="4" fontId="1" fillId="0" borderId="1" xfId="0" applyNumberFormat="1" applyFont="1" applyBorder="1" applyAlignment="1">
      <alignment horizontal="center"/>
    </xf>
    <xf numFmtId="4" fontId="9" fillId="0" borderId="5" xfId="0" applyNumberFormat="1" applyFont="1" applyBorder="1" applyAlignment="1">
      <alignment horizontal="left"/>
    </xf>
    <xf numFmtId="4" fontId="9" fillId="0" borderId="5" xfId="0" applyNumberFormat="1" applyFont="1" applyBorder="1"/>
    <xf numFmtId="4" fontId="10" fillId="0" borderId="0" xfId="0" applyNumberFormat="1" applyFont="1"/>
    <xf numFmtId="4" fontId="6" fillId="0" borderId="0" xfId="0" applyNumberFormat="1" applyFont="1"/>
    <xf numFmtId="4" fontId="5" fillId="0" borderId="0" xfId="0" applyNumberFormat="1" applyFont="1"/>
    <xf numFmtId="4" fontId="7" fillId="0" borderId="0" xfId="0" applyNumberFormat="1" applyFont="1"/>
    <xf numFmtId="4" fontId="4" fillId="0" borderId="0" xfId="0" applyNumberFormat="1" applyFont="1"/>
    <xf numFmtId="4" fontId="11" fillId="0" borderId="0" xfId="0" applyNumberFormat="1" applyFont="1"/>
    <xf numFmtId="4" fontId="9" fillId="0" borderId="0" xfId="0" applyNumberFormat="1" applyFont="1" applyBorder="1" applyAlignment="1">
      <alignment horizontal="left" wrapText="1"/>
    </xf>
    <xf numFmtId="4" fontId="9" fillId="0" borderId="2" xfId="0" applyNumberFormat="1" applyFont="1" applyBorder="1"/>
    <xf numFmtId="4" fontId="1" fillId="0" borderId="1" xfId="0" applyNumberFormat="1" applyFont="1" applyBorder="1" applyAlignment="1">
      <alignment horizontal="right" vertical="top"/>
    </xf>
    <xf numFmtId="164" fontId="9" fillId="0" borderId="1" xfId="0" applyNumberFormat="1" applyFont="1" applyBorder="1" applyAlignment="1"/>
    <xf numFmtId="164" fontId="1" fillId="0" borderId="2" xfId="0" applyNumberFormat="1" applyFont="1" applyBorder="1"/>
    <xf numFmtId="4" fontId="9" fillId="0" borderId="1" xfId="0" applyNumberFormat="1" applyFont="1" applyBorder="1" applyAlignment="1">
      <alignment horizontal="center"/>
    </xf>
    <xf numFmtId="4" fontId="10" fillId="0" borderId="2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wrapText="1"/>
    </xf>
    <xf numFmtId="4" fontId="1" fillId="0" borderId="2" xfId="0" applyNumberFormat="1" applyFont="1" applyBorder="1"/>
    <xf numFmtId="4" fontId="1" fillId="0" borderId="4" xfId="0" applyNumberFormat="1" applyFont="1" applyBorder="1"/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 wrapText="1"/>
    </xf>
    <xf numFmtId="4" fontId="9" fillId="0" borderId="2" xfId="0" applyNumberFormat="1" applyFont="1" applyBorder="1" applyAlignment="1">
      <alignment horizontal="left"/>
    </xf>
    <xf numFmtId="4" fontId="9" fillId="0" borderId="3" xfId="0" applyNumberFormat="1" applyFont="1" applyBorder="1" applyAlignment="1">
      <alignment horizontal="left"/>
    </xf>
    <xf numFmtId="4" fontId="9" fillId="0" borderId="4" xfId="0" applyNumberFormat="1" applyFont="1" applyBorder="1" applyAlignment="1">
      <alignment horizontal="left"/>
    </xf>
    <xf numFmtId="4" fontId="9" fillId="0" borderId="0" xfId="0" applyNumberFormat="1" applyFont="1" applyAlignment="1">
      <alignment horizontal="center"/>
    </xf>
    <xf numFmtId="4" fontId="9" fillId="0" borderId="5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left" vertical="top" wrapText="1"/>
    </xf>
    <xf numFmtId="4" fontId="1" fillId="0" borderId="4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top"/>
    </xf>
    <xf numFmtId="4" fontId="1" fillId="0" borderId="3" xfId="0" applyNumberFormat="1" applyFont="1" applyBorder="1" applyAlignment="1">
      <alignment horizontal="center" vertical="top"/>
    </xf>
    <xf numFmtId="4" fontId="1" fillId="0" borderId="4" xfId="0" applyNumberFormat="1" applyFont="1" applyBorder="1" applyAlignment="1">
      <alignment horizontal="center" vertical="top"/>
    </xf>
    <xf numFmtId="4" fontId="1" fillId="0" borderId="1" xfId="0" applyNumberFormat="1" applyFont="1" applyBorder="1" applyAlignment="1">
      <alignment vertical="top"/>
    </xf>
    <xf numFmtId="4" fontId="10" fillId="0" borderId="3" xfId="0" applyNumberFormat="1" applyFont="1" applyBorder="1" applyAlignment="1">
      <alignment horizontal="left" vertical="top" wrapText="1"/>
    </xf>
    <xf numFmtId="4" fontId="10" fillId="0" borderId="4" xfId="0" applyNumberFormat="1" applyFont="1" applyBorder="1" applyAlignment="1">
      <alignment horizontal="left" vertical="top" wrapText="1"/>
    </xf>
    <xf numFmtId="4" fontId="9" fillId="0" borderId="0" xfId="0" applyNumberFormat="1" applyFont="1" applyAlignment="1">
      <alignment horizontal="left"/>
    </xf>
    <xf numFmtId="4" fontId="9" fillId="0" borderId="0" xfId="0" applyNumberFormat="1" applyFont="1" applyBorder="1" applyAlignment="1">
      <alignment horizontal="center"/>
    </xf>
    <xf numFmtId="4" fontId="9" fillId="0" borderId="2" xfId="0" applyNumberFormat="1" applyFont="1" applyBorder="1" applyAlignment="1">
      <alignment horizontal="center" wrapText="1"/>
    </xf>
    <xf numFmtId="4" fontId="9" fillId="0" borderId="3" xfId="0" applyNumberFormat="1" applyFont="1" applyBorder="1" applyAlignment="1">
      <alignment horizontal="center" wrapText="1"/>
    </xf>
    <xf numFmtId="4" fontId="0" fillId="0" borderId="3" xfId="0" applyNumberFormat="1" applyBorder="1" applyAlignment="1">
      <alignment horizontal="left" wrapText="1"/>
    </xf>
    <xf numFmtId="4" fontId="0" fillId="0" borderId="4" xfId="0" applyNumberFormat="1" applyBorder="1" applyAlignment="1">
      <alignment horizontal="left" wrapText="1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3" fillId="0" borderId="0" xfId="0" applyNumberFormat="1" applyFont="1" applyAlignment="1">
      <alignment horizontal="left"/>
    </xf>
    <xf numFmtId="4" fontId="3" fillId="0" borderId="0" xfId="0" applyNumberFormat="1" applyFont="1" applyAlignment="1"/>
    <xf numFmtId="4" fontId="2" fillId="0" borderId="0" xfId="0" applyNumberFormat="1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0" fillId="0" borderId="0" xfId="0" applyNumberFormat="1" applyAlignment="1"/>
    <xf numFmtId="4" fontId="9" fillId="0" borderId="0" xfId="0" applyNumberFormat="1" applyFont="1" applyAlignment="1">
      <alignment wrapText="1"/>
    </xf>
    <xf numFmtId="4" fontId="1" fillId="0" borderId="0" xfId="0" applyNumberFormat="1" applyFont="1"/>
    <xf numFmtId="4" fontId="9" fillId="0" borderId="2" xfId="0" applyNumberFormat="1" applyFont="1" applyBorder="1" applyAlignment="1">
      <alignment horizontal="left" wrapText="1"/>
    </xf>
    <xf numFmtId="4" fontId="9" fillId="0" borderId="3" xfId="0" applyNumberFormat="1" applyFont="1" applyBorder="1" applyAlignment="1">
      <alignment horizontal="left" wrapText="1"/>
    </xf>
    <xf numFmtId="4" fontId="9" fillId="0" borderId="4" xfId="0" applyNumberFormat="1" applyFont="1" applyBorder="1" applyAlignment="1">
      <alignment horizontal="left" wrapText="1"/>
    </xf>
    <xf numFmtId="4" fontId="9" fillId="0" borderId="1" xfId="0" applyNumberFormat="1" applyFont="1" applyBorder="1" applyAlignment="1">
      <alignment horizontal="center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  <xf numFmtId="4" fontId="9" fillId="0" borderId="0" xfId="0" applyNumberFormat="1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A3" sqref="A3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4" t="s">
        <v>72</v>
      </c>
      <c r="B1" s="4" t="s">
        <v>73</v>
      </c>
    </row>
    <row r="2" spans="1:2" ht="42" customHeight="1" x14ac:dyDescent="0.25">
      <c r="A2" s="13">
        <f>'Услуга №1  '!I113+'Работа №1'!I111+'Работа №2'!I117</f>
        <v>18939132.205495998</v>
      </c>
      <c r="B2" s="13">
        <f>'Услуга №1  '!K113+'Работа №1'!K111+'Работа №2'!K117</f>
        <v>18939132.205496002</v>
      </c>
    </row>
    <row r="4" spans="1:2" x14ac:dyDescent="0.25">
      <c r="A4" s="5"/>
    </row>
    <row r="5" spans="1:2" x14ac:dyDescent="0.25">
      <c r="B5" s="5"/>
    </row>
    <row r="6" spans="1:2" x14ac:dyDescent="0.25">
      <c r="A6" s="5"/>
    </row>
    <row r="8" spans="1:2" x14ac:dyDescent="0.25">
      <c r="A8" s="5"/>
    </row>
    <row r="10" spans="1:2" x14ac:dyDescent="0.25">
      <c r="A10" s="5"/>
    </row>
    <row r="12" spans="1:2" x14ac:dyDescent="0.25">
      <c r="A1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8"/>
  <sheetViews>
    <sheetView tabSelected="1" topLeftCell="A51" zoomScale="80" zoomScaleNormal="80" workbookViewId="0">
      <selection activeCell="K113" sqref="K113"/>
    </sheetView>
  </sheetViews>
  <sheetFormatPr defaultRowHeight="15" x14ac:dyDescent="0.25"/>
  <cols>
    <col min="1" max="4" width="9.140625" style="5"/>
    <col min="5" max="5" width="9.8554687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4.5703125" style="5" customWidth="1"/>
    <col min="11" max="11" width="16.42578125" style="5" customWidth="1"/>
    <col min="12" max="12" width="14" style="5" customWidth="1"/>
    <col min="13" max="13" width="13.28515625" style="5" hidden="1" customWidth="1"/>
    <col min="14" max="14" width="10.28515625" style="5" bestFit="1" customWidth="1"/>
    <col min="15" max="15" width="12.42578125" style="5" bestFit="1" customWidth="1"/>
    <col min="16" max="16384" width="9.140625" style="5"/>
  </cols>
  <sheetData>
    <row r="1" spans="1:15" ht="15.75" x14ac:dyDescent="0.25">
      <c r="A1" s="109" t="s">
        <v>51</v>
      </c>
      <c r="B1" s="109"/>
      <c r="C1" s="109"/>
      <c r="D1" s="109"/>
      <c r="E1" s="18"/>
      <c r="F1" s="18"/>
    </row>
    <row r="2" spans="1:15" ht="15.75" x14ac:dyDescent="0.25">
      <c r="A2" s="109" t="s">
        <v>52</v>
      </c>
      <c r="B2" s="109"/>
      <c r="C2" s="113"/>
      <c r="D2" s="113"/>
      <c r="E2" s="113"/>
      <c r="F2" s="113"/>
    </row>
    <row r="3" spans="1:15" ht="15.75" x14ac:dyDescent="0.25">
      <c r="A3" s="110" t="s">
        <v>53</v>
      </c>
      <c r="B3" s="110"/>
      <c r="C3" s="110"/>
      <c r="D3" s="113"/>
      <c r="E3" s="113"/>
      <c r="F3" s="18"/>
    </row>
    <row r="4" spans="1:15" ht="9.75" customHeight="1" x14ac:dyDescent="0.25">
      <c r="A4" s="19"/>
      <c r="B4" s="19"/>
      <c r="C4" s="19"/>
      <c r="D4" s="20"/>
      <c r="E4" s="18"/>
      <c r="F4" s="18"/>
    </row>
    <row r="5" spans="1:15" ht="15.75" x14ac:dyDescent="0.25">
      <c r="A5" s="110" t="s">
        <v>54</v>
      </c>
      <c r="B5" s="110"/>
      <c r="C5" s="110"/>
      <c r="D5" s="113"/>
      <c r="E5" s="113"/>
      <c r="F5" s="18"/>
    </row>
    <row r="6" spans="1:15" ht="12.75" customHeight="1" x14ac:dyDescent="0.25">
      <c r="A6" s="110"/>
      <c r="B6" s="110"/>
      <c r="C6" s="110"/>
      <c r="D6" s="20"/>
      <c r="E6" s="18"/>
      <c r="F6" s="18"/>
    </row>
    <row r="7" spans="1:15" ht="15.75" x14ac:dyDescent="0.25">
      <c r="A7" s="111" t="s">
        <v>55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5" ht="15.75" x14ac:dyDescent="0.25">
      <c r="A8" s="111" t="s">
        <v>86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</row>
    <row r="9" spans="1:15" ht="14.25" customHeight="1" x14ac:dyDescent="0.25">
      <c r="A9" s="112" t="s">
        <v>97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5" ht="18.75" customHeight="1" x14ac:dyDescent="0.25">
      <c r="A10" s="114" t="s">
        <v>56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21"/>
      <c r="N10" s="22"/>
      <c r="O10" s="22"/>
    </row>
    <row r="11" spans="1:15" x14ac:dyDescent="0.25">
      <c r="A11" s="16" t="s">
        <v>63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5" x14ac:dyDescent="0.25">
      <c r="A12" s="16" t="s">
        <v>99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5" x14ac:dyDescent="0.25">
      <c r="A13" s="16" t="s">
        <v>64</v>
      </c>
      <c r="B13" s="14"/>
      <c r="C13" s="14"/>
      <c r="D13" s="14"/>
      <c r="E13" s="14"/>
    </row>
    <row r="14" spans="1:15" ht="33" customHeight="1" x14ac:dyDescent="0.25">
      <c r="A14" s="75" t="s">
        <v>0</v>
      </c>
      <c r="B14" s="75"/>
      <c r="C14" s="75"/>
      <c r="D14" s="75"/>
      <c r="E14" s="75"/>
      <c r="F14" s="1" t="s">
        <v>1</v>
      </c>
      <c r="G14" s="75" t="s">
        <v>2</v>
      </c>
      <c r="H14" s="75"/>
      <c r="I14" s="75"/>
      <c r="J14" s="75"/>
      <c r="K14" s="75"/>
      <c r="L14" s="1" t="s">
        <v>1</v>
      </c>
      <c r="M14" s="14"/>
    </row>
    <row r="15" spans="1:15" ht="16.5" customHeight="1" x14ac:dyDescent="0.25">
      <c r="A15" s="89" t="s">
        <v>57</v>
      </c>
      <c r="B15" s="90"/>
      <c r="C15" s="90"/>
      <c r="D15" s="90"/>
      <c r="E15" s="91"/>
      <c r="F15" s="23">
        <v>0.14000000000000001</v>
      </c>
      <c r="G15" s="68" t="s">
        <v>40</v>
      </c>
      <c r="H15" s="90"/>
      <c r="I15" s="90"/>
      <c r="J15" s="90"/>
      <c r="K15" s="91"/>
      <c r="L15" s="24">
        <v>0.14000000000000001</v>
      </c>
      <c r="M15" s="14"/>
    </row>
    <row r="16" spans="1:15" ht="15.75" customHeight="1" x14ac:dyDescent="0.25">
      <c r="A16" s="89" t="s">
        <v>42</v>
      </c>
      <c r="B16" s="90"/>
      <c r="C16" s="90"/>
      <c r="D16" s="90"/>
      <c r="E16" s="91"/>
      <c r="F16" s="23">
        <v>2.8</v>
      </c>
      <c r="G16" s="68" t="s">
        <v>41</v>
      </c>
      <c r="H16" s="90"/>
      <c r="I16" s="90"/>
      <c r="J16" s="90"/>
      <c r="K16" s="91"/>
      <c r="L16" s="24">
        <v>0.14000000000000001</v>
      </c>
      <c r="M16" s="14"/>
    </row>
    <row r="17" spans="1:13" ht="18" customHeight="1" x14ac:dyDescent="0.25">
      <c r="A17" s="89" t="s">
        <v>66</v>
      </c>
      <c r="B17" s="90"/>
      <c r="C17" s="90"/>
      <c r="D17" s="90"/>
      <c r="E17" s="91"/>
      <c r="F17" s="23">
        <v>0.14000000000000001</v>
      </c>
      <c r="G17" s="68"/>
      <c r="H17" s="90"/>
      <c r="I17" s="90"/>
      <c r="J17" s="90"/>
      <c r="K17" s="91"/>
      <c r="L17" s="23"/>
      <c r="M17" s="14"/>
    </row>
    <row r="18" spans="1:13" ht="16.5" customHeight="1" x14ac:dyDescent="0.25">
      <c r="A18" s="89" t="s">
        <v>45</v>
      </c>
      <c r="B18" s="90"/>
      <c r="C18" s="90"/>
      <c r="D18" s="90"/>
      <c r="E18" s="91"/>
      <c r="F18" s="23">
        <v>0.14000000000000001</v>
      </c>
      <c r="G18" s="68"/>
      <c r="H18" s="90"/>
      <c r="I18" s="90"/>
      <c r="J18" s="90"/>
      <c r="K18" s="91"/>
      <c r="L18" s="23"/>
      <c r="M18" s="14"/>
    </row>
    <row r="19" spans="1:13" ht="15" customHeight="1" x14ac:dyDescent="0.25">
      <c r="A19" s="68" t="s">
        <v>44</v>
      </c>
      <c r="B19" s="99"/>
      <c r="C19" s="99"/>
      <c r="D19" s="99"/>
      <c r="E19" s="100"/>
      <c r="F19" s="23">
        <v>0.82</v>
      </c>
      <c r="G19" s="68"/>
      <c r="H19" s="90"/>
      <c r="I19" s="90"/>
      <c r="J19" s="90"/>
      <c r="K19" s="91"/>
      <c r="L19" s="23"/>
      <c r="M19" s="14"/>
    </row>
    <row r="20" spans="1:13" ht="15.75" customHeight="1" x14ac:dyDescent="0.25">
      <c r="A20" s="68" t="s">
        <v>43</v>
      </c>
      <c r="B20" s="99"/>
      <c r="C20" s="99"/>
      <c r="D20" s="99"/>
      <c r="E20" s="100"/>
      <c r="F20" s="23">
        <v>1.23</v>
      </c>
      <c r="G20" s="68"/>
      <c r="H20" s="99"/>
      <c r="I20" s="99"/>
      <c r="J20" s="99"/>
      <c r="K20" s="100"/>
      <c r="L20" s="23"/>
      <c r="M20" s="14"/>
    </row>
    <row r="21" spans="1:13" ht="14.25" customHeight="1" x14ac:dyDescent="0.25">
      <c r="A21" s="68"/>
      <c r="B21" s="99"/>
      <c r="C21" s="99"/>
      <c r="D21" s="99"/>
      <c r="E21" s="100"/>
      <c r="F21" s="24"/>
      <c r="G21" s="68"/>
      <c r="H21" s="99"/>
      <c r="I21" s="99"/>
      <c r="J21" s="99"/>
      <c r="K21" s="100"/>
      <c r="L21" s="23"/>
      <c r="M21" s="14"/>
    </row>
    <row r="22" spans="1:13" ht="15" customHeight="1" x14ac:dyDescent="0.25">
      <c r="A22" s="68"/>
      <c r="B22" s="90"/>
      <c r="C22" s="90"/>
      <c r="D22" s="90"/>
      <c r="E22" s="91"/>
      <c r="F22" s="24"/>
      <c r="G22" s="68"/>
      <c r="H22" s="99"/>
      <c r="I22" s="99"/>
      <c r="J22" s="99"/>
      <c r="K22" s="100"/>
      <c r="L22" s="23"/>
      <c r="M22" s="14"/>
    </row>
    <row r="23" spans="1:13" x14ac:dyDescent="0.25">
      <c r="A23" s="95" t="s">
        <v>3</v>
      </c>
      <c r="B23" s="96"/>
      <c r="C23" s="96"/>
      <c r="D23" s="96"/>
      <c r="E23" s="97"/>
      <c r="F23" s="24">
        <f>SUM(F15:F22)</f>
        <v>5.27</v>
      </c>
      <c r="G23" s="89"/>
      <c r="H23" s="90"/>
      <c r="I23" s="90"/>
      <c r="J23" s="90"/>
      <c r="K23" s="91"/>
      <c r="L23" s="24">
        <f>SUM(L15:L22)</f>
        <v>0.28000000000000003</v>
      </c>
      <c r="M23" s="16">
        <f>F23+L23+'Работа №1'!F23+'Работа №1'!L23+'Работа №2'!F23+'Работа №2'!L23</f>
        <v>40.500000000000007</v>
      </c>
    </row>
    <row r="24" spans="1:13" x14ac:dyDescent="0.25">
      <c r="A24" s="25"/>
      <c r="B24" s="25"/>
      <c r="C24" s="25"/>
      <c r="D24" s="25"/>
      <c r="E24" s="25"/>
      <c r="F24" s="26"/>
      <c r="G24" s="27"/>
      <c r="H24" s="27"/>
      <c r="I24" s="27"/>
      <c r="J24" s="27"/>
      <c r="K24" s="27"/>
      <c r="L24" s="26"/>
      <c r="M24" s="14"/>
    </row>
    <row r="25" spans="1:13" x14ac:dyDescent="0.25">
      <c r="A25" s="101" t="s">
        <v>89</v>
      </c>
      <c r="B25" s="101"/>
      <c r="C25" s="101"/>
      <c r="D25" s="101"/>
      <c r="E25" s="101"/>
      <c r="F25" s="101"/>
      <c r="G25" s="101"/>
      <c r="H25" s="14">
        <v>27531</v>
      </c>
      <c r="I25" s="14"/>
      <c r="J25" s="14"/>
      <c r="K25" s="14"/>
      <c r="L25" s="14"/>
      <c r="M25" s="14"/>
    </row>
    <row r="26" spans="1:13" ht="75" x14ac:dyDescent="0.25">
      <c r="A26" s="72" t="s">
        <v>4</v>
      </c>
      <c r="B26" s="73"/>
      <c r="C26" s="73"/>
      <c r="D26" s="73"/>
      <c r="E26" s="74"/>
      <c r="F26" s="28" t="s">
        <v>5</v>
      </c>
      <c r="G26" s="28" t="s">
        <v>1</v>
      </c>
      <c r="H26" s="28" t="s">
        <v>67</v>
      </c>
      <c r="I26" s="28" t="s">
        <v>68</v>
      </c>
      <c r="J26" s="28" t="s">
        <v>69</v>
      </c>
      <c r="K26" s="29" t="s">
        <v>70</v>
      </c>
      <c r="L26" s="46"/>
      <c r="M26" s="14"/>
    </row>
    <row r="27" spans="1:13" ht="18.75" hidden="1" customHeight="1" x14ac:dyDescent="0.25">
      <c r="A27" s="81" t="s">
        <v>57</v>
      </c>
      <c r="B27" s="69"/>
      <c r="C27" s="69"/>
      <c r="D27" s="69"/>
      <c r="E27" s="70"/>
      <c r="F27" s="1"/>
      <c r="G27" s="1"/>
      <c r="H27" s="1"/>
      <c r="I27" s="1"/>
      <c r="J27" s="1"/>
      <c r="K27" s="1"/>
      <c r="L27" s="42"/>
      <c r="M27" s="14"/>
    </row>
    <row r="28" spans="1:13" ht="16.5" hidden="1" customHeight="1" x14ac:dyDescent="0.25">
      <c r="A28" s="98" t="s">
        <v>42</v>
      </c>
      <c r="B28" s="98"/>
      <c r="C28" s="98"/>
      <c r="D28" s="98"/>
      <c r="E28" s="98"/>
      <c r="F28" s="1"/>
      <c r="G28" s="1"/>
      <c r="H28" s="1"/>
      <c r="I28" s="1"/>
      <c r="J28" s="1"/>
      <c r="K28" s="1"/>
      <c r="L28" s="42"/>
      <c r="M28" s="14"/>
    </row>
    <row r="29" spans="1:13" ht="15" hidden="1" customHeight="1" x14ac:dyDescent="0.25">
      <c r="A29" s="89" t="s">
        <v>66</v>
      </c>
      <c r="B29" s="90"/>
      <c r="C29" s="90"/>
      <c r="D29" s="90"/>
      <c r="E29" s="91"/>
      <c r="F29" s="1"/>
      <c r="G29" s="1"/>
      <c r="H29" s="1"/>
      <c r="I29" s="1"/>
      <c r="J29" s="1"/>
      <c r="K29" s="1"/>
      <c r="L29" s="42"/>
      <c r="M29" s="14"/>
    </row>
    <row r="30" spans="1:13" ht="15" hidden="1" customHeight="1" x14ac:dyDescent="0.25">
      <c r="A30" s="92" t="s">
        <v>45</v>
      </c>
      <c r="B30" s="93"/>
      <c r="C30" s="93"/>
      <c r="D30" s="93"/>
      <c r="E30" s="94"/>
      <c r="F30" s="1"/>
      <c r="G30" s="1"/>
      <c r="H30" s="1"/>
      <c r="I30" s="1"/>
      <c r="J30" s="1"/>
      <c r="K30" s="1"/>
      <c r="L30" s="42"/>
      <c r="M30" s="14"/>
    </row>
    <row r="31" spans="1:13" ht="14.25" hidden="1" customHeight="1" x14ac:dyDescent="0.25">
      <c r="A31" s="68" t="s">
        <v>43</v>
      </c>
      <c r="B31" s="69"/>
      <c r="C31" s="69"/>
      <c r="D31" s="69"/>
      <c r="E31" s="70"/>
      <c r="F31" s="1"/>
      <c r="G31" s="1"/>
      <c r="H31" s="1"/>
      <c r="I31" s="1"/>
      <c r="J31" s="1"/>
      <c r="K31" s="1"/>
      <c r="L31" s="42"/>
      <c r="M31" s="14"/>
    </row>
    <row r="32" spans="1:13" ht="15.75" hidden="1" customHeight="1" x14ac:dyDescent="0.25">
      <c r="A32" s="68" t="s">
        <v>44</v>
      </c>
      <c r="B32" s="69"/>
      <c r="C32" s="69"/>
      <c r="D32" s="69"/>
      <c r="E32" s="70"/>
      <c r="F32" s="1"/>
      <c r="G32" s="1"/>
      <c r="H32" s="1"/>
      <c r="I32" s="1"/>
      <c r="J32" s="1"/>
      <c r="K32" s="1"/>
      <c r="L32" s="42"/>
      <c r="M32" s="14"/>
    </row>
    <row r="33" spans="1:13" ht="27" customHeight="1" x14ac:dyDescent="0.25">
      <c r="A33" s="103" t="s">
        <v>71</v>
      </c>
      <c r="B33" s="104"/>
      <c r="C33" s="104"/>
      <c r="D33" s="104"/>
      <c r="E33" s="104"/>
      <c r="F33" s="31">
        <v>25807.73</v>
      </c>
      <c r="G33" s="31">
        <f>F23</f>
        <v>5.27</v>
      </c>
      <c r="H33" s="31">
        <f>(F33*G33)*12</f>
        <v>1632080.8451999999</v>
      </c>
      <c r="I33" s="2">
        <f>(H33*1.302)+0.01</f>
        <v>2124969.2704503997</v>
      </c>
      <c r="J33" s="2">
        <f>H25</f>
        <v>27531</v>
      </c>
      <c r="K33" s="2">
        <f>I33/H25</f>
        <v>77.184601738055278</v>
      </c>
      <c r="L33" s="42"/>
      <c r="M33" s="16">
        <f>I33+'Работа №1'!I33+'Работа №2'!I33</f>
        <v>15510727.566776</v>
      </c>
    </row>
    <row r="34" spans="1:13" x14ac:dyDescent="0.25">
      <c r="A34" s="32"/>
      <c r="B34" s="32"/>
      <c r="C34" s="32"/>
      <c r="D34" s="32"/>
      <c r="E34" s="32"/>
      <c r="F34" s="32"/>
      <c r="G34" s="32"/>
      <c r="H34" s="32"/>
      <c r="I34" s="14"/>
      <c r="J34" s="14"/>
      <c r="K34" s="14"/>
      <c r="L34" s="33"/>
      <c r="M34" s="14"/>
    </row>
    <row r="35" spans="1:13" x14ac:dyDescent="0.25">
      <c r="A35" s="86" t="s">
        <v>7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14"/>
    </row>
    <row r="36" spans="1:13" ht="45" x14ac:dyDescent="0.25">
      <c r="A36" s="88" t="s">
        <v>8</v>
      </c>
      <c r="B36" s="88"/>
      <c r="C36" s="88"/>
      <c r="D36" s="88"/>
      <c r="E36" s="88"/>
      <c r="F36" s="28" t="s">
        <v>6</v>
      </c>
      <c r="G36" s="28" t="s">
        <v>58</v>
      </c>
      <c r="H36" s="28" t="s">
        <v>59</v>
      </c>
      <c r="I36" s="28" t="s">
        <v>74</v>
      </c>
      <c r="J36" s="28" t="s">
        <v>69</v>
      </c>
      <c r="K36" s="34" t="s">
        <v>70</v>
      </c>
      <c r="L36" s="35"/>
      <c r="M36" s="14"/>
    </row>
    <row r="37" spans="1:13" x14ac:dyDescent="0.25">
      <c r="A37" s="71" t="s">
        <v>9</v>
      </c>
      <c r="B37" s="71"/>
      <c r="C37" s="71"/>
      <c r="D37" s="71"/>
      <c r="E37" s="71"/>
      <c r="F37" s="1" t="s">
        <v>102</v>
      </c>
      <c r="G37" s="1">
        <v>35000</v>
      </c>
      <c r="H37" s="1">
        <v>7.5</v>
      </c>
      <c r="I37" s="3">
        <f>262513.9*13.7%</f>
        <v>35964.404300000002</v>
      </c>
      <c r="J37" s="1">
        <f>H25</f>
        <v>27531</v>
      </c>
      <c r="K37" s="36">
        <f>I37/J37</f>
        <v>1.3063239366532273</v>
      </c>
      <c r="L37" s="37"/>
      <c r="M37" s="14"/>
    </row>
    <row r="38" spans="1:13" x14ac:dyDescent="0.25">
      <c r="A38" s="71" t="s">
        <v>10</v>
      </c>
      <c r="B38" s="71"/>
      <c r="C38" s="71"/>
      <c r="D38" s="71"/>
      <c r="E38" s="71"/>
      <c r="F38" s="1" t="s">
        <v>103</v>
      </c>
      <c r="G38" s="1">
        <v>560</v>
      </c>
      <c r="H38" s="1">
        <v>1690.46</v>
      </c>
      <c r="I38" s="3">
        <f>946657.61*13.7%</f>
        <v>129692.09256999998</v>
      </c>
      <c r="J38" s="1">
        <f>J37</f>
        <v>27531</v>
      </c>
      <c r="K38" s="36">
        <f t="shared" ref="K38:K41" si="0">I38/J38</f>
        <v>4.710765775671061</v>
      </c>
      <c r="L38" s="37"/>
      <c r="M38" s="14"/>
    </row>
    <row r="39" spans="1:13" x14ac:dyDescent="0.25">
      <c r="A39" s="71" t="s">
        <v>11</v>
      </c>
      <c r="B39" s="71"/>
      <c r="C39" s="71"/>
      <c r="D39" s="71"/>
      <c r="E39" s="71"/>
      <c r="F39" s="1" t="s">
        <v>104</v>
      </c>
      <c r="G39" s="1">
        <v>222</v>
      </c>
      <c r="H39" s="1">
        <v>40.96</v>
      </c>
      <c r="I39" s="3">
        <f>9093.12*13.7%</f>
        <v>1245.7574399999999</v>
      </c>
      <c r="J39" s="1">
        <f>J38</f>
        <v>27531</v>
      </c>
      <c r="K39" s="36">
        <f t="shared" si="0"/>
        <v>4.5249262286150151E-2</v>
      </c>
      <c r="L39" s="37"/>
      <c r="M39" s="14"/>
    </row>
    <row r="40" spans="1:13" x14ac:dyDescent="0.25">
      <c r="A40" s="71" t="s">
        <v>12</v>
      </c>
      <c r="B40" s="71"/>
      <c r="C40" s="71"/>
      <c r="D40" s="71"/>
      <c r="E40" s="71"/>
      <c r="F40" s="38" t="s">
        <v>104</v>
      </c>
      <c r="G40" s="3">
        <v>311</v>
      </c>
      <c r="H40" s="1">
        <v>59.65</v>
      </c>
      <c r="I40" s="3">
        <f>18551.15*13.7%</f>
        <v>2541.5075499999998</v>
      </c>
      <c r="J40" s="1">
        <f>J38</f>
        <v>27531</v>
      </c>
      <c r="K40" s="36">
        <f t="shared" si="0"/>
        <v>9.2314392866223519E-2</v>
      </c>
      <c r="L40" s="37"/>
      <c r="M40" s="15">
        <f>I42+'Работа №1'!I42+'Работа №2'!I42</f>
        <v>1242264.7399999998</v>
      </c>
    </row>
    <row r="41" spans="1:13" x14ac:dyDescent="0.25">
      <c r="A41" s="78" t="s">
        <v>15</v>
      </c>
      <c r="B41" s="107"/>
      <c r="C41" s="107"/>
      <c r="D41" s="107"/>
      <c r="E41" s="107"/>
      <c r="F41" s="38" t="s">
        <v>104</v>
      </c>
      <c r="G41" s="3">
        <v>12</v>
      </c>
      <c r="H41" s="39">
        <v>454.08</v>
      </c>
      <c r="I41" s="3">
        <f>5448.96*13.7%</f>
        <v>746.50751999999989</v>
      </c>
      <c r="J41" s="1">
        <f t="shared" ref="J41:J42" si="1">J39</f>
        <v>27531</v>
      </c>
      <c r="K41" s="36">
        <f t="shared" si="0"/>
        <v>2.7115161817587444E-2</v>
      </c>
      <c r="L41" s="37"/>
      <c r="M41" s="15"/>
    </row>
    <row r="42" spans="1:13" ht="15" customHeight="1" x14ac:dyDescent="0.25">
      <c r="A42" s="116" t="s">
        <v>13</v>
      </c>
      <c r="B42" s="117"/>
      <c r="C42" s="117"/>
      <c r="D42" s="117"/>
      <c r="E42" s="117"/>
      <c r="F42" s="117"/>
      <c r="G42" s="117"/>
      <c r="H42" s="118"/>
      <c r="I42" s="2">
        <f>SUM(I37:I40)+I41</f>
        <v>170190.26937999998</v>
      </c>
      <c r="J42" s="40">
        <f t="shared" si="1"/>
        <v>27531</v>
      </c>
      <c r="K42" s="6">
        <f>I42/H25</f>
        <v>6.1817685292942492</v>
      </c>
      <c r="L42" s="37"/>
      <c r="M42" s="14"/>
    </row>
    <row r="43" spans="1:13" x14ac:dyDescent="0.25">
      <c r="A43" s="14"/>
      <c r="B43" s="14"/>
      <c r="C43" s="14"/>
      <c r="D43" s="14"/>
      <c r="E43" s="14"/>
      <c r="F43" s="41"/>
      <c r="G43" s="41"/>
      <c r="H43" s="41"/>
      <c r="I43" s="41"/>
      <c r="J43" s="41"/>
      <c r="K43" s="41"/>
      <c r="L43" s="41"/>
      <c r="M43" s="14"/>
    </row>
    <row r="44" spans="1:13" x14ac:dyDescent="0.25">
      <c r="A44" s="86" t="s">
        <v>14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4"/>
    </row>
    <row r="45" spans="1:13" ht="45" x14ac:dyDescent="0.25">
      <c r="A45" s="72" t="s">
        <v>18</v>
      </c>
      <c r="B45" s="73"/>
      <c r="C45" s="73"/>
      <c r="D45" s="73"/>
      <c r="E45" s="74"/>
      <c r="F45" s="28" t="s">
        <v>6</v>
      </c>
      <c r="G45" s="28" t="s">
        <v>58</v>
      </c>
      <c r="H45" s="28" t="s">
        <v>59</v>
      </c>
      <c r="I45" s="28" t="s">
        <v>74</v>
      </c>
      <c r="J45" s="28" t="s">
        <v>69</v>
      </c>
      <c r="K45" s="34" t="s">
        <v>70</v>
      </c>
      <c r="L45" s="35"/>
      <c r="M45" s="14"/>
    </row>
    <row r="46" spans="1:13" ht="18.75" customHeight="1" x14ac:dyDescent="0.25">
      <c r="A46" s="78" t="s">
        <v>60</v>
      </c>
      <c r="B46" s="79"/>
      <c r="C46" s="79"/>
      <c r="D46" s="79"/>
      <c r="E46" s="80"/>
      <c r="F46" s="38" t="s">
        <v>75</v>
      </c>
      <c r="G46" s="1">
        <v>12</v>
      </c>
      <c r="H46" s="1"/>
      <c r="I46" s="3">
        <f>61320*13.7%</f>
        <v>8400.8399999999983</v>
      </c>
      <c r="J46" s="1">
        <f>J37</f>
        <v>27531</v>
      </c>
      <c r="K46" s="36">
        <f>I46/J46</f>
        <v>0.30514111365369939</v>
      </c>
      <c r="L46" s="37"/>
      <c r="M46" s="42"/>
    </row>
    <row r="47" spans="1:13" ht="18.75" customHeight="1" x14ac:dyDescent="0.25">
      <c r="A47" s="78" t="s">
        <v>16</v>
      </c>
      <c r="B47" s="79"/>
      <c r="C47" s="79"/>
      <c r="D47" s="79"/>
      <c r="E47" s="80"/>
      <c r="F47" s="38" t="s">
        <v>17</v>
      </c>
      <c r="G47" s="1">
        <v>4</v>
      </c>
      <c r="H47" s="1"/>
      <c r="I47" s="3">
        <f>18000*13.7%</f>
        <v>2465.9999999999995</v>
      </c>
      <c r="J47" s="1">
        <f>J39</f>
        <v>27531</v>
      </c>
      <c r="K47" s="36">
        <f>I47/J47</f>
        <v>8.9571755475645623E-2</v>
      </c>
      <c r="L47" s="37"/>
      <c r="M47" s="42"/>
    </row>
    <row r="48" spans="1:13" ht="33.75" customHeight="1" x14ac:dyDescent="0.25">
      <c r="A48" s="81" t="s">
        <v>62</v>
      </c>
      <c r="B48" s="69"/>
      <c r="C48" s="69"/>
      <c r="D48" s="69"/>
      <c r="E48" s="70"/>
      <c r="F48" s="38" t="s">
        <v>17</v>
      </c>
      <c r="G48" s="1">
        <v>12</v>
      </c>
      <c r="H48" s="1"/>
      <c r="I48" s="3">
        <f>220000*13.7%</f>
        <v>30139.999999999996</v>
      </c>
      <c r="J48" s="1">
        <f>J47</f>
        <v>27531</v>
      </c>
      <c r="K48" s="36">
        <f t="shared" ref="K48:K52" si="2">I48/J48</f>
        <v>1.0947659002578909</v>
      </c>
      <c r="L48" s="37"/>
      <c r="M48" s="42"/>
    </row>
    <row r="49" spans="1:13" ht="18.75" hidden="1" customHeight="1" x14ac:dyDescent="0.25">
      <c r="A49" s="78" t="s">
        <v>60</v>
      </c>
      <c r="B49" s="79"/>
      <c r="C49" s="79"/>
      <c r="D49" s="79"/>
      <c r="E49" s="80"/>
      <c r="F49" s="38" t="s">
        <v>17</v>
      </c>
      <c r="G49" s="1"/>
      <c r="H49" s="1"/>
      <c r="I49" s="3">
        <f t="shared" ref="I49" si="3">H49*G49*12</f>
        <v>0</v>
      </c>
      <c r="J49" s="1">
        <f>J48</f>
        <v>27531</v>
      </c>
      <c r="K49" s="36">
        <f t="shared" si="2"/>
        <v>0</v>
      </c>
      <c r="L49" s="37"/>
      <c r="M49" s="42"/>
    </row>
    <row r="50" spans="1:13" ht="29.25" customHeight="1" x14ac:dyDescent="0.25">
      <c r="A50" s="81" t="s">
        <v>61</v>
      </c>
      <c r="B50" s="69"/>
      <c r="C50" s="69"/>
      <c r="D50" s="69"/>
      <c r="E50" s="70"/>
      <c r="F50" s="38" t="s">
        <v>17</v>
      </c>
      <c r="G50" s="1">
        <v>2</v>
      </c>
      <c r="H50" s="1"/>
      <c r="I50" s="3">
        <f>5000*13.7%</f>
        <v>684.99999999999989</v>
      </c>
      <c r="J50" s="1">
        <f>J48</f>
        <v>27531</v>
      </c>
      <c r="K50" s="36">
        <f t="shared" si="2"/>
        <v>2.4881043187679339E-2</v>
      </c>
      <c r="L50" s="37"/>
      <c r="M50" s="42"/>
    </row>
    <row r="51" spans="1:13" ht="18.75" customHeight="1" x14ac:dyDescent="0.25">
      <c r="A51" s="78" t="s">
        <v>105</v>
      </c>
      <c r="B51" s="79"/>
      <c r="C51" s="79"/>
      <c r="D51" s="79"/>
      <c r="E51" s="80"/>
      <c r="F51" s="38" t="s">
        <v>17</v>
      </c>
      <c r="G51" s="1"/>
      <c r="H51" s="1"/>
      <c r="I51" s="3">
        <f>12000*13.7%</f>
        <v>1643.9999999999998</v>
      </c>
      <c r="J51" s="1">
        <f>J50</f>
        <v>27531</v>
      </c>
      <c r="K51" s="36">
        <f t="shared" si="2"/>
        <v>5.9714503650430413E-2</v>
      </c>
      <c r="L51" s="37"/>
      <c r="M51" s="42"/>
    </row>
    <row r="52" spans="1:13" ht="18.75" customHeight="1" x14ac:dyDescent="0.25">
      <c r="A52" s="78" t="s">
        <v>106</v>
      </c>
      <c r="B52" s="107"/>
      <c r="C52" s="107"/>
      <c r="D52" s="107"/>
      <c r="E52" s="108"/>
      <c r="F52" s="38" t="s">
        <v>17</v>
      </c>
      <c r="G52" s="1"/>
      <c r="H52" s="1"/>
      <c r="I52" s="3">
        <f>12000*13.7%</f>
        <v>1643.9999999999998</v>
      </c>
      <c r="J52" s="1">
        <f>J51</f>
        <v>27531</v>
      </c>
      <c r="K52" s="36">
        <f t="shared" si="2"/>
        <v>5.9714503650430413E-2</v>
      </c>
      <c r="L52" s="42"/>
      <c r="M52" s="42"/>
    </row>
    <row r="53" spans="1:13" s="14" customFormat="1" ht="30.75" customHeight="1" x14ac:dyDescent="0.25">
      <c r="A53" s="81" t="s">
        <v>107</v>
      </c>
      <c r="B53" s="69"/>
      <c r="C53" s="69"/>
      <c r="D53" s="69"/>
      <c r="E53" s="70"/>
      <c r="F53" s="1" t="s">
        <v>17</v>
      </c>
      <c r="G53" s="1"/>
      <c r="H53" s="1"/>
      <c r="I53" s="1">
        <f>135000*13.7%</f>
        <v>18494.999999999996</v>
      </c>
      <c r="J53" s="1">
        <f>J49</f>
        <v>27531</v>
      </c>
      <c r="K53" s="1">
        <f>I53/J53</f>
        <v>0.67178816606734215</v>
      </c>
      <c r="L53" s="42"/>
    </row>
    <row r="54" spans="1:13" ht="18.75" customHeight="1" x14ac:dyDescent="0.25">
      <c r="A54" s="83" t="s">
        <v>76</v>
      </c>
      <c r="B54" s="84"/>
      <c r="C54" s="84"/>
      <c r="D54" s="84"/>
      <c r="E54" s="84"/>
      <c r="F54" s="84"/>
      <c r="G54" s="84"/>
      <c r="H54" s="85"/>
      <c r="I54" s="2">
        <f>SUM(I46:I53)</f>
        <v>63474.84</v>
      </c>
      <c r="J54" s="40">
        <f>J50</f>
        <v>27531</v>
      </c>
      <c r="K54" s="6">
        <f>I54/H25</f>
        <v>2.3055769859431186</v>
      </c>
      <c r="L54" s="37"/>
      <c r="M54" s="16">
        <f>I54+'Работа №1'!I54+'Работа №2'!I59</f>
        <v>463320</v>
      </c>
    </row>
    <row r="55" spans="1:13" x14ac:dyDescent="0.25">
      <c r="A55" s="43"/>
      <c r="B55" s="43"/>
      <c r="C55" s="43"/>
      <c r="D55" s="43"/>
      <c r="E55" s="43"/>
      <c r="F55" s="44"/>
      <c r="G55" s="45"/>
      <c r="H55" s="45"/>
      <c r="I55" s="45"/>
      <c r="J55" s="44"/>
      <c r="K55" s="45"/>
      <c r="L55" s="42"/>
      <c r="M55" s="14"/>
    </row>
    <row r="56" spans="1:13" s="14" customFormat="1" x14ac:dyDescent="0.25">
      <c r="A56" s="86" t="s">
        <v>77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</row>
    <row r="57" spans="1:13" s="14" customFormat="1" ht="60" customHeight="1" x14ac:dyDescent="0.25">
      <c r="A57" s="72" t="s">
        <v>18</v>
      </c>
      <c r="B57" s="73"/>
      <c r="C57" s="73"/>
      <c r="D57" s="73"/>
      <c r="E57" s="74"/>
      <c r="F57" s="28" t="s">
        <v>6</v>
      </c>
      <c r="G57" s="28" t="s">
        <v>58</v>
      </c>
      <c r="H57" s="28" t="s">
        <v>59</v>
      </c>
      <c r="I57" s="28" t="s">
        <v>74</v>
      </c>
      <c r="J57" s="28" t="s">
        <v>69</v>
      </c>
      <c r="K57" s="29" t="s">
        <v>70</v>
      </c>
      <c r="L57" s="46"/>
    </row>
    <row r="58" spans="1:13" s="14" customFormat="1" ht="37.5" customHeight="1" x14ac:dyDescent="0.25">
      <c r="A58" s="81" t="s">
        <v>78</v>
      </c>
      <c r="B58" s="69"/>
      <c r="C58" s="69"/>
      <c r="D58" s="69"/>
      <c r="E58" s="70"/>
      <c r="F58" s="1" t="s">
        <v>17</v>
      </c>
      <c r="G58" s="1">
        <v>11</v>
      </c>
      <c r="H58" s="1">
        <v>28854.55</v>
      </c>
      <c r="I58" s="1">
        <f>238000*13.7%</f>
        <v>32605.999999999996</v>
      </c>
      <c r="J58" s="1">
        <f>J53</f>
        <v>27531</v>
      </c>
      <c r="K58" s="1">
        <f t="shared" ref="K58" si="4">I58/J58</f>
        <v>1.1843376557335366</v>
      </c>
      <c r="L58" s="42"/>
    </row>
    <row r="59" spans="1:13" s="14" customFormat="1" ht="18.75" customHeight="1" x14ac:dyDescent="0.25">
      <c r="A59" s="78" t="s">
        <v>46</v>
      </c>
      <c r="B59" s="79"/>
      <c r="C59" s="79"/>
      <c r="D59" s="79"/>
      <c r="E59" s="80"/>
      <c r="F59" s="1" t="s">
        <v>17</v>
      </c>
      <c r="G59" s="1">
        <v>12</v>
      </c>
      <c r="H59" s="1">
        <v>3750</v>
      </c>
      <c r="I59" s="1">
        <f>45000*13.7%</f>
        <v>6164.9999999999991</v>
      </c>
      <c r="J59" s="1">
        <f>J51</f>
        <v>27531</v>
      </c>
      <c r="K59" s="1">
        <f>I59/J59</f>
        <v>0.22392938868911405</v>
      </c>
      <c r="L59" s="42"/>
    </row>
    <row r="60" spans="1:13" s="14" customFormat="1" ht="29.25" customHeight="1" x14ac:dyDescent="0.25">
      <c r="A60" s="81" t="s">
        <v>108</v>
      </c>
      <c r="B60" s="105"/>
      <c r="C60" s="105"/>
      <c r="D60" s="105"/>
      <c r="E60" s="106"/>
      <c r="F60" s="1" t="s">
        <v>17</v>
      </c>
      <c r="G60" s="1"/>
      <c r="H60" s="1"/>
      <c r="I60" s="1">
        <f>54000*13.7%</f>
        <v>7397.9999999999991</v>
      </c>
      <c r="J60" s="1">
        <f t="shared" ref="J60:J62" si="5">J52</f>
        <v>27531</v>
      </c>
      <c r="K60" s="1">
        <f t="shared" ref="K60:K61" si="6">I60/J60</f>
        <v>0.26871526642693688</v>
      </c>
      <c r="L60" s="42"/>
    </row>
    <row r="61" spans="1:13" s="14" customFormat="1" ht="18.75" customHeight="1" x14ac:dyDescent="0.25">
      <c r="A61" s="78" t="s">
        <v>109</v>
      </c>
      <c r="B61" s="107"/>
      <c r="C61" s="107"/>
      <c r="D61" s="107"/>
      <c r="E61" s="108"/>
      <c r="F61" s="1" t="s">
        <v>17</v>
      </c>
      <c r="G61" s="1">
        <v>12</v>
      </c>
      <c r="H61" s="1">
        <v>1333.33</v>
      </c>
      <c r="I61" s="1">
        <f>16000*13.7%</f>
        <v>2191.9999999999995</v>
      </c>
      <c r="J61" s="1">
        <f t="shared" si="5"/>
        <v>27531</v>
      </c>
      <c r="K61" s="1">
        <f t="shared" si="6"/>
        <v>7.9619338200573889E-2</v>
      </c>
      <c r="L61" s="42"/>
    </row>
    <row r="62" spans="1:13" s="14" customFormat="1" ht="18.75" customHeight="1" x14ac:dyDescent="0.25">
      <c r="A62" s="78" t="s">
        <v>110</v>
      </c>
      <c r="B62" s="107"/>
      <c r="C62" s="107"/>
      <c r="D62" s="107"/>
      <c r="E62" s="108"/>
      <c r="F62" s="1" t="s">
        <v>17</v>
      </c>
      <c r="G62" s="1"/>
      <c r="H62" s="1"/>
      <c r="I62" s="1">
        <f>26000*13.7%</f>
        <v>3561.9999999999995</v>
      </c>
      <c r="J62" s="1">
        <f t="shared" si="5"/>
        <v>27531</v>
      </c>
      <c r="K62" s="1">
        <f>I62/J62</f>
        <v>0.12938142457593257</v>
      </c>
      <c r="L62" s="42"/>
    </row>
    <row r="63" spans="1:13" s="14" customFormat="1" ht="18.75" customHeight="1" x14ac:dyDescent="0.25">
      <c r="A63" s="71" t="s">
        <v>111</v>
      </c>
      <c r="B63" s="71"/>
      <c r="C63" s="71"/>
      <c r="D63" s="71"/>
      <c r="E63" s="71"/>
      <c r="F63" s="1" t="s">
        <v>17</v>
      </c>
      <c r="G63" s="1"/>
      <c r="H63" s="1"/>
      <c r="I63" s="1">
        <f>180000*13.7%</f>
        <v>24659.999999999996</v>
      </c>
      <c r="J63" s="1">
        <f>J59</f>
        <v>27531</v>
      </c>
      <c r="K63" s="1">
        <f t="shared" ref="K63" si="7">I63/J63</f>
        <v>0.8957175547564562</v>
      </c>
      <c r="L63" s="42"/>
    </row>
    <row r="64" spans="1:13" s="14" customFormat="1" x14ac:dyDescent="0.25">
      <c r="A64" s="83" t="s">
        <v>79</v>
      </c>
      <c r="B64" s="84"/>
      <c r="C64" s="84"/>
      <c r="D64" s="84"/>
      <c r="E64" s="84"/>
      <c r="F64" s="84"/>
      <c r="G64" s="84"/>
      <c r="H64" s="84"/>
      <c r="I64" s="10">
        <f>SUM(I58:I63)</f>
        <v>76582.999999999985</v>
      </c>
      <c r="J64" s="40">
        <f>J60</f>
        <v>27531</v>
      </c>
      <c r="K64" s="10">
        <f>SUM(K58:K63)</f>
        <v>2.7817006283825503</v>
      </c>
      <c r="L64" s="42"/>
      <c r="M64" s="16">
        <f>I64+'Работа №1'!I64+'Работа №2'!I69</f>
        <v>559000</v>
      </c>
    </row>
    <row r="65" spans="1:13" s="14" customFormat="1" x14ac:dyDescent="0.25">
      <c r="A65" s="47"/>
      <c r="B65" s="47"/>
      <c r="C65" s="47"/>
      <c r="D65" s="47"/>
      <c r="E65" s="47"/>
      <c r="F65" s="47"/>
      <c r="G65" s="47"/>
      <c r="H65" s="47"/>
      <c r="I65" s="11"/>
      <c r="J65" s="11"/>
      <c r="K65" s="11"/>
      <c r="L65" s="42"/>
    </row>
    <row r="66" spans="1:13" s="14" customFormat="1" x14ac:dyDescent="0.25">
      <c r="A66" s="86" t="s">
        <v>80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</row>
    <row r="67" spans="1:13" s="14" customFormat="1" ht="60" customHeight="1" x14ac:dyDescent="0.25">
      <c r="A67" s="72" t="s">
        <v>19</v>
      </c>
      <c r="B67" s="73"/>
      <c r="C67" s="73"/>
      <c r="D67" s="73"/>
      <c r="E67" s="74"/>
      <c r="F67" s="28" t="s">
        <v>6</v>
      </c>
      <c r="G67" s="28" t="s">
        <v>58</v>
      </c>
      <c r="H67" s="28" t="s">
        <v>59</v>
      </c>
      <c r="I67" s="28" t="s">
        <v>74</v>
      </c>
      <c r="J67" s="48" t="s">
        <v>69</v>
      </c>
      <c r="K67" s="29" t="s">
        <v>70</v>
      </c>
      <c r="L67" s="46"/>
      <c r="M67" s="46"/>
    </row>
    <row r="68" spans="1:13" s="14" customFormat="1" ht="36.75" customHeight="1" x14ac:dyDescent="0.25">
      <c r="A68" s="78" t="s">
        <v>20</v>
      </c>
      <c r="B68" s="79"/>
      <c r="C68" s="79"/>
      <c r="D68" s="79"/>
      <c r="E68" s="80"/>
      <c r="F68" s="49" t="s">
        <v>21</v>
      </c>
      <c r="G68" s="1">
        <v>12</v>
      </c>
      <c r="H68" s="1">
        <v>400</v>
      </c>
      <c r="I68" s="1">
        <f>38400*13.7%</f>
        <v>5260.7999999999993</v>
      </c>
      <c r="J68" s="36">
        <f>J63</f>
        <v>27531</v>
      </c>
      <c r="K68" s="1">
        <f>I68/J68</f>
        <v>0.19108641168137733</v>
      </c>
      <c r="L68" s="42"/>
      <c r="M68" s="42"/>
    </row>
    <row r="69" spans="1:13" s="14" customFormat="1" ht="36.75" customHeight="1" x14ac:dyDescent="0.25">
      <c r="A69" s="78" t="s">
        <v>95</v>
      </c>
      <c r="B69" s="79"/>
      <c r="C69" s="79"/>
      <c r="D69" s="79"/>
      <c r="E69" s="80"/>
      <c r="F69" s="49" t="s">
        <v>24</v>
      </c>
      <c r="G69" s="1"/>
      <c r="H69" s="1"/>
      <c r="I69" s="1">
        <f>11000*13.7%</f>
        <v>1506.9999999999998</v>
      </c>
      <c r="J69" s="36">
        <f>J68</f>
        <v>27531</v>
      </c>
      <c r="K69" s="1">
        <f>I69/J69</f>
        <v>5.4738295012894546E-2</v>
      </c>
      <c r="L69" s="42"/>
      <c r="M69" s="42"/>
    </row>
    <row r="70" spans="1:13" s="14" customFormat="1" ht="30" x14ac:dyDescent="0.25">
      <c r="A70" s="78" t="s">
        <v>81</v>
      </c>
      <c r="B70" s="79"/>
      <c r="C70" s="79"/>
      <c r="D70" s="79"/>
      <c r="E70" s="80"/>
      <c r="F70" s="49" t="s">
        <v>82</v>
      </c>
      <c r="G70" s="1">
        <v>0.96460000000000001</v>
      </c>
      <c r="H70" s="1">
        <v>1500</v>
      </c>
      <c r="I70" s="1">
        <f>126000*13.7%</f>
        <v>17261.999999999996</v>
      </c>
      <c r="J70" s="36">
        <f>J68</f>
        <v>27531</v>
      </c>
      <c r="K70" s="1">
        <f>I70/J70</f>
        <v>0.62700228832951932</v>
      </c>
      <c r="L70" s="42"/>
      <c r="M70" s="42"/>
    </row>
    <row r="71" spans="1:13" s="14" customFormat="1" x14ac:dyDescent="0.25">
      <c r="A71" s="83" t="s">
        <v>22</v>
      </c>
      <c r="B71" s="84"/>
      <c r="C71" s="84"/>
      <c r="D71" s="84"/>
      <c r="E71" s="84"/>
      <c r="F71" s="84"/>
      <c r="G71" s="84"/>
      <c r="H71" s="85"/>
      <c r="I71" s="10">
        <f>SUM(I68:I70)</f>
        <v>24029.799999999996</v>
      </c>
      <c r="J71" s="10"/>
      <c r="K71" s="10">
        <f>I71/J68</f>
        <v>0.87282699502379124</v>
      </c>
      <c r="L71" s="11"/>
      <c r="M71" s="50">
        <f>I71+'Работа №1'!I71+'Работа №2'!I76</f>
        <v>175400</v>
      </c>
    </row>
    <row r="72" spans="1:13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3" x14ac:dyDescent="0.25">
      <c r="A73" s="14"/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</row>
    <row r="74" spans="1:13" x14ac:dyDescent="0.25">
      <c r="A74" s="86" t="s">
        <v>39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</row>
    <row r="75" spans="1:13" ht="11.25" customHeight="1" x14ac:dyDescent="0.25">
      <c r="A75" s="14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  <c r="M75" s="14"/>
    </row>
    <row r="76" spans="1:13" ht="75" x14ac:dyDescent="0.25">
      <c r="A76" s="72" t="s">
        <v>4</v>
      </c>
      <c r="B76" s="73"/>
      <c r="C76" s="73"/>
      <c r="D76" s="73"/>
      <c r="E76" s="74"/>
      <c r="F76" s="28" t="s">
        <v>5</v>
      </c>
      <c r="G76" s="28" t="s">
        <v>1</v>
      </c>
      <c r="H76" s="28" t="s">
        <v>67</v>
      </c>
      <c r="I76" s="28" t="s">
        <v>68</v>
      </c>
      <c r="J76" s="28" t="s">
        <v>69</v>
      </c>
      <c r="K76" s="29" t="s">
        <v>70</v>
      </c>
      <c r="L76" s="46"/>
      <c r="M76" s="14"/>
    </row>
    <row r="77" spans="1:13" hidden="1" x14ac:dyDescent="0.25">
      <c r="A77" s="71" t="s">
        <v>41</v>
      </c>
      <c r="B77" s="71"/>
      <c r="C77" s="71"/>
      <c r="D77" s="71"/>
      <c r="E77" s="71"/>
      <c r="F77" s="51">
        <f>I77/G77/12</f>
        <v>25730.891846153845</v>
      </c>
      <c r="G77" s="1">
        <v>0.13</v>
      </c>
      <c r="H77" s="3">
        <f>F77*G77*12</f>
        <v>40140.191279999999</v>
      </c>
      <c r="I77" s="1">
        <f>(30829.64*1.302)</f>
        <v>40140.191279999999</v>
      </c>
      <c r="J77" s="1">
        <f>J70</f>
        <v>27531</v>
      </c>
      <c r="K77" s="1">
        <f>I77/J77</f>
        <v>1.4579997559115179</v>
      </c>
      <c r="L77" s="42"/>
      <c r="M77" s="14"/>
    </row>
    <row r="78" spans="1:13" hidden="1" x14ac:dyDescent="0.25">
      <c r="A78" s="71" t="s">
        <v>47</v>
      </c>
      <c r="B78" s="71"/>
      <c r="C78" s="71"/>
      <c r="D78" s="71"/>
      <c r="E78" s="71"/>
      <c r="F78" s="51">
        <f>I78/G78/12</f>
        <v>22607.852884615382</v>
      </c>
      <c r="G78" s="1">
        <v>0.13</v>
      </c>
      <c r="H78" s="3">
        <f>F78*G78*12</f>
        <v>35268.250499999995</v>
      </c>
      <c r="I78" s="1">
        <f>(27087.75*1.302)</f>
        <v>35268.250500000002</v>
      </c>
      <c r="J78" s="1">
        <f>J77</f>
        <v>27531</v>
      </c>
      <c r="K78" s="1">
        <f>I78/J78</f>
        <v>1.281037757437071</v>
      </c>
      <c r="L78" s="42"/>
      <c r="M78" s="14"/>
    </row>
    <row r="79" spans="1:13" ht="32.25" customHeight="1" x14ac:dyDescent="0.25">
      <c r="A79" s="103" t="s">
        <v>23</v>
      </c>
      <c r="B79" s="104"/>
      <c r="C79" s="104"/>
      <c r="D79" s="104"/>
      <c r="E79" s="104"/>
      <c r="F79" s="31">
        <v>21425.14</v>
      </c>
      <c r="G79" s="31">
        <f>L23</f>
        <v>0.28000000000000003</v>
      </c>
      <c r="H79" s="52">
        <f>F79*G79*12</f>
        <v>71988.470400000006</v>
      </c>
      <c r="I79" s="2">
        <f>(H79*1.302)</f>
        <v>93728.988460800014</v>
      </c>
      <c r="J79" s="2">
        <f>J70</f>
        <v>27531</v>
      </c>
      <c r="K79" s="2">
        <f>I79/J70</f>
        <v>3.4044890654462248</v>
      </c>
      <c r="L79" s="42"/>
      <c r="M79" s="14">
        <f>I79+'Работа №1'!I78+'Работа №2'!I83</f>
        <v>684155.89872000006</v>
      </c>
    </row>
    <row r="80" spans="1:13" x14ac:dyDescent="0.25">
      <c r="A80" s="47"/>
      <c r="B80" s="47"/>
      <c r="C80" s="47"/>
      <c r="D80" s="47"/>
      <c r="E80" s="47"/>
      <c r="F80" s="14"/>
      <c r="G80" s="14"/>
      <c r="H80" s="14"/>
      <c r="I80" s="14"/>
      <c r="J80" s="14"/>
      <c r="K80" s="14"/>
      <c r="L80" s="14"/>
      <c r="M80" s="14"/>
    </row>
    <row r="81" spans="1:13" x14ac:dyDescent="0.25">
      <c r="A81" s="87" t="s">
        <v>112</v>
      </c>
      <c r="B81" s="87"/>
      <c r="C81" s="87"/>
      <c r="D81" s="87"/>
      <c r="E81" s="87"/>
      <c r="F81" s="87"/>
      <c r="G81" s="87"/>
      <c r="H81" s="87"/>
      <c r="I81" s="87"/>
      <c r="J81" s="87"/>
      <c r="K81" s="87"/>
      <c r="L81" s="102"/>
      <c r="M81" s="14"/>
    </row>
    <row r="82" spans="1:13" ht="45" x14ac:dyDescent="0.25">
      <c r="A82" s="88" t="s">
        <v>18</v>
      </c>
      <c r="B82" s="88"/>
      <c r="C82" s="88"/>
      <c r="D82" s="88"/>
      <c r="E82" s="88"/>
      <c r="F82" s="28" t="s">
        <v>6</v>
      </c>
      <c r="G82" s="28" t="s">
        <v>58</v>
      </c>
      <c r="H82" s="28" t="s">
        <v>59</v>
      </c>
      <c r="I82" s="28" t="s">
        <v>74</v>
      </c>
      <c r="J82" s="28" t="s">
        <v>69</v>
      </c>
      <c r="K82" s="34" t="s">
        <v>70</v>
      </c>
      <c r="L82" s="35"/>
      <c r="M82" s="14"/>
    </row>
    <row r="83" spans="1:13" ht="37.5" customHeight="1" x14ac:dyDescent="0.25">
      <c r="A83" s="81" t="s">
        <v>113</v>
      </c>
      <c r="B83" s="69"/>
      <c r="C83" s="69"/>
      <c r="D83" s="69"/>
      <c r="E83" s="70"/>
      <c r="F83" s="1"/>
      <c r="G83" s="1">
        <v>12</v>
      </c>
      <c r="H83" s="53"/>
      <c r="I83" s="3">
        <f>720*13.7%</f>
        <v>98.639999999999986</v>
      </c>
      <c r="J83" s="1">
        <v>27531</v>
      </c>
      <c r="K83" s="36">
        <f>I83/J83</f>
        <v>3.582870219025825E-3</v>
      </c>
      <c r="L83" s="37"/>
      <c r="M83" s="14"/>
    </row>
    <row r="84" spans="1:13" x14ac:dyDescent="0.25">
      <c r="A84" s="83" t="s">
        <v>114</v>
      </c>
      <c r="B84" s="84"/>
      <c r="C84" s="84"/>
      <c r="D84" s="84"/>
      <c r="E84" s="84"/>
      <c r="F84" s="84"/>
      <c r="G84" s="84"/>
      <c r="H84" s="84"/>
      <c r="I84" s="10">
        <f>SUM(I83:I83)</f>
        <v>98.639999999999986</v>
      </c>
      <c r="J84" s="40">
        <v>27531</v>
      </c>
      <c r="K84" s="10">
        <f>I84/J83</f>
        <v>3.582870219025825E-3</v>
      </c>
      <c r="L84" s="37"/>
      <c r="M84" s="16">
        <f>I84+'Работа №1'!I83+'Работа №2'!I88</f>
        <v>719.99999999999989</v>
      </c>
    </row>
    <row r="85" spans="1:13" x14ac:dyDescent="0.25">
      <c r="A85" s="54"/>
      <c r="B85" s="54"/>
      <c r="C85" s="54"/>
      <c r="D85" s="54"/>
      <c r="E85" s="54"/>
      <c r="F85" s="54"/>
      <c r="G85" s="54"/>
      <c r="H85" s="54"/>
      <c r="I85" s="17"/>
      <c r="J85" s="17"/>
      <c r="K85" s="17"/>
      <c r="L85" s="42"/>
      <c r="M85" s="14"/>
    </row>
    <row r="86" spans="1:13" x14ac:dyDescent="0.25">
      <c r="A86" s="87" t="s">
        <v>115</v>
      </c>
      <c r="B86" s="87"/>
      <c r="C86" s="87"/>
      <c r="D86" s="87"/>
      <c r="E86" s="87"/>
      <c r="F86" s="87"/>
      <c r="G86" s="87"/>
      <c r="H86" s="87"/>
      <c r="I86" s="87"/>
      <c r="J86" s="87"/>
      <c r="K86" s="87"/>
      <c r="L86" s="102"/>
      <c r="M86" s="14"/>
    </row>
    <row r="87" spans="1:13" ht="45" x14ac:dyDescent="0.25">
      <c r="A87" s="88" t="s">
        <v>18</v>
      </c>
      <c r="B87" s="88"/>
      <c r="C87" s="88"/>
      <c r="D87" s="88"/>
      <c r="E87" s="88"/>
      <c r="F87" s="28" t="s">
        <v>6</v>
      </c>
      <c r="G87" s="28" t="s">
        <v>58</v>
      </c>
      <c r="H87" s="28" t="s">
        <v>59</v>
      </c>
      <c r="I87" s="28" t="s">
        <v>74</v>
      </c>
      <c r="J87" s="28" t="s">
        <v>69</v>
      </c>
      <c r="K87" s="34" t="s">
        <v>70</v>
      </c>
      <c r="L87" s="35"/>
      <c r="M87" s="14"/>
    </row>
    <row r="88" spans="1:13" ht="30" customHeight="1" x14ac:dyDescent="0.25">
      <c r="A88" s="81" t="s">
        <v>117</v>
      </c>
      <c r="B88" s="69"/>
      <c r="C88" s="69"/>
      <c r="D88" s="69"/>
      <c r="E88" s="70"/>
      <c r="F88" s="1" t="s">
        <v>24</v>
      </c>
      <c r="G88" s="1"/>
      <c r="H88" s="53"/>
      <c r="I88" s="3">
        <f>40000*13.7%</f>
        <v>5479.9999999999991</v>
      </c>
      <c r="J88" s="1">
        <v>27531</v>
      </c>
      <c r="K88" s="36">
        <f>I88/J88</f>
        <v>0.19904834550143471</v>
      </c>
      <c r="L88" s="37"/>
      <c r="M88" s="14"/>
    </row>
    <row r="89" spans="1:13" x14ac:dyDescent="0.25">
      <c r="A89" s="71" t="s">
        <v>118</v>
      </c>
      <c r="B89" s="71"/>
      <c r="C89" s="71"/>
      <c r="D89" s="71"/>
      <c r="E89" s="71"/>
      <c r="F89" s="1" t="s">
        <v>24</v>
      </c>
      <c r="G89" s="1"/>
      <c r="H89" s="53"/>
      <c r="I89" s="3">
        <f>5419*13.7%</f>
        <v>742.40299999999991</v>
      </c>
      <c r="J89" s="1">
        <v>27531</v>
      </c>
      <c r="K89" s="36">
        <f>I89/J89</f>
        <v>2.6966074606806868E-2</v>
      </c>
      <c r="L89" s="37"/>
      <c r="M89" s="14"/>
    </row>
    <row r="90" spans="1:13" x14ac:dyDescent="0.25">
      <c r="A90" s="83" t="s">
        <v>116</v>
      </c>
      <c r="B90" s="84"/>
      <c r="C90" s="84"/>
      <c r="D90" s="84"/>
      <c r="E90" s="84"/>
      <c r="F90" s="84"/>
      <c r="G90" s="84"/>
      <c r="H90" s="84"/>
      <c r="I90" s="10">
        <f>SUM(I88:I89)</f>
        <v>6222.4029999999993</v>
      </c>
      <c r="J90" s="10">
        <v>27531</v>
      </c>
      <c r="K90" s="10">
        <f>I90/J88</f>
        <v>0.2260144201082416</v>
      </c>
      <c r="L90" s="37"/>
      <c r="M90" s="16">
        <f>I90+'Работа №1'!I89+'Работа №2'!I94</f>
        <v>45419</v>
      </c>
    </row>
    <row r="91" spans="1:13" x14ac:dyDescent="0.25">
      <c r="A91" s="54"/>
      <c r="B91" s="54"/>
      <c r="C91" s="54"/>
      <c r="D91" s="54"/>
      <c r="E91" s="54"/>
      <c r="F91" s="54"/>
      <c r="G91" s="54"/>
      <c r="H91" s="54"/>
      <c r="I91" s="17"/>
      <c r="J91" s="17"/>
      <c r="K91" s="17"/>
      <c r="L91" s="42"/>
      <c r="M91" s="14"/>
    </row>
    <row r="92" spans="1:13" x14ac:dyDescent="0.25">
      <c r="A92" s="87" t="s">
        <v>119</v>
      </c>
      <c r="B92" s="87"/>
      <c r="C92" s="87"/>
      <c r="D92" s="87"/>
      <c r="E92" s="87"/>
      <c r="F92" s="87"/>
      <c r="G92" s="87"/>
      <c r="H92" s="87"/>
      <c r="I92" s="87"/>
      <c r="J92" s="87"/>
      <c r="K92" s="87"/>
      <c r="L92" s="102"/>
      <c r="M92" s="14"/>
    </row>
    <row r="93" spans="1:13" ht="45" x14ac:dyDescent="0.25">
      <c r="A93" s="88" t="s">
        <v>18</v>
      </c>
      <c r="B93" s="88"/>
      <c r="C93" s="88"/>
      <c r="D93" s="88"/>
      <c r="E93" s="88"/>
      <c r="F93" s="28" t="s">
        <v>6</v>
      </c>
      <c r="G93" s="28" t="s">
        <v>58</v>
      </c>
      <c r="H93" s="28" t="s">
        <v>59</v>
      </c>
      <c r="I93" s="28" t="s">
        <v>74</v>
      </c>
      <c r="J93" s="28" t="s">
        <v>69</v>
      </c>
      <c r="K93" s="34" t="s">
        <v>70</v>
      </c>
      <c r="L93" s="35"/>
      <c r="M93" s="14"/>
    </row>
    <row r="94" spans="1:13" ht="37.5" customHeight="1" x14ac:dyDescent="0.25">
      <c r="A94" s="81" t="s">
        <v>121</v>
      </c>
      <c r="B94" s="69"/>
      <c r="C94" s="69"/>
      <c r="D94" s="69"/>
      <c r="E94" s="70"/>
      <c r="F94" s="1"/>
      <c r="G94" s="1"/>
      <c r="H94" s="53"/>
      <c r="I94" s="3">
        <f>48125*13.7%</f>
        <v>6593.1249999999991</v>
      </c>
      <c r="J94" s="1">
        <v>27531</v>
      </c>
      <c r="K94" s="36">
        <f>I94/J94</f>
        <v>0.23948004068141365</v>
      </c>
      <c r="L94" s="37"/>
      <c r="M94" s="14"/>
    </row>
    <row r="95" spans="1:13" x14ac:dyDescent="0.25">
      <c r="A95" s="83" t="s">
        <v>120</v>
      </c>
      <c r="B95" s="84"/>
      <c r="C95" s="84"/>
      <c r="D95" s="84"/>
      <c r="E95" s="84"/>
      <c r="F95" s="84"/>
      <c r="G95" s="84"/>
      <c r="H95" s="84"/>
      <c r="I95" s="10">
        <f>SUM(I94:I94)</f>
        <v>6593.1249999999991</v>
      </c>
      <c r="J95" s="40">
        <v>27531</v>
      </c>
      <c r="K95" s="10">
        <f>I95/J94</f>
        <v>0.23948004068141365</v>
      </c>
      <c r="L95" s="37"/>
      <c r="M95" s="16">
        <f>I95+'Работа №1'!I94+'Работа №2'!I99</f>
        <v>48125</v>
      </c>
    </row>
    <row r="96" spans="1:13" x14ac:dyDescent="0.25">
      <c r="A96" s="54"/>
      <c r="B96" s="54"/>
      <c r="C96" s="54"/>
      <c r="D96" s="54"/>
      <c r="E96" s="54"/>
      <c r="F96" s="54"/>
      <c r="G96" s="54"/>
      <c r="H96" s="54"/>
      <c r="I96" s="17"/>
      <c r="J96" s="55"/>
      <c r="K96" s="17"/>
      <c r="L96" s="42"/>
      <c r="M96" s="16"/>
    </row>
    <row r="97" spans="1:13" x14ac:dyDescent="0.25">
      <c r="A97" s="87" t="s">
        <v>122</v>
      </c>
      <c r="B97" s="87"/>
      <c r="C97" s="87"/>
      <c r="D97" s="87"/>
      <c r="E97" s="87"/>
      <c r="F97" s="87"/>
      <c r="G97" s="87"/>
      <c r="H97" s="87"/>
      <c r="I97" s="87"/>
      <c r="J97" s="87"/>
      <c r="K97" s="87"/>
      <c r="L97" s="102"/>
      <c r="M97" s="14"/>
    </row>
    <row r="98" spans="1:13" ht="45" x14ac:dyDescent="0.25">
      <c r="A98" s="88" t="s">
        <v>18</v>
      </c>
      <c r="B98" s="88"/>
      <c r="C98" s="88"/>
      <c r="D98" s="88"/>
      <c r="E98" s="88"/>
      <c r="F98" s="28" t="s">
        <v>6</v>
      </c>
      <c r="G98" s="28" t="s">
        <v>58</v>
      </c>
      <c r="H98" s="28" t="s">
        <v>59</v>
      </c>
      <c r="I98" s="28" t="s">
        <v>74</v>
      </c>
      <c r="J98" s="28" t="s">
        <v>69</v>
      </c>
      <c r="K98" s="34" t="s">
        <v>70</v>
      </c>
      <c r="L98" s="35"/>
      <c r="M98" s="14"/>
    </row>
    <row r="99" spans="1:13" ht="37.5" customHeight="1" x14ac:dyDescent="0.25">
      <c r="A99" s="81" t="s">
        <v>93</v>
      </c>
      <c r="B99" s="69"/>
      <c r="C99" s="69"/>
      <c r="D99" s="69"/>
      <c r="E99" s="70"/>
      <c r="F99" s="1"/>
      <c r="G99" s="1"/>
      <c r="H99" s="53"/>
      <c r="I99" s="3">
        <f>200000*13.7%</f>
        <v>27399.999999999996</v>
      </c>
      <c r="J99" s="1">
        <v>27531</v>
      </c>
      <c r="K99" s="36">
        <f>I99/J99</f>
        <v>0.99524172750717355</v>
      </c>
      <c r="L99" s="37"/>
      <c r="M99" s="14"/>
    </row>
    <row r="100" spans="1:13" x14ac:dyDescent="0.25">
      <c r="A100" s="83" t="s">
        <v>120</v>
      </c>
      <c r="B100" s="84"/>
      <c r="C100" s="84"/>
      <c r="D100" s="84"/>
      <c r="E100" s="84"/>
      <c r="F100" s="84"/>
      <c r="G100" s="84"/>
      <c r="H100" s="84"/>
      <c r="I100" s="2">
        <f>200000*13.7%</f>
        <v>27399.999999999996</v>
      </c>
      <c r="J100" s="40">
        <v>27531</v>
      </c>
      <c r="K100" s="10">
        <f>I100/J99</f>
        <v>0.99524172750717355</v>
      </c>
      <c r="L100" s="37"/>
      <c r="M100" s="16">
        <f>I100+'Работа №1'!I99+'Работа №2'!I104</f>
        <v>200000</v>
      </c>
    </row>
    <row r="101" spans="1:13" x14ac:dyDescent="0.25">
      <c r="A101" s="54"/>
      <c r="B101" s="54"/>
      <c r="C101" s="54"/>
      <c r="D101" s="54"/>
      <c r="E101" s="54"/>
      <c r="F101" s="54"/>
      <c r="G101" s="54"/>
      <c r="H101" s="54"/>
      <c r="I101" s="17"/>
      <c r="J101" s="55"/>
      <c r="K101" s="17"/>
      <c r="L101" s="42"/>
      <c r="M101" s="16"/>
    </row>
    <row r="102" spans="1:13" ht="12.75" customHeight="1" x14ac:dyDescent="0.25">
      <c r="A102" s="87" t="s">
        <v>83</v>
      </c>
      <c r="B102" s="87"/>
      <c r="C102" s="87"/>
      <c r="D102" s="87"/>
      <c r="E102" s="87"/>
      <c r="F102" s="87"/>
      <c r="G102" s="87"/>
      <c r="H102" s="87"/>
      <c r="I102" s="87"/>
      <c r="J102" s="87"/>
      <c r="K102" s="87"/>
      <c r="L102" s="102"/>
      <c r="M102" s="14"/>
    </row>
    <row r="103" spans="1:13" ht="45" x14ac:dyDescent="0.25">
      <c r="A103" s="88" t="s">
        <v>85</v>
      </c>
      <c r="B103" s="88"/>
      <c r="C103" s="88"/>
      <c r="D103" s="88"/>
      <c r="E103" s="88"/>
      <c r="F103" s="28" t="s">
        <v>6</v>
      </c>
      <c r="G103" s="28" t="s">
        <v>58</v>
      </c>
      <c r="H103" s="28" t="s">
        <v>59</v>
      </c>
      <c r="I103" s="28" t="s">
        <v>74</v>
      </c>
      <c r="J103" s="28" t="s">
        <v>69</v>
      </c>
      <c r="K103" s="34" t="s">
        <v>70</v>
      </c>
      <c r="L103" s="35"/>
      <c r="M103" s="14"/>
    </row>
    <row r="104" spans="1:13" ht="30" customHeight="1" x14ac:dyDescent="0.25">
      <c r="A104" s="81" t="s">
        <v>96</v>
      </c>
      <c r="B104" s="69"/>
      <c r="C104" s="69"/>
      <c r="D104" s="69"/>
      <c r="E104" s="70"/>
      <c r="F104" s="1" t="s">
        <v>24</v>
      </c>
      <c r="G104" s="1"/>
      <c r="H104" s="53"/>
      <c r="I104" s="3">
        <f>4000*13.7%</f>
        <v>547.99999999999989</v>
      </c>
      <c r="J104" s="1">
        <f>J78</f>
        <v>27531</v>
      </c>
      <c r="K104" s="36">
        <f>I104/J104</f>
        <v>1.9904834550143472E-2</v>
      </c>
      <c r="L104" s="37"/>
      <c r="M104" s="14"/>
    </row>
    <row r="105" spans="1:13" ht="33" customHeight="1" x14ac:dyDescent="0.25">
      <c r="A105" s="82" t="s">
        <v>123</v>
      </c>
      <c r="B105" s="82"/>
      <c r="C105" s="82"/>
      <c r="D105" s="82"/>
      <c r="E105" s="82"/>
      <c r="F105" s="1" t="s">
        <v>24</v>
      </c>
      <c r="G105" s="1"/>
      <c r="H105" s="53"/>
      <c r="I105" s="3">
        <f>6000*13.7%</f>
        <v>821.99999999999989</v>
      </c>
      <c r="J105" s="1">
        <f>J104</f>
        <v>27531</v>
      </c>
      <c r="K105" s="36">
        <f>I105/J105</f>
        <v>2.9857251825215207E-2</v>
      </c>
      <c r="L105" s="37"/>
      <c r="M105" s="14"/>
    </row>
    <row r="106" spans="1:13" x14ac:dyDescent="0.25">
      <c r="A106" s="83" t="s">
        <v>84</v>
      </c>
      <c r="B106" s="84"/>
      <c r="C106" s="84"/>
      <c r="D106" s="84"/>
      <c r="E106" s="84"/>
      <c r="F106" s="84"/>
      <c r="G106" s="84"/>
      <c r="H106" s="84"/>
      <c r="I106" s="10">
        <f>SUM(I104:I105)</f>
        <v>1369.9999999999998</v>
      </c>
      <c r="J106" s="10"/>
      <c r="K106" s="10">
        <f>I106/J104</f>
        <v>4.9762086375358679E-2</v>
      </c>
      <c r="L106" s="37"/>
      <c r="M106" s="16">
        <f>I106+'Работа №1'!I104+'Работа №2'!I110</f>
        <v>10000</v>
      </c>
    </row>
    <row r="107" spans="1:13" x14ac:dyDescent="0.25">
      <c r="A107" s="45"/>
      <c r="B107" s="45"/>
      <c r="C107" s="45"/>
      <c r="D107" s="45"/>
      <c r="E107" s="45"/>
      <c r="F107" s="45"/>
      <c r="G107" s="45"/>
      <c r="H107" s="47"/>
      <c r="I107" s="47"/>
      <c r="J107" s="47"/>
      <c r="K107" s="47"/>
      <c r="L107" s="42"/>
      <c r="M107" s="14"/>
    </row>
    <row r="108" spans="1:13" x14ac:dyDescent="0.25">
      <c r="A108" s="87" t="s">
        <v>25</v>
      </c>
      <c r="B108" s="87"/>
      <c r="C108" s="87"/>
      <c r="D108" s="87"/>
      <c r="E108" s="87"/>
      <c r="F108" s="87"/>
      <c r="G108" s="87"/>
      <c r="H108" s="87"/>
      <c r="I108" s="87"/>
      <c r="J108" s="87"/>
      <c r="K108" s="87"/>
      <c r="L108" s="87"/>
      <c r="M108" s="14"/>
    </row>
    <row r="109" spans="1:13" x14ac:dyDescent="0.25">
      <c r="A109" s="75" t="s">
        <v>26</v>
      </c>
      <c r="B109" s="75"/>
      <c r="C109" s="75"/>
      <c r="D109" s="72" t="s">
        <v>27</v>
      </c>
      <c r="E109" s="73"/>
      <c r="F109" s="73"/>
      <c r="G109" s="73"/>
      <c r="H109" s="73"/>
      <c r="I109" s="73"/>
      <c r="J109" s="74"/>
      <c r="K109" s="75" t="s">
        <v>38</v>
      </c>
      <c r="L109" s="75"/>
      <c r="M109" s="14"/>
    </row>
    <row r="110" spans="1:13" ht="30" x14ac:dyDescent="0.25">
      <c r="A110" s="1" t="s">
        <v>28</v>
      </c>
      <c r="B110" s="30" t="s">
        <v>29</v>
      </c>
      <c r="C110" s="1" t="s">
        <v>30</v>
      </c>
      <c r="D110" s="1" t="s">
        <v>31</v>
      </c>
      <c r="E110" s="1" t="s">
        <v>32</v>
      </c>
      <c r="F110" s="1" t="s">
        <v>33</v>
      </c>
      <c r="G110" s="1" t="s">
        <v>34</v>
      </c>
      <c r="H110" s="1" t="s">
        <v>35</v>
      </c>
      <c r="I110" s="1" t="s">
        <v>36</v>
      </c>
      <c r="J110" s="1" t="s">
        <v>37</v>
      </c>
      <c r="K110" s="75"/>
      <c r="L110" s="75"/>
      <c r="M110" s="14"/>
    </row>
    <row r="111" spans="1:13" x14ac:dyDescent="0.25">
      <c r="A111" s="1">
        <f>K33</f>
        <v>77.184601738055278</v>
      </c>
      <c r="B111" s="1"/>
      <c r="C111" s="1"/>
      <c r="D111" s="1">
        <f>K42</f>
        <v>6.1817685292942492</v>
      </c>
      <c r="E111" s="1">
        <f>K54</f>
        <v>2.3055769859431186</v>
      </c>
      <c r="F111" s="1"/>
      <c r="G111" s="1">
        <f>K71</f>
        <v>0.87282699502379124</v>
      </c>
      <c r="H111" s="1">
        <f>K106</f>
        <v>4.9762086375358679E-2</v>
      </c>
      <c r="I111" s="1">
        <f>K79</f>
        <v>3.4044890654462248</v>
      </c>
      <c r="J111" s="1">
        <f>K64+K84+K90+K95+K100</f>
        <v>4.2460196868984053</v>
      </c>
      <c r="K111" s="76">
        <f>A111+D111+E111+G111+H111+J111+I111</f>
        <v>94.245045087036416</v>
      </c>
      <c r="L111" s="77"/>
      <c r="M111" s="14"/>
    </row>
    <row r="112" spans="1:13" ht="30" customHeight="1" x14ac:dyDescent="0.25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</row>
    <row r="113" spans="1:13" x14ac:dyDescent="0.25">
      <c r="A113" s="56" t="s">
        <v>48</v>
      </c>
      <c r="B113" s="9"/>
      <c r="C113" s="56"/>
      <c r="D113" s="56"/>
      <c r="E113" s="56"/>
      <c r="F113" s="56" t="s">
        <v>49</v>
      </c>
      <c r="G113" s="9"/>
      <c r="H113" s="9"/>
      <c r="I113" s="12">
        <f>I33+I42+I54+I64+I71+I84+I90+I95+I100+I106+I79</f>
        <v>2594660.3362911996</v>
      </c>
      <c r="J113" s="9"/>
      <c r="K113" s="12">
        <f>K111*J105</f>
        <v>2594660.3362911996</v>
      </c>
      <c r="L113" s="9"/>
      <c r="M113" s="9"/>
    </row>
    <row r="114" spans="1:13" x14ac:dyDescent="0.25">
      <c r="A114" s="57"/>
      <c r="B114" s="58"/>
      <c r="C114" s="59"/>
    </row>
    <row r="115" spans="1:13" x14ac:dyDescent="0.25">
      <c r="A115" s="60"/>
    </row>
    <row r="117" spans="1:13" x14ac:dyDescent="0.25">
      <c r="A117" s="56" t="s">
        <v>98</v>
      </c>
      <c r="B117" s="61"/>
      <c r="C117" s="9"/>
      <c r="D117" s="56"/>
      <c r="E117" s="56"/>
      <c r="F117" s="56"/>
      <c r="G117" s="9"/>
      <c r="H117" s="9"/>
      <c r="I117" s="9"/>
      <c r="J117" s="9"/>
      <c r="K117" s="9"/>
      <c r="L117" s="9"/>
      <c r="M117" s="9"/>
    </row>
    <row r="118" spans="1:13" x14ac:dyDescent="0.25">
      <c r="A118" s="56" t="s">
        <v>50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</row>
  </sheetData>
  <mergeCells count="104">
    <mergeCell ref="A89:E89"/>
    <mergeCell ref="A90:H90"/>
    <mergeCell ref="A92:L92"/>
    <mergeCell ref="A93:E93"/>
    <mergeCell ref="A58:E58"/>
    <mergeCell ref="A3:E3"/>
    <mergeCell ref="A5:E5"/>
    <mergeCell ref="A10:L10"/>
    <mergeCell ref="A57:E57"/>
    <mergeCell ref="A36:E36"/>
    <mergeCell ref="A46:E46"/>
    <mergeCell ref="A42:H42"/>
    <mergeCell ref="A37:E37"/>
    <mergeCell ref="A78:E78"/>
    <mergeCell ref="A67:E67"/>
    <mergeCell ref="A71:H71"/>
    <mergeCell ref="G17:K17"/>
    <mergeCell ref="G18:K18"/>
    <mergeCell ref="G22:K22"/>
    <mergeCell ref="G23:K23"/>
    <mergeCell ref="A35:L35"/>
    <mergeCell ref="A21:E21"/>
    <mergeCell ref="A33:E33"/>
    <mergeCell ref="A1:D1"/>
    <mergeCell ref="A6:C6"/>
    <mergeCell ref="A7:L7"/>
    <mergeCell ref="A8:L8"/>
    <mergeCell ref="A9:L9"/>
    <mergeCell ref="A2:F2"/>
    <mergeCell ref="A41:E41"/>
    <mergeCell ref="A52:E52"/>
    <mergeCell ref="A17:E17"/>
    <mergeCell ref="A18:E18"/>
    <mergeCell ref="A20:E20"/>
    <mergeCell ref="A22:E22"/>
    <mergeCell ref="G20:K20"/>
    <mergeCell ref="G21:K21"/>
    <mergeCell ref="A14:E14"/>
    <mergeCell ref="G14:K14"/>
    <mergeCell ref="A15:E15"/>
    <mergeCell ref="G15:K15"/>
    <mergeCell ref="A16:E16"/>
    <mergeCell ref="G16:K16"/>
    <mergeCell ref="A47:E47"/>
    <mergeCell ref="A48:E48"/>
    <mergeCell ref="A39:E39"/>
    <mergeCell ref="A44:L44"/>
    <mergeCell ref="A102:L102"/>
    <mergeCell ref="A69:E69"/>
    <mergeCell ref="A79:E79"/>
    <mergeCell ref="A59:E59"/>
    <mergeCell ref="A63:E63"/>
    <mergeCell ref="A64:H64"/>
    <mergeCell ref="A83:E83"/>
    <mergeCell ref="A84:H84"/>
    <mergeCell ref="A86:L86"/>
    <mergeCell ref="A87:E87"/>
    <mergeCell ref="A60:E60"/>
    <mergeCell ref="A61:E61"/>
    <mergeCell ref="A62:E62"/>
    <mergeCell ref="A81:L81"/>
    <mergeCell ref="A82:E82"/>
    <mergeCell ref="A100:H100"/>
    <mergeCell ref="A94:E94"/>
    <mergeCell ref="A95:H95"/>
    <mergeCell ref="A97:L97"/>
    <mergeCell ref="A98:E98"/>
    <mergeCell ref="A99:E99"/>
    <mergeCell ref="A68:E68"/>
    <mergeCell ref="A70:E70"/>
    <mergeCell ref="A88:E88"/>
    <mergeCell ref="A29:E29"/>
    <mergeCell ref="A30:E30"/>
    <mergeCell ref="A23:E23"/>
    <mergeCell ref="A28:E28"/>
    <mergeCell ref="A19:E19"/>
    <mergeCell ref="G19:K19"/>
    <mergeCell ref="A26:E26"/>
    <mergeCell ref="A27:E27"/>
    <mergeCell ref="A25:G25"/>
    <mergeCell ref="A31:E31"/>
    <mergeCell ref="A32:E32"/>
    <mergeCell ref="A38:E38"/>
    <mergeCell ref="A40:E40"/>
    <mergeCell ref="A45:E45"/>
    <mergeCell ref="K109:L110"/>
    <mergeCell ref="K111:L111"/>
    <mergeCell ref="A49:E49"/>
    <mergeCell ref="A76:E76"/>
    <mergeCell ref="A77:E77"/>
    <mergeCell ref="A104:E104"/>
    <mergeCell ref="A105:E105"/>
    <mergeCell ref="A106:H106"/>
    <mergeCell ref="A51:E51"/>
    <mergeCell ref="A50:E50"/>
    <mergeCell ref="A53:E53"/>
    <mergeCell ref="A54:H54"/>
    <mergeCell ref="A56:L56"/>
    <mergeCell ref="A74:M74"/>
    <mergeCell ref="A109:C109"/>
    <mergeCell ref="D109:J109"/>
    <mergeCell ref="A108:L108"/>
    <mergeCell ref="A103:E103"/>
    <mergeCell ref="A66:L66"/>
  </mergeCells>
  <pageMargins left="0.70866141732283472" right="0.70866141732283472" top="0.39370078740157483" bottom="0.39370078740157483" header="0.31496062992125984" footer="0.31496062992125984"/>
  <pageSetup paperSize="9" scale="86" fitToHeight="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16"/>
  <sheetViews>
    <sheetView topLeftCell="A96" zoomScale="80" zoomScaleNormal="80" workbookViewId="0">
      <selection activeCell="I34" sqref="I34"/>
    </sheetView>
  </sheetViews>
  <sheetFormatPr defaultRowHeight="15" x14ac:dyDescent="0.25"/>
  <cols>
    <col min="1" max="4" width="9.140625" style="5"/>
    <col min="5" max="5" width="9.570312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3.85546875" style="5" customWidth="1"/>
    <col min="11" max="11" width="14.42578125" style="5" customWidth="1"/>
    <col min="12" max="12" width="14" style="5" customWidth="1"/>
    <col min="13" max="13" width="13.28515625" style="5" customWidth="1"/>
    <col min="14" max="16384" width="9.140625" style="5"/>
  </cols>
  <sheetData>
    <row r="1" spans="1:15" ht="15.75" x14ac:dyDescent="0.25">
      <c r="A1" s="109" t="s">
        <v>51</v>
      </c>
      <c r="B1" s="109"/>
      <c r="C1" s="109"/>
      <c r="D1" s="109"/>
      <c r="E1" s="18"/>
      <c r="F1" s="18"/>
    </row>
    <row r="2" spans="1:15" ht="15.75" x14ac:dyDescent="0.25">
      <c r="A2" s="109" t="s">
        <v>52</v>
      </c>
      <c r="B2" s="109"/>
      <c r="C2" s="113"/>
      <c r="D2" s="113"/>
      <c r="E2" s="113"/>
      <c r="F2" s="113"/>
    </row>
    <row r="3" spans="1:15" ht="15.75" x14ac:dyDescent="0.25">
      <c r="A3" s="110" t="s">
        <v>53</v>
      </c>
      <c r="B3" s="110"/>
      <c r="C3" s="110"/>
      <c r="D3" s="113"/>
      <c r="E3" s="113"/>
      <c r="F3" s="18"/>
    </row>
    <row r="4" spans="1:15" ht="9.75" customHeight="1" x14ac:dyDescent="0.25">
      <c r="A4" s="19"/>
      <c r="B4" s="19"/>
      <c r="C4" s="19"/>
      <c r="D4" s="20"/>
      <c r="E4" s="18"/>
      <c r="F4" s="18"/>
    </row>
    <row r="5" spans="1:15" ht="15.75" x14ac:dyDescent="0.25">
      <c r="A5" s="110" t="s">
        <v>54</v>
      </c>
      <c r="B5" s="110"/>
      <c r="C5" s="110"/>
      <c r="D5" s="113"/>
      <c r="E5" s="113"/>
      <c r="F5" s="18"/>
    </row>
    <row r="6" spans="1:15" ht="12.75" customHeight="1" x14ac:dyDescent="0.25">
      <c r="A6" s="110"/>
      <c r="B6" s="110"/>
      <c r="C6" s="110"/>
      <c r="D6" s="20"/>
      <c r="E6" s="18"/>
      <c r="F6" s="18"/>
    </row>
    <row r="7" spans="1:15" ht="15.75" x14ac:dyDescent="0.25">
      <c r="A7" s="111" t="s">
        <v>55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5" ht="15.75" x14ac:dyDescent="0.25">
      <c r="A8" s="111" t="s">
        <v>86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</row>
    <row r="9" spans="1:15" ht="14.25" customHeight="1" x14ac:dyDescent="0.25">
      <c r="A9" s="112" t="s">
        <v>97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5" ht="18.75" customHeight="1" x14ac:dyDescent="0.25">
      <c r="A10" s="114" t="s">
        <v>65</v>
      </c>
      <c r="B10" s="115"/>
      <c r="C10" s="115"/>
      <c r="D10" s="115"/>
      <c r="E10" s="115"/>
      <c r="F10" s="115"/>
      <c r="G10" s="115"/>
      <c r="H10" s="115"/>
      <c r="I10" s="115"/>
      <c r="J10" s="115"/>
      <c r="K10" s="115"/>
      <c r="L10" s="115"/>
      <c r="M10" s="21"/>
      <c r="N10" s="22"/>
      <c r="O10" s="22"/>
    </row>
    <row r="11" spans="1:15" x14ac:dyDescent="0.25">
      <c r="A11" s="16" t="s">
        <v>87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5" x14ac:dyDescent="0.25">
      <c r="A12" s="16" t="s">
        <v>100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5" x14ac:dyDescent="0.25">
      <c r="A13" s="16" t="s">
        <v>64</v>
      </c>
      <c r="B13" s="14"/>
      <c r="C13" s="14"/>
      <c r="D13" s="14"/>
      <c r="E13" s="14"/>
    </row>
    <row r="14" spans="1:15" ht="33" customHeight="1" x14ac:dyDescent="0.25">
      <c r="A14" s="75" t="s">
        <v>0</v>
      </c>
      <c r="B14" s="75"/>
      <c r="C14" s="75"/>
      <c r="D14" s="75"/>
      <c r="E14" s="75"/>
      <c r="F14" s="1" t="s">
        <v>1</v>
      </c>
      <c r="G14" s="75" t="s">
        <v>2</v>
      </c>
      <c r="H14" s="75"/>
      <c r="I14" s="75"/>
      <c r="J14" s="75"/>
      <c r="K14" s="75"/>
      <c r="L14" s="1" t="s">
        <v>1</v>
      </c>
      <c r="M14" s="14"/>
    </row>
    <row r="15" spans="1:15" ht="16.5" customHeight="1" x14ac:dyDescent="0.25">
      <c r="A15" s="89" t="s">
        <v>57</v>
      </c>
      <c r="B15" s="90"/>
      <c r="C15" s="90"/>
      <c r="D15" s="90"/>
      <c r="E15" s="91"/>
      <c r="F15" s="24">
        <v>0.01</v>
      </c>
      <c r="G15" s="68" t="s">
        <v>40</v>
      </c>
      <c r="H15" s="90"/>
      <c r="I15" s="90"/>
      <c r="J15" s="90"/>
      <c r="K15" s="91"/>
      <c r="L15" s="24">
        <v>0.01</v>
      </c>
      <c r="M15" s="14"/>
    </row>
    <row r="16" spans="1:15" ht="15.75" customHeight="1" x14ac:dyDescent="0.25">
      <c r="A16" s="89" t="s">
        <v>42</v>
      </c>
      <c r="B16" s="90"/>
      <c r="C16" s="90"/>
      <c r="D16" s="90"/>
      <c r="E16" s="91"/>
      <c r="F16" s="24">
        <v>0.23</v>
      </c>
      <c r="G16" s="68" t="s">
        <v>41</v>
      </c>
      <c r="H16" s="90"/>
      <c r="I16" s="90"/>
      <c r="J16" s="90"/>
      <c r="K16" s="91"/>
      <c r="L16" s="24">
        <v>0.01</v>
      </c>
      <c r="M16" s="14"/>
    </row>
    <row r="17" spans="1:13" ht="16.5" customHeight="1" x14ac:dyDescent="0.25">
      <c r="A17" s="89" t="s">
        <v>66</v>
      </c>
      <c r="B17" s="90"/>
      <c r="C17" s="90"/>
      <c r="D17" s="90"/>
      <c r="E17" s="91"/>
      <c r="F17" s="24">
        <v>0.01</v>
      </c>
      <c r="G17" s="68"/>
      <c r="H17" s="90"/>
      <c r="I17" s="90"/>
      <c r="J17" s="90"/>
      <c r="K17" s="91"/>
      <c r="L17" s="23"/>
      <c r="M17" s="14"/>
    </row>
    <row r="18" spans="1:13" ht="16.5" customHeight="1" x14ac:dyDescent="0.25">
      <c r="A18" s="89" t="s">
        <v>45</v>
      </c>
      <c r="B18" s="90"/>
      <c r="C18" s="90"/>
      <c r="D18" s="90"/>
      <c r="E18" s="91"/>
      <c r="F18" s="24">
        <v>0.01</v>
      </c>
      <c r="G18" s="68"/>
      <c r="H18" s="90"/>
      <c r="I18" s="90"/>
      <c r="J18" s="90"/>
      <c r="K18" s="91"/>
      <c r="L18" s="23"/>
      <c r="M18" s="14"/>
    </row>
    <row r="19" spans="1:13" ht="15" customHeight="1" x14ac:dyDescent="0.25">
      <c r="A19" s="68" t="s">
        <v>44</v>
      </c>
      <c r="B19" s="99"/>
      <c r="C19" s="99"/>
      <c r="D19" s="99"/>
      <c r="E19" s="100"/>
      <c r="F19" s="24">
        <v>7.0000000000000007E-2</v>
      </c>
      <c r="G19" s="68"/>
      <c r="H19" s="90"/>
      <c r="I19" s="90"/>
      <c r="J19" s="90"/>
      <c r="K19" s="91"/>
      <c r="L19" s="23"/>
      <c r="M19" s="14"/>
    </row>
    <row r="20" spans="1:13" ht="15.75" customHeight="1" x14ac:dyDescent="0.25">
      <c r="A20" s="68" t="s">
        <v>43</v>
      </c>
      <c r="B20" s="99"/>
      <c r="C20" s="99"/>
      <c r="D20" s="99"/>
      <c r="E20" s="100"/>
      <c r="F20" s="24">
        <v>0.1</v>
      </c>
      <c r="G20" s="68"/>
      <c r="H20" s="99"/>
      <c r="I20" s="99"/>
      <c r="J20" s="99"/>
      <c r="K20" s="100"/>
      <c r="L20" s="23"/>
      <c r="M20" s="14"/>
    </row>
    <row r="21" spans="1:13" ht="14.25" customHeight="1" x14ac:dyDescent="0.25">
      <c r="A21" s="68"/>
      <c r="B21" s="99"/>
      <c r="C21" s="99"/>
      <c r="D21" s="99"/>
      <c r="E21" s="100"/>
      <c r="F21" s="24"/>
      <c r="G21" s="68"/>
      <c r="H21" s="99"/>
      <c r="I21" s="99"/>
      <c r="J21" s="99"/>
      <c r="K21" s="100"/>
      <c r="L21" s="23"/>
      <c r="M21" s="14"/>
    </row>
    <row r="22" spans="1:13" ht="15" customHeight="1" x14ac:dyDescent="0.25">
      <c r="A22" s="68"/>
      <c r="B22" s="90"/>
      <c r="C22" s="90"/>
      <c r="D22" s="90"/>
      <c r="E22" s="91"/>
      <c r="F22" s="24"/>
      <c r="G22" s="68"/>
      <c r="H22" s="99"/>
      <c r="I22" s="99"/>
      <c r="J22" s="99"/>
      <c r="K22" s="100"/>
      <c r="L22" s="23"/>
      <c r="M22" s="14"/>
    </row>
    <row r="23" spans="1:13" x14ac:dyDescent="0.25">
      <c r="A23" s="95" t="s">
        <v>3</v>
      </c>
      <c r="B23" s="96"/>
      <c r="C23" s="96"/>
      <c r="D23" s="96"/>
      <c r="E23" s="97"/>
      <c r="F23" s="24">
        <f>SUM(F15:F22)</f>
        <v>0.43000000000000005</v>
      </c>
      <c r="G23" s="89"/>
      <c r="H23" s="90"/>
      <c r="I23" s="90"/>
      <c r="J23" s="90"/>
      <c r="K23" s="91"/>
      <c r="L23" s="24">
        <f>SUM(L15:L22)</f>
        <v>0.02</v>
      </c>
      <c r="M23" s="14"/>
    </row>
    <row r="24" spans="1:13" x14ac:dyDescent="0.25">
      <c r="A24" s="25"/>
      <c r="B24" s="25"/>
      <c r="C24" s="25"/>
      <c r="D24" s="25"/>
      <c r="E24" s="25"/>
      <c r="F24" s="26"/>
      <c r="G24" s="27"/>
      <c r="H24" s="27"/>
      <c r="I24" s="27"/>
      <c r="J24" s="27"/>
      <c r="K24" s="27"/>
      <c r="L24" s="26"/>
      <c r="M24" s="14"/>
    </row>
    <row r="25" spans="1:13" x14ac:dyDescent="0.25">
      <c r="A25" s="101" t="s">
        <v>88</v>
      </c>
      <c r="B25" s="101"/>
      <c r="C25" s="101"/>
      <c r="D25" s="101"/>
      <c r="E25" s="101"/>
      <c r="F25" s="101"/>
      <c r="G25" s="101"/>
      <c r="H25" s="14">
        <v>2180</v>
      </c>
      <c r="I25" s="14"/>
      <c r="J25" s="14"/>
      <c r="K25" s="14"/>
      <c r="L25" s="14"/>
      <c r="M25" s="14"/>
    </row>
    <row r="26" spans="1:13" ht="75" x14ac:dyDescent="0.25">
      <c r="A26" s="72" t="s">
        <v>4</v>
      </c>
      <c r="B26" s="73"/>
      <c r="C26" s="73"/>
      <c r="D26" s="73"/>
      <c r="E26" s="74"/>
      <c r="F26" s="28" t="s">
        <v>5</v>
      </c>
      <c r="G26" s="28" t="s">
        <v>1</v>
      </c>
      <c r="H26" s="28" t="s">
        <v>67</v>
      </c>
      <c r="I26" s="28" t="s">
        <v>68</v>
      </c>
      <c r="J26" s="28" t="s">
        <v>69</v>
      </c>
      <c r="K26" s="29" t="s">
        <v>70</v>
      </c>
      <c r="L26" s="46"/>
      <c r="M26" s="14"/>
    </row>
    <row r="27" spans="1:13" ht="18.75" hidden="1" customHeight="1" x14ac:dyDescent="0.25">
      <c r="A27" s="81" t="s">
        <v>57</v>
      </c>
      <c r="B27" s="69"/>
      <c r="C27" s="69"/>
      <c r="D27" s="69"/>
      <c r="E27" s="70"/>
      <c r="F27" s="1">
        <f>'Услуга №1  '!F27</f>
        <v>0</v>
      </c>
      <c r="G27" s="24">
        <v>0.01</v>
      </c>
      <c r="H27" s="1">
        <f>F27*G27*12</f>
        <v>0</v>
      </c>
      <c r="I27" s="1">
        <f>H27*1.302</f>
        <v>0</v>
      </c>
      <c r="J27" s="1">
        <f>H25</f>
        <v>2180</v>
      </c>
      <c r="K27" s="1">
        <f>I27/J27</f>
        <v>0</v>
      </c>
      <c r="L27" s="42"/>
      <c r="M27" s="14"/>
    </row>
    <row r="28" spans="1:13" ht="16.5" hidden="1" customHeight="1" x14ac:dyDescent="0.25">
      <c r="A28" s="98" t="s">
        <v>42</v>
      </c>
      <c r="B28" s="98"/>
      <c r="C28" s="98"/>
      <c r="D28" s="98"/>
      <c r="E28" s="98"/>
      <c r="F28" s="1">
        <f>'Услуга №1  '!F28</f>
        <v>0</v>
      </c>
      <c r="G28" s="24">
        <v>0.23</v>
      </c>
      <c r="H28" s="1">
        <f t="shared" ref="H28:H32" si="0">F28*G28*12</f>
        <v>0</v>
      </c>
      <c r="I28" s="1">
        <f t="shared" ref="I28:I32" si="1">H28*1.302</f>
        <v>0</v>
      </c>
      <c r="J28" s="1">
        <f>J27</f>
        <v>2180</v>
      </c>
      <c r="K28" s="1">
        <f t="shared" ref="K28:K32" si="2">I28/J28</f>
        <v>0</v>
      </c>
      <c r="L28" s="42"/>
      <c r="M28" s="14"/>
    </row>
    <row r="29" spans="1:13" ht="15" hidden="1" customHeight="1" x14ac:dyDescent="0.25">
      <c r="A29" s="89" t="s">
        <v>66</v>
      </c>
      <c r="B29" s="90"/>
      <c r="C29" s="90"/>
      <c r="D29" s="90"/>
      <c r="E29" s="91"/>
      <c r="F29" s="1">
        <f>'Услуга №1  '!F29</f>
        <v>0</v>
      </c>
      <c r="G29" s="24">
        <v>0.01</v>
      </c>
      <c r="H29" s="1">
        <f t="shared" si="0"/>
        <v>0</v>
      </c>
      <c r="I29" s="1">
        <f t="shared" si="1"/>
        <v>0</v>
      </c>
      <c r="J29" s="1">
        <f>J28</f>
        <v>2180</v>
      </c>
      <c r="K29" s="1">
        <f t="shared" si="2"/>
        <v>0</v>
      </c>
      <c r="L29" s="42"/>
      <c r="M29" s="14"/>
    </row>
    <row r="30" spans="1:13" ht="15" hidden="1" customHeight="1" x14ac:dyDescent="0.25">
      <c r="A30" s="92" t="s">
        <v>45</v>
      </c>
      <c r="B30" s="93"/>
      <c r="C30" s="93"/>
      <c r="D30" s="93"/>
      <c r="E30" s="94"/>
      <c r="F30" s="1">
        <f>'Услуга №1  '!F30</f>
        <v>0</v>
      </c>
      <c r="G30" s="24">
        <v>0.01</v>
      </c>
      <c r="H30" s="1">
        <f t="shared" si="0"/>
        <v>0</v>
      </c>
      <c r="I30" s="1">
        <f t="shared" si="1"/>
        <v>0</v>
      </c>
      <c r="J30" s="1">
        <f>J29</f>
        <v>2180</v>
      </c>
      <c r="K30" s="1">
        <f t="shared" si="2"/>
        <v>0</v>
      </c>
      <c r="L30" s="42"/>
      <c r="M30" s="14"/>
    </row>
    <row r="31" spans="1:13" ht="14.25" hidden="1" customHeight="1" x14ac:dyDescent="0.25">
      <c r="A31" s="68" t="s">
        <v>43</v>
      </c>
      <c r="B31" s="69"/>
      <c r="C31" s="69"/>
      <c r="D31" s="69"/>
      <c r="E31" s="70"/>
      <c r="F31" s="1">
        <f>'Услуга №1  '!F31</f>
        <v>0</v>
      </c>
      <c r="G31" s="24">
        <v>7.0000000000000007E-2</v>
      </c>
      <c r="H31" s="1">
        <f t="shared" si="0"/>
        <v>0</v>
      </c>
      <c r="I31" s="1">
        <f t="shared" si="1"/>
        <v>0</v>
      </c>
      <c r="J31" s="1">
        <f>J28</f>
        <v>2180</v>
      </c>
      <c r="K31" s="1">
        <f t="shared" si="2"/>
        <v>0</v>
      </c>
      <c r="L31" s="42"/>
      <c r="M31" s="14"/>
    </row>
    <row r="32" spans="1:13" ht="15.75" hidden="1" customHeight="1" x14ac:dyDescent="0.25">
      <c r="A32" s="68" t="s">
        <v>44</v>
      </c>
      <c r="B32" s="69"/>
      <c r="C32" s="69"/>
      <c r="D32" s="69"/>
      <c r="E32" s="70"/>
      <c r="F32" s="1">
        <f>'Услуга №1  '!F32</f>
        <v>0</v>
      </c>
      <c r="G32" s="24">
        <v>0.1</v>
      </c>
      <c r="H32" s="1">
        <f t="shared" si="0"/>
        <v>0</v>
      </c>
      <c r="I32" s="1">
        <f t="shared" si="1"/>
        <v>0</v>
      </c>
      <c r="J32" s="1">
        <f>H25</f>
        <v>2180</v>
      </c>
      <c r="K32" s="1">
        <f t="shared" si="2"/>
        <v>0</v>
      </c>
      <c r="L32" s="42"/>
      <c r="M32" s="14"/>
    </row>
    <row r="33" spans="1:13" ht="29.25" customHeight="1" x14ac:dyDescent="0.25">
      <c r="A33" s="103" t="s">
        <v>71</v>
      </c>
      <c r="B33" s="104"/>
      <c r="C33" s="104"/>
      <c r="D33" s="104"/>
      <c r="E33" s="104"/>
      <c r="F33" s="52">
        <v>25395.93</v>
      </c>
      <c r="G33" s="31">
        <f>SUM(G27:G32)</f>
        <v>0.43000000000000005</v>
      </c>
      <c r="H33" s="52">
        <f>(F33*G33)*12</f>
        <v>131042.9988</v>
      </c>
      <c r="I33" s="2">
        <f>(H33*1.302)+0.01</f>
        <v>170617.99443760002</v>
      </c>
      <c r="J33" s="2">
        <f>H25</f>
        <v>2180</v>
      </c>
      <c r="K33" s="2">
        <f>I33/J33</f>
        <v>78.265135063119274</v>
      </c>
      <c r="L33" s="42"/>
      <c r="M33" s="14"/>
    </row>
    <row r="34" spans="1:13" x14ac:dyDescent="0.25">
      <c r="A34" s="32"/>
      <c r="B34" s="32"/>
      <c r="C34" s="32"/>
      <c r="D34" s="32"/>
      <c r="E34" s="32"/>
      <c r="F34" s="32"/>
      <c r="G34" s="32"/>
      <c r="H34" s="32"/>
      <c r="I34" s="14"/>
      <c r="J34" s="14"/>
      <c r="K34" s="14"/>
      <c r="L34" s="33"/>
      <c r="M34" s="14"/>
    </row>
    <row r="35" spans="1:13" x14ac:dyDescent="0.25">
      <c r="A35" s="86" t="s">
        <v>7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14"/>
    </row>
    <row r="36" spans="1:13" ht="45" x14ac:dyDescent="0.25">
      <c r="A36" s="88" t="s">
        <v>8</v>
      </c>
      <c r="B36" s="88"/>
      <c r="C36" s="88"/>
      <c r="D36" s="88"/>
      <c r="E36" s="88"/>
      <c r="F36" s="28" t="s">
        <v>6</v>
      </c>
      <c r="G36" s="28" t="s">
        <v>58</v>
      </c>
      <c r="H36" s="28" t="s">
        <v>59</v>
      </c>
      <c r="I36" s="28" t="s">
        <v>74</v>
      </c>
      <c r="J36" s="28" t="s">
        <v>69</v>
      </c>
      <c r="K36" s="34" t="s">
        <v>70</v>
      </c>
      <c r="L36" s="35"/>
      <c r="M36" s="14"/>
    </row>
    <row r="37" spans="1:13" x14ac:dyDescent="0.25">
      <c r="A37" s="71" t="s">
        <v>9</v>
      </c>
      <c r="B37" s="71"/>
      <c r="C37" s="71"/>
      <c r="D37" s="71"/>
      <c r="E37" s="71"/>
      <c r="F37" s="1" t="s">
        <v>102</v>
      </c>
      <c r="G37" s="1">
        <v>35000</v>
      </c>
      <c r="H37" s="1">
        <v>7.5</v>
      </c>
      <c r="I37" s="3">
        <f>262513.9*1.1%</f>
        <v>2887.6529000000005</v>
      </c>
      <c r="J37" s="1">
        <f>H25</f>
        <v>2180</v>
      </c>
      <c r="K37" s="36">
        <f>I37/J37</f>
        <v>1.3246114220183489</v>
      </c>
      <c r="L37" s="37"/>
      <c r="M37" s="14"/>
    </row>
    <row r="38" spans="1:13" x14ac:dyDescent="0.25">
      <c r="A38" s="71" t="s">
        <v>10</v>
      </c>
      <c r="B38" s="71"/>
      <c r="C38" s="71"/>
      <c r="D38" s="71"/>
      <c r="E38" s="71"/>
      <c r="F38" s="1" t="s">
        <v>103</v>
      </c>
      <c r="G38" s="1">
        <v>560</v>
      </c>
      <c r="H38" s="1">
        <v>1690.46</v>
      </c>
      <c r="I38" s="3">
        <f>946657.61*1.1%</f>
        <v>10413.23371</v>
      </c>
      <c r="J38" s="1">
        <f>J37</f>
        <v>2180</v>
      </c>
      <c r="K38" s="36">
        <f t="shared" ref="K38:K41" si="3">I38/J38</f>
        <v>4.7767127110091749</v>
      </c>
      <c r="L38" s="37"/>
      <c r="M38" s="14"/>
    </row>
    <row r="39" spans="1:13" x14ac:dyDescent="0.25">
      <c r="A39" s="71" t="s">
        <v>11</v>
      </c>
      <c r="B39" s="71"/>
      <c r="C39" s="71"/>
      <c r="D39" s="71"/>
      <c r="E39" s="71"/>
      <c r="F39" s="1" t="s">
        <v>104</v>
      </c>
      <c r="G39" s="1">
        <v>222</v>
      </c>
      <c r="H39" s="1">
        <v>40.96</v>
      </c>
      <c r="I39" s="3">
        <f>9093.12*1.1%</f>
        <v>100.02432000000002</v>
      </c>
      <c r="J39" s="1">
        <f>J38</f>
        <v>2180</v>
      </c>
      <c r="K39" s="36">
        <f t="shared" si="3"/>
        <v>4.5882715596330281E-2</v>
      </c>
      <c r="L39" s="37"/>
      <c r="M39" s="14"/>
    </row>
    <row r="40" spans="1:13" x14ac:dyDescent="0.25">
      <c r="A40" s="71" t="s">
        <v>12</v>
      </c>
      <c r="B40" s="71"/>
      <c r="C40" s="71"/>
      <c r="D40" s="71"/>
      <c r="E40" s="71"/>
      <c r="F40" s="38" t="s">
        <v>104</v>
      </c>
      <c r="G40" s="3">
        <v>311</v>
      </c>
      <c r="H40" s="1">
        <v>59.65</v>
      </c>
      <c r="I40" s="3">
        <f>18551.15*1.1%</f>
        <v>204.06265000000005</v>
      </c>
      <c r="J40" s="1">
        <f>J38</f>
        <v>2180</v>
      </c>
      <c r="K40" s="36">
        <f t="shared" si="3"/>
        <v>9.3606720183486258E-2</v>
      </c>
      <c r="L40" s="37"/>
      <c r="M40" s="14"/>
    </row>
    <row r="41" spans="1:13" x14ac:dyDescent="0.25">
      <c r="A41" s="78" t="s">
        <v>15</v>
      </c>
      <c r="B41" s="107"/>
      <c r="C41" s="107"/>
      <c r="D41" s="107"/>
      <c r="E41" s="107"/>
      <c r="F41" s="38" t="s">
        <v>104</v>
      </c>
      <c r="G41" s="3">
        <v>12</v>
      </c>
      <c r="H41" s="39">
        <v>454.08</v>
      </c>
      <c r="I41" s="3">
        <f>5448.96*1.1%</f>
        <v>59.93856000000001</v>
      </c>
      <c r="J41" s="1">
        <f t="shared" ref="J41:J42" si="4">J39</f>
        <v>2180</v>
      </c>
      <c r="K41" s="36">
        <f t="shared" si="3"/>
        <v>2.7494752293577986E-2</v>
      </c>
      <c r="L41" s="37"/>
      <c r="M41" s="14"/>
    </row>
    <row r="42" spans="1:13" ht="15" customHeight="1" x14ac:dyDescent="0.25">
      <c r="A42" s="116" t="s">
        <v>13</v>
      </c>
      <c r="B42" s="117"/>
      <c r="C42" s="117"/>
      <c r="D42" s="117"/>
      <c r="E42" s="117"/>
      <c r="F42" s="117"/>
      <c r="G42" s="117"/>
      <c r="H42" s="118"/>
      <c r="I42" s="2">
        <f>SUM(I37:I40)+I41</f>
        <v>13664.912140000002</v>
      </c>
      <c r="J42" s="40">
        <f t="shared" si="4"/>
        <v>2180</v>
      </c>
      <c r="K42" s="6">
        <f>I42/J42</f>
        <v>6.2683083211009185</v>
      </c>
      <c r="L42" s="37"/>
      <c r="M42" s="14"/>
    </row>
    <row r="43" spans="1:13" x14ac:dyDescent="0.25">
      <c r="A43" s="62"/>
      <c r="B43" s="62"/>
      <c r="C43" s="62"/>
      <c r="D43" s="62"/>
      <c r="E43" s="62"/>
      <c r="F43" s="42"/>
      <c r="G43" s="42"/>
      <c r="H43" s="42"/>
      <c r="I43" s="7"/>
      <c r="J43" s="8"/>
      <c r="K43" s="7"/>
      <c r="L43" s="42"/>
      <c r="M43" s="14"/>
    </row>
    <row r="44" spans="1:13" x14ac:dyDescent="0.25">
      <c r="A44" s="86" t="s">
        <v>14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14"/>
    </row>
    <row r="45" spans="1:13" ht="45" x14ac:dyDescent="0.25">
      <c r="A45" s="88" t="s">
        <v>18</v>
      </c>
      <c r="B45" s="88"/>
      <c r="C45" s="88"/>
      <c r="D45" s="88"/>
      <c r="E45" s="88"/>
      <c r="F45" s="28" t="s">
        <v>6</v>
      </c>
      <c r="G45" s="28" t="s">
        <v>58</v>
      </c>
      <c r="H45" s="28" t="s">
        <v>59</v>
      </c>
      <c r="I45" s="28" t="s">
        <v>74</v>
      </c>
      <c r="J45" s="28" t="s">
        <v>69</v>
      </c>
      <c r="K45" s="34" t="s">
        <v>70</v>
      </c>
      <c r="L45" s="35"/>
      <c r="M45" s="14"/>
    </row>
    <row r="46" spans="1:13" ht="18.75" customHeight="1" x14ac:dyDescent="0.25">
      <c r="A46" s="78" t="s">
        <v>60</v>
      </c>
      <c r="B46" s="79"/>
      <c r="C46" s="79"/>
      <c r="D46" s="79"/>
      <c r="E46" s="80"/>
      <c r="F46" s="38" t="s">
        <v>75</v>
      </c>
      <c r="G46" s="1">
        <v>12</v>
      </c>
      <c r="H46" s="1"/>
      <c r="I46" s="3">
        <f>61320*1.1%</f>
        <v>674.5200000000001</v>
      </c>
      <c r="J46" s="1">
        <f>J40</f>
        <v>2180</v>
      </c>
      <c r="K46" s="36">
        <f>I46/J46</f>
        <v>0.30941284403669728</v>
      </c>
      <c r="L46" s="37"/>
      <c r="M46" s="42"/>
    </row>
    <row r="47" spans="1:13" ht="18.75" customHeight="1" x14ac:dyDescent="0.25">
      <c r="A47" s="78" t="s">
        <v>16</v>
      </c>
      <c r="B47" s="79"/>
      <c r="C47" s="79"/>
      <c r="D47" s="79"/>
      <c r="E47" s="80"/>
      <c r="F47" s="38" t="s">
        <v>17</v>
      </c>
      <c r="G47" s="1">
        <v>4</v>
      </c>
      <c r="H47" s="1"/>
      <c r="I47" s="3">
        <f>18000*1.1%</f>
        <v>198.00000000000003</v>
      </c>
      <c r="J47" s="1">
        <f>J38</f>
        <v>2180</v>
      </c>
      <c r="K47" s="36">
        <f t="shared" ref="K47:K52" si="5">I47/J47</f>
        <v>9.0825688073394514E-2</v>
      </c>
      <c r="L47" s="37"/>
      <c r="M47" s="42"/>
    </row>
    <row r="48" spans="1:13" ht="33.75" customHeight="1" x14ac:dyDescent="0.25">
      <c r="A48" s="81" t="s">
        <v>62</v>
      </c>
      <c r="B48" s="69"/>
      <c r="C48" s="69"/>
      <c r="D48" s="69"/>
      <c r="E48" s="70"/>
      <c r="F48" s="38" t="s">
        <v>17</v>
      </c>
      <c r="G48" s="1">
        <v>12</v>
      </c>
      <c r="H48" s="1"/>
      <c r="I48" s="3">
        <f>220000*1.1%</f>
        <v>2420.0000000000005</v>
      </c>
      <c r="J48" s="1">
        <f>J47</f>
        <v>2180</v>
      </c>
      <c r="K48" s="36">
        <f t="shared" si="5"/>
        <v>1.1100917431192663</v>
      </c>
      <c r="L48" s="37"/>
      <c r="M48" s="42"/>
    </row>
    <row r="49" spans="1:13" ht="18.75" hidden="1" customHeight="1" x14ac:dyDescent="0.25">
      <c r="A49" s="78" t="s">
        <v>60</v>
      </c>
      <c r="B49" s="79"/>
      <c r="C49" s="79"/>
      <c r="D49" s="79"/>
      <c r="E49" s="80"/>
      <c r="F49" s="38" t="s">
        <v>17</v>
      </c>
      <c r="G49" s="1"/>
      <c r="H49" s="1"/>
      <c r="I49" s="3">
        <f t="shared" ref="I49" si="6">H49*G49*12</f>
        <v>0</v>
      </c>
      <c r="J49" s="1">
        <f>J48</f>
        <v>2180</v>
      </c>
      <c r="K49" s="36">
        <f t="shared" si="5"/>
        <v>0</v>
      </c>
      <c r="L49" s="37"/>
      <c r="M49" s="42"/>
    </row>
    <row r="50" spans="1:13" ht="29.25" customHeight="1" x14ac:dyDescent="0.25">
      <c r="A50" s="81" t="s">
        <v>61</v>
      </c>
      <c r="B50" s="69"/>
      <c r="C50" s="69"/>
      <c r="D50" s="69"/>
      <c r="E50" s="70"/>
      <c r="F50" s="38" t="s">
        <v>17</v>
      </c>
      <c r="G50" s="1">
        <v>2</v>
      </c>
      <c r="H50" s="1"/>
      <c r="I50" s="3">
        <f>5000*1.1%</f>
        <v>55.000000000000007</v>
      </c>
      <c r="J50" s="1">
        <f>J48</f>
        <v>2180</v>
      </c>
      <c r="K50" s="36">
        <f t="shared" si="5"/>
        <v>2.5229357798165142E-2</v>
      </c>
      <c r="L50" s="37"/>
      <c r="M50" s="42"/>
    </row>
    <row r="51" spans="1:13" ht="18.75" customHeight="1" x14ac:dyDescent="0.25">
      <c r="A51" s="78" t="s">
        <v>105</v>
      </c>
      <c r="B51" s="79"/>
      <c r="C51" s="79"/>
      <c r="D51" s="79"/>
      <c r="E51" s="80"/>
      <c r="F51" s="38" t="s">
        <v>17</v>
      </c>
      <c r="G51" s="1"/>
      <c r="H51" s="1"/>
      <c r="I51" s="3">
        <f>12000*1.1%</f>
        <v>132</v>
      </c>
      <c r="J51" s="1">
        <f>J50</f>
        <v>2180</v>
      </c>
      <c r="K51" s="36">
        <f t="shared" si="5"/>
        <v>6.0550458715596334E-2</v>
      </c>
      <c r="L51" s="37"/>
      <c r="M51" s="42"/>
    </row>
    <row r="52" spans="1:13" ht="18.75" customHeight="1" x14ac:dyDescent="0.25">
      <c r="A52" s="78" t="s">
        <v>106</v>
      </c>
      <c r="B52" s="107"/>
      <c r="C52" s="107"/>
      <c r="D52" s="107"/>
      <c r="E52" s="108"/>
      <c r="F52" s="38" t="s">
        <v>17</v>
      </c>
      <c r="G52" s="1"/>
      <c r="H52" s="1"/>
      <c r="I52" s="3">
        <f>12000*1.1%</f>
        <v>132</v>
      </c>
      <c r="J52" s="1">
        <f>J51</f>
        <v>2180</v>
      </c>
      <c r="K52" s="36">
        <f t="shared" si="5"/>
        <v>6.0550458715596334E-2</v>
      </c>
      <c r="L52" s="42"/>
      <c r="M52" s="42"/>
    </row>
    <row r="53" spans="1:13" s="14" customFormat="1" ht="30.75" customHeight="1" x14ac:dyDescent="0.25">
      <c r="A53" s="81" t="s">
        <v>107</v>
      </c>
      <c r="B53" s="69"/>
      <c r="C53" s="69"/>
      <c r="D53" s="69"/>
      <c r="E53" s="70"/>
      <c r="F53" s="1" t="s">
        <v>17</v>
      </c>
      <c r="G53" s="1"/>
      <c r="H53" s="1"/>
      <c r="I53" s="1">
        <f>135000*1.1%</f>
        <v>1485.0000000000002</v>
      </c>
      <c r="J53" s="1">
        <f>J49</f>
        <v>2180</v>
      </c>
      <c r="K53" s="1">
        <f>I53/J53</f>
        <v>0.6811926605504588</v>
      </c>
      <c r="L53" s="42"/>
    </row>
    <row r="54" spans="1:13" ht="18.75" customHeight="1" x14ac:dyDescent="0.25">
      <c r="A54" s="83" t="s">
        <v>76</v>
      </c>
      <c r="B54" s="84"/>
      <c r="C54" s="84"/>
      <c r="D54" s="84"/>
      <c r="E54" s="84"/>
      <c r="F54" s="84"/>
      <c r="G54" s="84"/>
      <c r="H54" s="84"/>
      <c r="I54" s="2">
        <f>SUM(I46:I53)</f>
        <v>5096.5200000000004</v>
      </c>
      <c r="J54" s="40">
        <f>J50</f>
        <v>2180</v>
      </c>
      <c r="K54" s="6">
        <f>I54/J54</f>
        <v>2.3378532110091745</v>
      </c>
      <c r="L54" s="37"/>
      <c r="M54" s="14"/>
    </row>
    <row r="55" spans="1:13" x14ac:dyDescent="0.25">
      <c r="A55" s="43"/>
      <c r="B55" s="43"/>
      <c r="C55" s="43"/>
      <c r="D55" s="43"/>
      <c r="E55" s="43"/>
      <c r="F55" s="44"/>
      <c r="G55" s="45"/>
      <c r="H55" s="45"/>
      <c r="I55" s="45"/>
      <c r="J55" s="44"/>
      <c r="K55" s="45"/>
      <c r="L55" s="42"/>
      <c r="M55" s="14"/>
    </row>
    <row r="56" spans="1:13" s="14" customFormat="1" x14ac:dyDescent="0.25">
      <c r="A56" s="86" t="s">
        <v>77</v>
      </c>
      <c r="B56" s="86"/>
      <c r="C56" s="86"/>
      <c r="D56" s="86"/>
      <c r="E56" s="86"/>
      <c r="F56" s="86"/>
      <c r="G56" s="86"/>
      <c r="H56" s="86"/>
      <c r="I56" s="86"/>
      <c r="J56" s="86"/>
      <c r="K56" s="86"/>
      <c r="L56" s="86"/>
    </row>
    <row r="57" spans="1:13" s="14" customFormat="1" ht="60" customHeight="1" x14ac:dyDescent="0.25">
      <c r="A57" s="88" t="s">
        <v>18</v>
      </c>
      <c r="B57" s="88"/>
      <c r="C57" s="88"/>
      <c r="D57" s="88"/>
      <c r="E57" s="88"/>
      <c r="F57" s="28" t="s">
        <v>6</v>
      </c>
      <c r="G57" s="28" t="s">
        <v>58</v>
      </c>
      <c r="H57" s="28" t="s">
        <v>59</v>
      </c>
      <c r="I57" s="28" t="s">
        <v>74</v>
      </c>
      <c r="J57" s="28" t="s">
        <v>69</v>
      </c>
      <c r="K57" s="29" t="s">
        <v>70</v>
      </c>
      <c r="L57" s="46"/>
    </row>
    <row r="58" spans="1:13" s="14" customFormat="1" ht="33" customHeight="1" x14ac:dyDescent="0.25">
      <c r="A58" s="81" t="s">
        <v>78</v>
      </c>
      <c r="B58" s="69"/>
      <c r="C58" s="69"/>
      <c r="D58" s="69"/>
      <c r="E58" s="70"/>
      <c r="F58" s="1" t="s">
        <v>17</v>
      </c>
      <c r="G58" s="1">
        <v>11</v>
      </c>
      <c r="H58" s="1">
        <v>28854.55</v>
      </c>
      <c r="I58" s="1">
        <f>238000*1.1%</f>
        <v>2618.0000000000005</v>
      </c>
      <c r="J58" s="1">
        <f>J53</f>
        <v>2180</v>
      </c>
      <c r="K58" s="1">
        <f t="shared" ref="K58" si="7">I58/J58</f>
        <v>1.2009174311926607</v>
      </c>
      <c r="L58" s="42"/>
    </row>
    <row r="59" spans="1:13" s="14" customFormat="1" ht="18.75" customHeight="1" x14ac:dyDescent="0.25">
      <c r="A59" s="78" t="s">
        <v>46</v>
      </c>
      <c r="B59" s="79"/>
      <c r="C59" s="79"/>
      <c r="D59" s="79"/>
      <c r="E59" s="80"/>
      <c r="F59" s="1" t="s">
        <v>17</v>
      </c>
      <c r="G59" s="1">
        <v>12</v>
      </c>
      <c r="H59" s="1">
        <v>3750</v>
      </c>
      <c r="I59" s="1">
        <f>45000*1.1%</f>
        <v>495.00000000000006</v>
      </c>
      <c r="J59" s="1">
        <f>J51</f>
        <v>2180</v>
      </c>
      <c r="K59" s="1">
        <f>I59/J59</f>
        <v>0.22706422018348627</v>
      </c>
      <c r="L59" s="42"/>
    </row>
    <row r="60" spans="1:13" s="14" customFormat="1" ht="30.75" customHeight="1" x14ac:dyDescent="0.25">
      <c r="A60" s="81" t="s">
        <v>108</v>
      </c>
      <c r="B60" s="105"/>
      <c r="C60" s="105"/>
      <c r="D60" s="105"/>
      <c r="E60" s="106"/>
      <c r="F60" s="1" t="s">
        <v>17</v>
      </c>
      <c r="G60" s="1"/>
      <c r="H60" s="1"/>
      <c r="I60" s="1">
        <f>54000*1.1%</f>
        <v>594.00000000000011</v>
      </c>
      <c r="J60" s="1">
        <f t="shared" ref="J60:J62" si="8">J52</f>
        <v>2180</v>
      </c>
      <c r="K60" s="1">
        <f t="shared" ref="K60:K62" si="9">I60/J60</f>
        <v>0.27247706422018353</v>
      </c>
      <c r="L60" s="42"/>
    </row>
    <row r="61" spans="1:13" s="14" customFormat="1" ht="18.75" customHeight="1" x14ac:dyDescent="0.25">
      <c r="A61" s="78" t="s">
        <v>109</v>
      </c>
      <c r="B61" s="107"/>
      <c r="C61" s="107"/>
      <c r="D61" s="107"/>
      <c r="E61" s="108"/>
      <c r="F61" s="1" t="s">
        <v>17</v>
      </c>
      <c r="G61" s="1">
        <v>12</v>
      </c>
      <c r="H61" s="1">
        <v>1333.33</v>
      </c>
      <c r="I61" s="1">
        <f>16000*1.1%</f>
        <v>176.00000000000003</v>
      </c>
      <c r="J61" s="1">
        <f t="shared" si="8"/>
        <v>2180</v>
      </c>
      <c r="K61" s="1">
        <f t="shared" si="9"/>
        <v>8.0733944954128459E-2</v>
      </c>
      <c r="L61" s="42"/>
    </row>
    <row r="62" spans="1:13" s="14" customFormat="1" ht="18.75" customHeight="1" x14ac:dyDescent="0.25">
      <c r="A62" s="78" t="s">
        <v>110</v>
      </c>
      <c r="B62" s="107"/>
      <c r="C62" s="107"/>
      <c r="D62" s="107"/>
      <c r="E62" s="108"/>
      <c r="F62" s="1" t="s">
        <v>17</v>
      </c>
      <c r="G62" s="1"/>
      <c r="H62" s="1"/>
      <c r="I62" s="1">
        <f>26000*1.1%</f>
        <v>286.00000000000006</v>
      </c>
      <c r="J62" s="1">
        <f t="shared" si="8"/>
        <v>2180</v>
      </c>
      <c r="K62" s="1">
        <f t="shared" si="9"/>
        <v>0.13119266055045875</v>
      </c>
      <c r="L62" s="42"/>
    </row>
    <row r="63" spans="1:13" s="14" customFormat="1" ht="18.75" customHeight="1" x14ac:dyDescent="0.25">
      <c r="A63" s="71" t="s">
        <v>111</v>
      </c>
      <c r="B63" s="71"/>
      <c r="C63" s="71"/>
      <c r="D63" s="71"/>
      <c r="E63" s="71"/>
      <c r="F63" s="1" t="s">
        <v>17</v>
      </c>
      <c r="G63" s="1"/>
      <c r="H63" s="1"/>
      <c r="I63" s="1">
        <f>180000*1.1%</f>
        <v>1980.0000000000002</v>
      </c>
      <c r="J63" s="1">
        <v>2180</v>
      </c>
      <c r="K63" s="1">
        <f>I63/J63</f>
        <v>0.90825688073394506</v>
      </c>
      <c r="L63" s="42"/>
    </row>
    <row r="64" spans="1:13" s="14" customFormat="1" x14ac:dyDescent="0.25">
      <c r="A64" s="83" t="s">
        <v>79</v>
      </c>
      <c r="B64" s="84"/>
      <c r="C64" s="84"/>
      <c r="D64" s="84"/>
      <c r="E64" s="84"/>
      <c r="F64" s="84"/>
      <c r="G64" s="84"/>
      <c r="H64" s="84"/>
      <c r="I64" s="10">
        <f>SUM(I58:I63)</f>
        <v>6149.0000000000009</v>
      </c>
      <c r="J64" s="40">
        <v>2180</v>
      </c>
      <c r="K64" s="10">
        <f>I64/J64</f>
        <v>2.8206422018348629</v>
      </c>
      <c r="L64" s="42"/>
    </row>
    <row r="65" spans="1:13" s="14" customFormat="1" x14ac:dyDescent="0.25">
      <c r="A65" s="47"/>
      <c r="B65" s="47"/>
      <c r="C65" s="47"/>
      <c r="D65" s="47"/>
      <c r="E65" s="47"/>
      <c r="F65" s="47"/>
      <c r="G65" s="47"/>
      <c r="H65" s="47"/>
      <c r="I65" s="11"/>
      <c r="J65" s="11"/>
      <c r="K65" s="11"/>
      <c r="L65" s="42"/>
    </row>
    <row r="66" spans="1:13" s="14" customFormat="1" x14ac:dyDescent="0.25">
      <c r="A66" s="86" t="s">
        <v>80</v>
      </c>
      <c r="B66" s="86"/>
      <c r="C66" s="86"/>
      <c r="D66" s="86"/>
      <c r="E66" s="86"/>
      <c r="F66" s="86"/>
      <c r="G66" s="86"/>
      <c r="H66" s="86"/>
      <c r="I66" s="86"/>
      <c r="J66" s="86"/>
      <c r="K66" s="86"/>
      <c r="L66" s="86"/>
    </row>
    <row r="67" spans="1:13" s="14" customFormat="1" ht="60" customHeight="1" x14ac:dyDescent="0.25">
      <c r="A67" s="72" t="s">
        <v>19</v>
      </c>
      <c r="B67" s="73"/>
      <c r="C67" s="73"/>
      <c r="D67" s="73"/>
      <c r="E67" s="74"/>
      <c r="F67" s="28" t="s">
        <v>6</v>
      </c>
      <c r="G67" s="28" t="s">
        <v>58</v>
      </c>
      <c r="H67" s="28" t="s">
        <v>59</v>
      </c>
      <c r="I67" s="28" t="s">
        <v>74</v>
      </c>
      <c r="J67" s="48" t="s">
        <v>69</v>
      </c>
      <c r="K67" s="29" t="s">
        <v>70</v>
      </c>
      <c r="L67" s="46"/>
      <c r="M67" s="46"/>
    </row>
    <row r="68" spans="1:13" s="14" customFormat="1" ht="36.75" customHeight="1" x14ac:dyDescent="0.25">
      <c r="A68" s="78" t="s">
        <v>20</v>
      </c>
      <c r="B68" s="79"/>
      <c r="C68" s="79"/>
      <c r="D68" s="79"/>
      <c r="E68" s="80"/>
      <c r="F68" s="49" t="s">
        <v>21</v>
      </c>
      <c r="G68" s="1">
        <v>12</v>
      </c>
      <c r="H68" s="1">
        <f>'Услуга №1  '!H68</f>
        <v>400</v>
      </c>
      <c r="I68" s="1">
        <f>38400*1.1%</f>
        <v>422.40000000000003</v>
      </c>
      <c r="J68" s="36">
        <f>J63</f>
        <v>2180</v>
      </c>
      <c r="K68" s="1">
        <f>I68/J68</f>
        <v>0.19376146788990828</v>
      </c>
      <c r="L68" s="42"/>
      <c r="M68" s="42"/>
    </row>
    <row r="69" spans="1:13" s="14" customFormat="1" ht="36.75" customHeight="1" x14ac:dyDescent="0.25">
      <c r="A69" s="78" t="s">
        <v>95</v>
      </c>
      <c r="B69" s="79"/>
      <c r="C69" s="79"/>
      <c r="D69" s="79"/>
      <c r="E69" s="80"/>
      <c r="F69" s="49" t="s">
        <v>24</v>
      </c>
      <c r="G69" s="1"/>
      <c r="H69" s="1"/>
      <c r="I69" s="1">
        <f>11000*1.1%</f>
        <v>121.00000000000001</v>
      </c>
      <c r="J69" s="36">
        <f>J68</f>
        <v>2180</v>
      </c>
      <c r="K69" s="1">
        <f>I69/J69</f>
        <v>5.5504587155963306E-2</v>
      </c>
      <c r="L69" s="42"/>
      <c r="M69" s="42"/>
    </row>
    <row r="70" spans="1:13" s="14" customFormat="1" ht="30" x14ac:dyDescent="0.25">
      <c r="A70" s="78" t="s">
        <v>81</v>
      </c>
      <c r="B70" s="79"/>
      <c r="C70" s="79"/>
      <c r="D70" s="79"/>
      <c r="E70" s="80"/>
      <c r="F70" s="49" t="s">
        <v>82</v>
      </c>
      <c r="G70" s="1">
        <v>7</v>
      </c>
      <c r="H70" s="1">
        <f>'Услуга №1  '!H70</f>
        <v>1500</v>
      </c>
      <c r="I70" s="1">
        <f>126000*1.1%</f>
        <v>1386.0000000000002</v>
      </c>
      <c r="J70" s="36">
        <f>J68</f>
        <v>2180</v>
      </c>
      <c r="K70" s="1">
        <f>I70/J70</f>
        <v>0.63577981651376159</v>
      </c>
      <c r="L70" s="42"/>
      <c r="M70" s="42"/>
    </row>
    <row r="71" spans="1:13" s="14" customFormat="1" x14ac:dyDescent="0.25">
      <c r="A71" s="83" t="s">
        <v>22</v>
      </c>
      <c r="B71" s="84"/>
      <c r="C71" s="84"/>
      <c r="D71" s="84"/>
      <c r="E71" s="84"/>
      <c r="F71" s="84"/>
      <c r="G71" s="84"/>
      <c r="H71" s="85"/>
      <c r="I71" s="10">
        <f t="shared" ref="I71" si="10">SUM(I68:I70)</f>
        <v>1929.4000000000003</v>
      </c>
      <c r="J71" s="63">
        <f>J69</f>
        <v>2180</v>
      </c>
      <c r="K71" s="10">
        <f>I71/J71</f>
        <v>0.88504587155963321</v>
      </c>
      <c r="L71" s="11"/>
      <c r="M71" s="42"/>
    </row>
    <row r="72" spans="1:13" x14ac:dyDescent="0.25">
      <c r="A72" s="14"/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</row>
    <row r="73" spans="1:13" x14ac:dyDescent="0.25">
      <c r="A73" s="86" t="s">
        <v>39</v>
      </c>
      <c r="B73" s="86"/>
      <c r="C73" s="86"/>
      <c r="D73" s="86"/>
      <c r="E73" s="86"/>
      <c r="F73" s="86"/>
      <c r="G73" s="86"/>
      <c r="H73" s="86"/>
      <c r="I73" s="86"/>
      <c r="J73" s="86"/>
      <c r="K73" s="86"/>
      <c r="L73" s="86"/>
      <c r="M73" s="86"/>
    </row>
    <row r="74" spans="1:13" ht="11.25" customHeight="1" x14ac:dyDescent="0.25">
      <c r="A74" s="14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</row>
    <row r="75" spans="1:13" ht="75" x14ac:dyDescent="0.25">
      <c r="A75" s="72" t="s">
        <v>4</v>
      </c>
      <c r="B75" s="73"/>
      <c r="C75" s="73"/>
      <c r="D75" s="73"/>
      <c r="E75" s="74"/>
      <c r="F75" s="28" t="s">
        <v>5</v>
      </c>
      <c r="G75" s="28" t="s">
        <v>1</v>
      </c>
      <c r="H75" s="28" t="s">
        <v>67</v>
      </c>
      <c r="I75" s="28" t="s">
        <v>68</v>
      </c>
      <c r="J75" s="28" t="s">
        <v>69</v>
      </c>
      <c r="K75" s="29" t="s">
        <v>70</v>
      </c>
      <c r="L75" s="46"/>
      <c r="M75" s="14"/>
    </row>
    <row r="76" spans="1:13" hidden="1" x14ac:dyDescent="0.25">
      <c r="A76" s="71" t="s">
        <v>41</v>
      </c>
      <c r="B76" s="71"/>
      <c r="C76" s="71"/>
      <c r="D76" s="71"/>
      <c r="E76" s="71"/>
      <c r="F76" s="51">
        <f>'Услуга №1  '!F77</f>
        <v>25730.891846153845</v>
      </c>
      <c r="G76" s="1">
        <v>0.1</v>
      </c>
      <c r="H76" s="53">
        <f>F76*G76*12</f>
        <v>30877.070215384614</v>
      </c>
      <c r="I76" s="1">
        <f>23715.113*1.302</f>
        <v>30877.077126000004</v>
      </c>
      <c r="J76" s="1">
        <v>2180</v>
      </c>
      <c r="K76" s="1">
        <f>I76/J76</f>
        <v>14.163796846788992</v>
      </c>
      <c r="L76" s="42"/>
      <c r="M76" s="14"/>
    </row>
    <row r="77" spans="1:13" hidden="1" x14ac:dyDescent="0.25">
      <c r="A77" s="71" t="s">
        <v>47</v>
      </c>
      <c r="B77" s="71"/>
      <c r="C77" s="71"/>
      <c r="D77" s="71"/>
      <c r="E77" s="71"/>
      <c r="F77" s="51">
        <f>'Услуга №1  '!F78</f>
        <v>22607.852884615382</v>
      </c>
      <c r="G77" s="1">
        <v>0.1</v>
      </c>
      <c r="H77" s="53">
        <f>F77*G77*12</f>
        <v>27129.423461538456</v>
      </c>
      <c r="I77" s="1">
        <f>20836.733*1.302</f>
        <v>27129.426366</v>
      </c>
      <c r="J77" s="1">
        <f>J76</f>
        <v>2180</v>
      </c>
      <c r="K77" s="1">
        <f>I77/J77</f>
        <v>12.444690993577982</v>
      </c>
      <c r="L77" s="42"/>
      <c r="M77" s="14"/>
    </row>
    <row r="78" spans="1:13" ht="33.75" customHeight="1" x14ac:dyDescent="0.25">
      <c r="A78" s="103" t="s">
        <v>23</v>
      </c>
      <c r="B78" s="104"/>
      <c r="C78" s="104"/>
      <c r="D78" s="104"/>
      <c r="E78" s="104"/>
      <c r="F78" s="31">
        <v>24083.84</v>
      </c>
      <c r="G78" s="31">
        <f>L23</f>
        <v>0.02</v>
      </c>
      <c r="H78" s="67">
        <f>F78*G78*12</f>
        <v>5780.1216000000004</v>
      </c>
      <c r="I78" s="2">
        <f>H78*1.302</f>
        <v>7525.7183232000007</v>
      </c>
      <c r="J78" s="40">
        <f>J77</f>
        <v>2180</v>
      </c>
      <c r="K78" s="2">
        <f>I78/J78</f>
        <v>3.4521643684403673</v>
      </c>
      <c r="L78" s="42"/>
      <c r="M78" s="14"/>
    </row>
    <row r="79" spans="1:13" x14ac:dyDescent="0.25">
      <c r="A79" s="47"/>
      <c r="B79" s="47"/>
      <c r="C79" s="47"/>
      <c r="D79" s="47"/>
      <c r="E79" s="47"/>
      <c r="F79" s="14"/>
      <c r="G79" s="14"/>
      <c r="H79" s="14"/>
      <c r="I79" s="14"/>
      <c r="J79" s="14"/>
      <c r="K79" s="14"/>
      <c r="L79" s="14"/>
      <c r="M79" s="14"/>
    </row>
    <row r="80" spans="1:13" x14ac:dyDescent="0.25">
      <c r="A80" s="87" t="s">
        <v>112</v>
      </c>
      <c r="B80" s="87"/>
      <c r="C80" s="87"/>
      <c r="D80" s="87"/>
      <c r="E80" s="87"/>
      <c r="F80" s="87"/>
      <c r="G80" s="87"/>
      <c r="H80" s="87"/>
      <c r="I80" s="87"/>
      <c r="J80" s="87"/>
      <c r="K80" s="87"/>
      <c r="L80" s="102"/>
      <c r="M80" s="14"/>
    </row>
    <row r="81" spans="1:13" ht="45" x14ac:dyDescent="0.25">
      <c r="A81" s="88" t="s">
        <v>18</v>
      </c>
      <c r="B81" s="88"/>
      <c r="C81" s="88"/>
      <c r="D81" s="88"/>
      <c r="E81" s="88"/>
      <c r="F81" s="28" t="s">
        <v>6</v>
      </c>
      <c r="G81" s="28" t="s">
        <v>58</v>
      </c>
      <c r="H81" s="28" t="s">
        <v>59</v>
      </c>
      <c r="I81" s="28" t="s">
        <v>74</v>
      </c>
      <c r="J81" s="28" t="s">
        <v>69</v>
      </c>
      <c r="K81" s="34" t="s">
        <v>70</v>
      </c>
      <c r="L81" s="35"/>
      <c r="M81" s="14"/>
    </row>
    <row r="82" spans="1:13" ht="37.5" customHeight="1" x14ac:dyDescent="0.25">
      <c r="A82" s="81" t="s">
        <v>113</v>
      </c>
      <c r="B82" s="69"/>
      <c r="C82" s="69"/>
      <c r="D82" s="69"/>
      <c r="E82" s="70"/>
      <c r="F82" s="1" t="s">
        <v>24</v>
      </c>
      <c r="G82" s="1">
        <v>12</v>
      </c>
      <c r="H82" s="53"/>
      <c r="I82" s="3">
        <f>720*1.1%</f>
        <v>7.9200000000000008</v>
      </c>
      <c r="J82" s="1">
        <v>2180</v>
      </c>
      <c r="K82" s="66">
        <f>I82/J82</f>
        <v>3.6330275229357802E-3</v>
      </c>
      <c r="L82" s="37"/>
      <c r="M82" s="14"/>
    </row>
    <row r="83" spans="1:13" x14ac:dyDescent="0.25">
      <c r="A83" s="83" t="s">
        <v>114</v>
      </c>
      <c r="B83" s="84"/>
      <c r="C83" s="84"/>
      <c r="D83" s="84"/>
      <c r="E83" s="84"/>
      <c r="F83" s="84"/>
      <c r="G83" s="84"/>
      <c r="H83" s="84"/>
      <c r="I83" s="10">
        <f>SUM(I82:I82)</f>
        <v>7.9200000000000008</v>
      </c>
      <c r="J83" s="40">
        <v>2180</v>
      </c>
      <c r="K83" s="65">
        <f>I83/J82</f>
        <v>3.6330275229357802E-3</v>
      </c>
      <c r="L83" s="37"/>
      <c r="M83" s="14"/>
    </row>
    <row r="84" spans="1:13" x14ac:dyDescent="0.25">
      <c r="A84" s="54"/>
      <c r="B84" s="54"/>
      <c r="C84" s="54"/>
      <c r="D84" s="54"/>
      <c r="E84" s="54"/>
      <c r="F84" s="54"/>
      <c r="G84" s="54"/>
      <c r="H84" s="54"/>
      <c r="I84" s="17"/>
      <c r="J84" s="55"/>
      <c r="K84" s="17"/>
      <c r="L84" s="42"/>
      <c r="M84" s="14"/>
    </row>
    <row r="85" spans="1:13" x14ac:dyDescent="0.25">
      <c r="A85" s="87" t="s">
        <v>115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102"/>
      <c r="M85" s="14"/>
    </row>
    <row r="86" spans="1:13" ht="45" x14ac:dyDescent="0.25">
      <c r="A86" s="88" t="s">
        <v>18</v>
      </c>
      <c r="B86" s="88"/>
      <c r="C86" s="88"/>
      <c r="D86" s="88"/>
      <c r="E86" s="88"/>
      <c r="F86" s="28" t="s">
        <v>6</v>
      </c>
      <c r="G86" s="28" t="s">
        <v>58</v>
      </c>
      <c r="H86" s="28" t="s">
        <v>59</v>
      </c>
      <c r="I86" s="28" t="s">
        <v>74</v>
      </c>
      <c r="J86" s="28" t="s">
        <v>69</v>
      </c>
      <c r="K86" s="34" t="s">
        <v>70</v>
      </c>
      <c r="L86" s="35"/>
      <c r="M86" s="14"/>
    </row>
    <row r="87" spans="1:13" ht="30" customHeight="1" x14ac:dyDescent="0.25">
      <c r="A87" s="81" t="s">
        <v>117</v>
      </c>
      <c r="B87" s="69"/>
      <c r="C87" s="69"/>
      <c r="D87" s="69"/>
      <c r="E87" s="70"/>
      <c r="F87" s="1" t="s">
        <v>24</v>
      </c>
      <c r="G87" s="1"/>
      <c r="H87" s="53"/>
      <c r="I87" s="3">
        <f>40000*1.1%</f>
        <v>440.00000000000006</v>
      </c>
      <c r="J87" s="1">
        <v>2180</v>
      </c>
      <c r="K87" s="36">
        <f>I87/J87</f>
        <v>0.20183486238532114</v>
      </c>
      <c r="L87" s="37"/>
      <c r="M87" s="14"/>
    </row>
    <row r="88" spans="1:13" x14ac:dyDescent="0.25">
      <c r="A88" s="71" t="s">
        <v>118</v>
      </c>
      <c r="B88" s="71"/>
      <c r="C88" s="71"/>
      <c r="D88" s="71"/>
      <c r="E88" s="71"/>
      <c r="F88" s="1" t="s">
        <v>24</v>
      </c>
      <c r="G88" s="1"/>
      <c r="H88" s="53"/>
      <c r="I88" s="3">
        <f>5419*1.1%</f>
        <v>59.609000000000009</v>
      </c>
      <c r="J88" s="1">
        <v>2180</v>
      </c>
      <c r="K88" s="36">
        <f>I88/J88</f>
        <v>2.7343577981651379E-2</v>
      </c>
      <c r="L88" s="37"/>
      <c r="M88" s="14"/>
    </row>
    <row r="89" spans="1:13" x14ac:dyDescent="0.25">
      <c r="A89" s="83" t="s">
        <v>116</v>
      </c>
      <c r="B89" s="84"/>
      <c r="C89" s="84"/>
      <c r="D89" s="84"/>
      <c r="E89" s="84"/>
      <c r="F89" s="84"/>
      <c r="G89" s="84"/>
      <c r="H89" s="84"/>
      <c r="I89" s="10">
        <f>SUM(I87:I88)</f>
        <v>499.60900000000004</v>
      </c>
      <c r="J89" s="10">
        <v>2180</v>
      </c>
      <c r="K89" s="10">
        <f>I89/J87</f>
        <v>0.22917844036697249</v>
      </c>
      <c r="L89" s="37"/>
      <c r="M89" s="14"/>
    </row>
    <row r="90" spans="1:13" x14ac:dyDescent="0.25">
      <c r="A90" s="54"/>
      <c r="B90" s="54"/>
      <c r="C90" s="54"/>
      <c r="D90" s="54"/>
      <c r="E90" s="54"/>
      <c r="F90" s="54"/>
      <c r="G90" s="54"/>
      <c r="H90" s="54"/>
      <c r="I90" s="17"/>
      <c r="J90" s="17"/>
      <c r="K90" s="17"/>
      <c r="L90" s="42"/>
      <c r="M90" s="14"/>
    </row>
    <row r="91" spans="1:13" x14ac:dyDescent="0.25">
      <c r="A91" s="87" t="s">
        <v>119</v>
      </c>
      <c r="B91" s="87"/>
      <c r="C91" s="87"/>
      <c r="D91" s="87"/>
      <c r="E91" s="87"/>
      <c r="F91" s="87"/>
      <c r="G91" s="87"/>
      <c r="H91" s="87"/>
      <c r="I91" s="87"/>
      <c r="J91" s="87"/>
      <c r="K91" s="87"/>
      <c r="L91" s="102"/>
      <c r="M91" s="14"/>
    </row>
    <row r="92" spans="1:13" ht="45" x14ac:dyDescent="0.25">
      <c r="A92" s="88" t="s">
        <v>18</v>
      </c>
      <c r="B92" s="88"/>
      <c r="C92" s="88"/>
      <c r="D92" s="88"/>
      <c r="E92" s="88"/>
      <c r="F92" s="28" t="s">
        <v>6</v>
      </c>
      <c r="G92" s="28" t="s">
        <v>58</v>
      </c>
      <c r="H92" s="28" t="s">
        <v>59</v>
      </c>
      <c r="I92" s="28" t="s">
        <v>74</v>
      </c>
      <c r="J92" s="28" t="s">
        <v>69</v>
      </c>
      <c r="K92" s="34" t="s">
        <v>70</v>
      </c>
      <c r="L92" s="35"/>
      <c r="M92" s="14"/>
    </row>
    <row r="93" spans="1:13" ht="37.5" customHeight="1" x14ac:dyDescent="0.25">
      <c r="A93" s="81" t="s">
        <v>121</v>
      </c>
      <c r="B93" s="69"/>
      <c r="C93" s="69"/>
      <c r="D93" s="69"/>
      <c r="E93" s="70"/>
      <c r="F93" s="1"/>
      <c r="G93" s="1"/>
      <c r="H93" s="53"/>
      <c r="I93" s="3">
        <f>48125*1.1%</f>
        <v>529.375</v>
      </c>
      <c r="J93" s="1">
        <v>2180</v>
      </c>
      <c r="K93" s="36">
        <f>I93/J93</f>
        <v>0.24283256880733944</v>
      </c>
      <c r="L93" s="37"/>
      <c r="M93" s="14"/>
    </row>
    <row r="94" spans="1:13" x14ac:dyDescent="0.25">
      <c r="A94" s="83" t="s">
        <v>120</v>
      </c>
      <c r="B94" s="84"/>
      <c r="C94" s="84"/>
      <c r="D94" s="84"/>
      <c r="E94" s="84"/>
      <c r="F94" s="84"/>
      <c r="G94" s="84"/>
      <c r="H94" s="84"/>
      <c r="I94" s="10">
        <f>SUM(I93:I93)</f>
        <v>529.375</v>
      </c>
      <c r="J94" s="40">
        <v>2180</v>
      </c>
      <c r="K94" s="10">
        <f>I94/J93</f>
        <v>0.24283256880733944</v>
      </c>
      <c r="L94" s="37"/>
      <c r="M94" s="16"/>
    </row>
    <row r="95" spans="1:13" x14ac:dyDescent="0.25">
      <c r="A95" s="54"/>
      <c r="B95" s="54"/>
      <c r="C95" s="54"/>
      <c r="D95" s="54"/>
      <c r="E95" s="54"/>
      <c r="F95" s="54"/>
      <c r="G95" s="54"/>
      <c r="H95" s="54"/>
      <c r="I95" s="17"/>
      <c r="J95" s="55"/>
      <c r="K95" s="17"/>
      <c r="L95" s="42"/>
      <c r="M95" s="16"/>
    </row>
    <row r="96" spans="1:13" x14ac:dyDescent="0.25">
      <c r="A96" s="87" t="s">
        <v>122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102"/>
      <c r="M96" s="14"/>
    </row>
    <row r="97" spans="1:13" ht="45" x14ac:dyDescent="0.25">
      <c r="A97" s="88" t="s">
        <v>18</v>
      </c>
      <c r="B97" s="88"/>
      <c r="C97" s="88"/>
      <c r="D97" s="88"/>
      <c r="E97" s="88"/>
      <c r="F97" s="28" t="s">
        <v>6</v>
      </c>
      <c r="G97" s="28" t="s">
        <v>58</v>
      </c>
      <c r="H97" s="28" t="s">
        <v>59</v>
      </c>
      <c r="I97" s="28" t="s">
        <v>74</v>
      </c>
      <c r="J97" s="28" t="s">
        <v>69</v>
      </c>
      <c r="K97" s="34" t="s">
        <v>70</v>
      </c>
      <c r="L97" s="35"/>
      <c r="M97" s="14"/>
    </row>
    <row r="98" spans="1:13" ht="37.5" customHeight="1" x14ac:dyDescent="0.25">
      <c r="A98" s="81" t="s">
        <v>93</v>
      </c>
      <c r="B98" s="69"/>
      <c r="C98" s="69"/>
      <c r="D98" s="69"/>
      <c r="E98" s="70"/>
      <c r="F98" s="1"/>
      <c r="G98" s="1"/>
      <c r="H98" s="53"/>
      <c r="I98" s="3">
        <f>200000*1.1%</f>
        <v>2200</v>
      </c>
      <c r="J98" s="1">
        <v>2180</v>
      </c>
      <c r="K98" s="36">
        <f>I98/J98</f>
        <v>1.0091743119266054</v>
      </c>
      <c r="L98" s="37"/>
      <c r="M98" s="14"/>
    </row>
    <row r="99" spans="1:13" x14ac:dyDescent="0.25">
      <c r="A99" s="83" t="s">
        <v>120</v>
      </c>
      <c r="B99" s="84"/>
      <c r="C99" s="84"/>
      <c r="D99" s="84"/>
      <c r="E99" s="84"/>
      <c r="F99" s="84"/>
      <c r="G99" s="84"/>
      <c r="H99" s="84"/>
      <c r="I99" s="2">
        <f>200000*1.1%</f>
        <v>2200</v>
      </c>
      <c r="J99" s="40">
        <v>2180</v>
      </c>
      <c r="K99" s="10">
        <f>I99/J98</f>
        <v>1.0091743119266054</v>
      </c>
      <c r="L99" s="37"/>
      <c r="M99" s="16"/>
    </row>
    <row r="100" spans="1:13" x14ac:dyDescent="0.25">
      <c r="A100" s="87" t="s">
        <v>83</v>
      </c>
      <c r="B100" s="87"/>
      <c r="C100" s="87"/>
      <c r="D100" s="87"/>
      <c r="E100" s="87"/>
      <c r="F100" s="87"/>
      <c r="G100" s="87"/>
      <c r="H100" s="87"/>
      <c r="I100" s="87"/>
      <c r="J100" s="87"/>
      <c r="K100" s="87"/>
      <c r="L100" s="102"/>
      <c r="M100" s="14"/>
    </row>
    <row r="101" spans="1:13" ht="45" x14ac:dyDescent="0.25">
      <c r="A101" s="88" t="s">
        <v>85</v>
      </c>
      <c r="B101" s="88"/>
      <c r="C101" s="88"/>
      <c r="D101" s="88"/>
      <c r="E101" s="88"/>
      <c r="F101" s="28" t="s">
        <v>6</v>
      </c>
      <c r="G101" s="28" t="s">
        <v>58</v>
      </c>
      <c r="H101" s="28" t="s">
        <v>59</v>
      </c>
      <c r="I101" s="28" t="s">
        <v>74</v>
      </c>
      <c r="J101" s="28" t="s">
        <v>69</v>
      </c>
      <c r="K101" s="34" t="s">
        <v>70</v>
      </c>
      <c r="L101" s="35"/>
      <c r="M101" s="14"/>
    </row>
    <row r="102" spans="1:13" ht="30" customHeight="1" x14ac:dyDescent="0.25">
      <c r="A102" s="81" t="s">
        <v>96</v>
      </c>
      <c r="B102" s="69"/>
      <c r="C102" s="69"/>
      <c r="D102" s="69"/>
      <c r="E102" s="70"/>
      <c r="F102" s="1" t="s">
        <v>24</v>
      </c>
      <c r="G102" s="1"/>
      <c r="H102" s="53"/>
      <c r="I102" s="3">
        <f>4000*1.1%</f>
        <v>44.000000000000007</v>
      </c>
      <c r="J102" s="1">
        <f>J77</f>
        <v>2180</v>
      </c>
      <c r="K102" s="36">
        <f>I102/J102</f>
        <v>2.0183486238532115E-2</v>
      </c>
      <c r="L102" s="37"/>
      <c r="M102" s="14"/>
    </row>
    <row r="103" spans="1:13" ht="30.75" customHeight="1" x14ac:dyDescent="0.25">
      <c r="A103" s="82" t="s">
        <v>123</v>
      </c>
      <c r="B103" s="82"/>
      <c r="C103" s="82"/>
      <c r="D103" s="82"/>
      <c r="E103" s="82"/>
      <c r="F103" s="1" t="s">
        <v>24</v>
      </c>
      <c r="G103" s="1"/>
      <c r="H103" s="53"/>
      <c r="I103" s="3">
        <f>6000*1.1%</f>
        <v>66</v>
      </c>
      <c r="J103" s="1">
        <f>J102</f>
        <v>2180</v>
      </c>
      <c r="K103" s="36">
        <f>I103/J103</f>
        <v>3.0275229357798167E-2</v>
      </c>
      <c r="L103" s="37"/>
      <c r="M103" s="14"/>
    </row>
    <row r="104" spans="1:13" x14ac:dyDescent="0.25">
      <c r="A104" s="83" t="s">
        <v>84</v>
      </c>
      <c r="B104" s="84"/>
      <c r="C104" s="84"/>
      <c r="D104" s="84"/>
      <c r="E104" s="84"/>
      <c r="F104" s="84"/>
      <c r="G104" s="84"/>
      <c r="H104" s="84"/>
      <c r="I104" s="10">
        <f>SUM(I102:I103)</f>
        <v>110</v>
      </c>
      <c r="J104" s="40">
        <f>J103</f>
        <v>2180</v>
      </c>
      <c r="K104" s="10">
        <f>I104/J104</f>
        <v>5.0458715596330278E-2</v>
      </c>
      <c r="L104" s="37"/>
      <c r="M104" s="14"/>
    </row>
    <row r="105" spans="1:13" x14ac:dyDescent="0.25">
      <c r="A105" s="45"/>
      <c r="B105" s="45"/>
      <c r="C105" s="45"/>
      <c r="D105" s="45"/>
      <c r="E105" s="45"/>
      <c r="F105" s="45"/>
      <c r="G105" s="45"/>
      <c r="H105" s="47"/>
      <c r="I105" s="47"/>
      <c r="J105" s="47"/>
      <c r="K105" s="47"/>
      <c r="L105" s="42"/>
      <c r="M105" s="14"/>
    </row>
    <row r="106" spans="1:13" x14ac:dyDescent="0.25">
      <c r="A106" s="87" t="s">
        <v>25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87"/>
      <c r="M106" s="14"/>
    </row>
    <row r="107" spans="1:13" x14ac:dyDescent="0.25">
      <c r="A107" s="75" t="s">
        <v>26</v>
      </c>
      <c r="B107" s="75"/>
      <c r="C107" s="75"/>
      <c r="D107" s="72" t="s">
        <v>27</v>
      </c>
      <c r="E107" s="73"/>
      <c r="F107" s="73"/>
      <c r="G107" s="73"/>
      <c r="H107" s="73"/>
      <c r="I107" s="73"/>
      <c r="J107" s="74"/>
      <c r="K107" s="75" t="s">
        <v>38</v>
      </c>
      <c r="L107" s="75"/>
      <c r="M107" s="14"/>
    </row>
    <row r="108" spans="1:13" ht="30" x14ac:dyDescent="0.25">
      <c r="A108" s="1" t="s">
        <v>28</v>
      </c>
      <c r="B108" s="30" t="s">
        <v>29</v>
      </c>
      <c r="C108" s="1" t="s">
        <v>30</v>
      </c>
      <c r="D108" s="1" t="s">
        <v>31</v>
      </c>
      <c r="E108" s="1" t="s">
        <v>32</v>
      </c>
      <c r="F108" s="1" t="s">
        <v>33</v>
      </c>
      <c r="G108" s="1" t="s">
        <v>34</v>
      </c>
      <c r="H108" s="1" t="s">
        <v>35</v>
      </c>
      <c r="I108" s="1" t="s">
        <v>36</v>
      </c>
      <c r="J108" s="1" t="s">
        <v>37</v>
      </c>
      <c r="K108" s="75"/>
      <c r="L108" s="75"/>
      <c r="M108" s="14"/>
    </row>
    <row r="109" spans="1:13" x14ac:dyDescent="0.25">
      <c r="A109" s="1">
        <f>K33</f>
        <v>78.265135063119274</v>
      </c>
      <c r="B109" s="1"/>
      <c r="C109" s="1"/>
      <c r="D109" s="1">
        <f>K42</f>
        <v>6.2683083211009185</v>
      </c>
      <c r="E109" s="1">
        <f>K54</f>
        <v>2.3378532110091745</v>
      </c>
      <c r="F109" s="1"/>
      <c r="G109" s="1">
        <f>K71</f>
        <v>0.88504587155963321</v>
      </c>
      <c r="H109" s="1">
        <f>K104</f>
        <v>5.0458715596330278E-2</v>
      </c>
      <c r="I109" s="1">
        <f>K78</f>
        <v>3.4521643684403673</v>
      </c>
      <c r="J109" s="1">
        <f>K64++K83+K89+K94+K99</f>
        <v>4.305460550458716</v>
      </c>
      <c r="K109" s="76">
        <f>A109+D109+E109+G109+H109+J109+I109</f>
        <v>95.564426101284411</v>
      </c>
      <c r="L109" s="77"/>
      <c r="M109" s="14"/>
    </row>
    <row r="110" spans="1:13" ht="30" customHeight="1" x14ac:dyDescent="0.25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</row>
    <row r="111" spans="1:13" x14ac:dyDescent="0.25">
      <c r="A111" s="56" t="s">
        <v>48</v>
      </c>
      <c r="B111" s="9"/>
      <c r="C111" s="56"/>
      <c r="D111" s="56"/>
      <c r="E111" s="56"/>
      <c r="F111" s="56" t="s">
        <v>49</v>
      </c>
      <c r="G111" s="9"/>
      <c r="H111" s="9"/>
      <c r="I111" s="12">
        <f>I33+I42+I54+I64+I71+I83+I89+I94+I99+I104+I78</f>
        <v>208330.44890080002</v>
      </c>
      <c r="J111" s="9"/>
      <c r="K111" s="12">
        <f>K109*J103</f>
        <v>208330.44890080002</v>
      </c>
      <c r="L111" s="9"/>
      <c r="M111" s="9"/>
    </row>
    <row r="112" spans="1:13" x14ac:dyDescent="0.25">
      <c r="A112" s="57"/>
      <c r="B112" s="58"/>
      <c r="C112" s="59"/>
    </row>
    <row r="113" spans="1:13" x14ac:dyDescent="0.25">
      <c r="A113" s="60"/>
    </row>
    <row r="115" spans="1:13" x14ac:dyDescent="0.25">
      <c r="A115" s="56" t="s">
        <v>98</v>
      </c>
      <c r="B115" s="61"/>
      <c r="C115" s="9"/>
      <c r="D115" s="56"/>
      <c r="E115" s="56"/>
      <c r="F115" s="56"/>
      <c r="G115" s="9"/>
      <c r="H115" s="9"/>
      <c r="I115" s="9"/>
      <c r="J115" s="9"/>
      <c r="K115" s="9"/>
      <c r="L115" s="9"/>
      <c r="M115" s="9"/>
    </row>
    <row r="116" spans="1:13" x14ac:dyDescent="0.25">
      <c r="A116" s="56" t="s">
        <v>50</v>
      </c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</sheetData>
  <mergeCells count="104">
    <mergeCell ref="A96:L96"/>
    <mergeCell ref="A15:E15"/>
    <mergeCell ref="G15:K15"/>
    <mergeCell ref="A30:E30"/>
    <mergeCell ref="A31:E31"/>
    <mergeCell ref="A32:E32"/>
    <mergeCell ref="A23:E23"/>
    <mergeCell ref="G23:K23"/>
    <mergeCell ref="A25:G25"/>
    <mergeCell ref="A26:E26"/>
    <mergeCell ref="A27:E27"/>
    <mergeCell ref="A28:E28"/>
    <mergeCell ref="A29:E29"/>
    <mergeCell ref="A33:E33"/>
    <mergeCell ref="A36:E36"/>
    <mergeCell ref="A37:E37"/>
    <mergeCell ref="A46:E46"/>
    <mergeCell ref="A40:E40"/>
    <mergeCell ref="A44:L44"/>
    <mergeCell ref="A38:E38"/>
    <mergeCell ref="A39:E39"/>
    <mergeCell ref="A41:E41"/>
    <mergeCell ref="A1:D1"/>
    <mergeCell ref="A2:F2"/>
    <mergeCell ref="A3:E3"/>
    <mergeCell ref="A5:E5"/>
    <mergeCell ref="A6:C6"/>
    <mergeCell ref="A7:L7"/>
    <mergeCell ref="A8:L8"/>
    <mergeCell ref="A9:L9"/>
    <mergeCell ref="A10:L10"/>
    <mergeCell ref="A14:E14"/>
    <mergeCell ref="G14:K14"/>
    <mergeCell ref="A16:E16"/>
    <mergeCell ref="G16:K16"/>
    <mergeCell ref="A17:E17"/>
    <mergeCell ref="G17:K17"/>
    <mergeCell ref="A18:E18"/>
    <mergeCell ref="G18:K18"/>
    <mergeCell ref="A22:E22"/>
    <mergeCell ref="G22:K22"/>
    <mergeCell ref="A19:E19"/>
    <mergeCell ref="G19:K19"/>
    <mergeCell ref="A20:E20"/>
    <mergeCell ref="G20:K20"/>
    <mergeCell ref="A21:E21"/>
    <mergeCell ref="G21:K21"/>
    <mergeCell ref="A56:L56"/>
    <mergeCell ref="A47:E47"/>
    <mergeCell ref="A48:E48"/>
    <mergeCell ref="A49:E49"/>
    <mergeCell ref="A50:E50"/>
    <mergeCell ref="A51:E51"/>
    <mergeCell ref="A52:E52"/>
    <mergeCell ref="A60:E60"/>
    <mergeCell ref="A61:E61"/>
    <mergeCell ref="A62:E62"/>
    <mergeCell ref="A102:E102"/>
    <mergeCell ref="A103:E103"/>
    <mergeCell ref="A77:E77"/>
    <mergeCell ref="A75:E75"/>
    <mergeCell ref="A76:E76"/>
    <mergeCell ref="A100:L100"/>
    <mergeCell ref="A78:E78"/>
    <mergeCell ref="A80:L80"/>
    <mergeCell ref="A81:E81"/>
    <mergeCell ref="A82:E82"/>
    <mergeCell ref="A83:H83"/>
    <mergeCell ref="A85:L85"/>
    <mergeCell ref="A86:E86"/>
    <mergeCell ref="A87:E87"/>
    <mergeCell ref="A88:E88"/>
    <mergeCell ref="A89:H89"/>
    <mergeCell ref="A97:E97"/>
    <mergeCell ref="A98:E98"/>
    <mergeCell ref="A99:H99"/>
    <mergeCell ref="A91:L91"/>
    <mergeCell ref="A92:E92"/>
    <mergeCell ref="A93:E93"/>
    <mergeCell ref="A94:H94"/>
    <mergeCell ref="A104:H104"/>
    <mergeCell ref="K109:L109"/>
    <mergeCell ref="A35:L35"/>
    <mergeCell ref="A45:E45"/>
    <mergeCell ref="A42:H42"/>
    <mergeCell ref="A59:E59"/>
    <mergeCell ref="A63:E63"/>
    <mergeCell ref="A64:H64"/>
    <mergeCell ref="A101:E101"/>
    <mergeCell ref="A106:L106"/>
    <mergeCell ref="A107:C107"/>
    <mergeCell ref="D107:J107"/>
    <mergeCell ref="A53:E53"/>
    <mergeCell ref="A54:H54"/>
    <mergeCell ref="K107:L108"/>
    <mergeCell ref="A68:E68"/>
    <mergeCell ref="A70:E70"/>
    <mergeCell ref="A73:M73"/>
    <mergeCell ref="A57:E57"/>
    <mergeCell ref="A66:L66"/>
    <mergeCell ref="A58:E58"/>
    <mergeCell ref="A67:E67"/>
    <mergeCell ref="A71:H71"/>
    <mergeCell ref="A69:E69"/>
  </mergeCells>
  <pageMargins left="0.7" right="0.7" top="0.75" bottom="0.75" header="0.3" footer="0.3"/>
  <pageSetup paperSize="9" scale="8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22"/>
  <sheetViews>
    <sheetView topLeftCell="A101" zoomScale="80" zoomScaleNormal="80" workbookViewId="0">
      <selection activeCell="I84" sqref="I84"/>
    </sheetView>
  </sheetViews>
  <sheetFormatPr defaultRowHeight="15" x14ac:dyDescent="0.25"/>
  <cols>
    <col min="1" max="1" width="9.140625" style="5"/>
    <col min="2" max="2" width="10.28515625" style="5" bestFit="1" customWidth="1"/>
    <col min="3" max="4" width="9.140625" style="5"/>
    <col min="5" max="5" width="10.28515625" style="5" customWidth="1"/>
    <col min="6" max="6" width="13.7109375" style="5" customWidth="1"/>
    <col min="7" max="7" width="14.28515625" style="5" customWidth="1"/>
    <col min="8" max="8" width="17.42578125" style="5" customWidth="1"/>
    <col min="9" max="9" width="13.7109375" style="5" customWidth="1"/>
    <col min="10" max="10" width="14.85546875" style="5" customWidth="1"/>
    <col min="11" max="11" width="17.140625" style="5" customWidth="1"/>
    <col min="12" max="12" width="14" style="5" customWidth="1"/>
    <col min="13" max="13" width="13.28515625" style="5" customWidth="1"/>
    <col min="14" max="16384" width="9.140625" style="5"/>
  </cols>
  <sheetData>
    <row r="1" spans="1:15" ht="15.75" x14ac:dyDescent="0.25">
      <c r="A1" s="109" t="s">
        <v>51</v>
      </c>
      <c r="B1" s="109"/>
      <c r="C1" s="109"/>
      <c r="D1" s="109"/>
      <c r="E1" s="18"/>
      <c r="F1" s="18"/>
    </row>
    <row r="2" spans="1:15" ht="15.75" x14ac:dyDescent="0.25">
      <c r="A2" s="109" t="s">
        <v>52</v>
      </c>
      <c r="B2" s="109"/>
      <c r="C2" s="113"/>
      <c r="D2" s="113"/>
      <c r="E2" s="113"/>
      <c r="F2" s="113"/>
    </row>
    <row r="3" spans="1:15" ht="15.75" x14ac:dyDescent="0.25">
      <c r="A3" s="110" t="s">
        <v>53</v>
      </c>
      <c r="B3" s="110"/>
      <c r="C3" s="110"/>
      <c r="D3" s="113"/>
      <c r="E3" s="113"/>
      <c r="F3" s="18"/>
    </row>
    <row r="4" spans="1:15" ht="9.75" customHeight="1" x14ac:dyDescent="0.25">
      <c r="A4" s="19"/>
      <c r="B4" s="19"/>
      <c r="C4" s="19"/>
      <c r="D4" s="20"/>
      <c r="E4" s="18"/>
      <c r="F4" s="18"/>
    </row>
    <row r="5" spans="1:15" ht="15.75" x14ac:dyDescent="0.25">
      <c r="A5" s="110" t="s">
        <v>54</v>
      </c>
      <c r="B5" s="110"/>
      <c r="C5" s="110"/>
      <c r="D5" s="113"/>
      <c r="E5" s="113"/>
      <c r="F5" s="18"/>
    </row>
    <row r="6" spans="1:15" ht="12.75" customHeight="1" x14ac:dyDescent="0.25">
      <c r="A6" s="110"/>
      <c r="B6" s="110"/>
      <c r="C6" s="110"/>
      <c r="D6" s="20"/>
      <c r="E6" s="18"/>
      <c r="F6" s="18"/>
    </row>
    <row r="7" spans="1:15" ht="15.75" x14ac:dyDescent="0.25">
      <c r="A7" s="111" t="s">
        <v>55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  <c r="L7" s="111"/>
    </row>
    <row r="8" spans="1:15" ht="15.75" x14ac:dyDescent="0.25">
      <c r="A8" s="111" t="s">
        <v>86</v>
      </c>
      <c r="B8" s="111"/>
      <c r="C8" s="111"/>
      <c r="D8" s="111"/>
      <c r="E8" s="111"/>
      <c r="F8" s="111"/>
      <c r="G8" s="111"/>
      <c r="H8" s="111"/>
      <c r="I8" s="111"/>
      <c r="J8" s="111"/>
      <c r="K8" s="111"/>
      <c r="L8" s="111"/>
    </row>
    <row r="9" spans="1:15" ht="14.25" customHeight="1" x14ac:dyDescent="0.25">
      <c r="A9" s="112" t="s">
        <v>97</v>
      </c>
      <c r="B9" s="112"/>
      <c r="C9" s="112"/>
      <c r="D9" s="112"/>
      <c r="E9" s="112"/>
      <c r="F9" s="112"/>
      <c r="G9" s="112"/>
      <c r="H9" s="112"/>
      <c r="I9" s="112"/>
      <c r="J9" s="112"/>
      <c r="K9" s="112"/>
      <c r="L9" s="112"/>
    </row>
    <row r="10" spans="1:15" ht="16.5" customHeight="1" x14ac:dyDescent="0.25">
      <c r="A10" s="123" t="s">
        <v>90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22"/>
      <c r="O10" s="22"/>
    </row>
    <row r="11" spans="1:15" x14ac:dyDescent="0.25">
      <c r="A11" s="16" t="s">
        <v>87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</row>
    <row r="12" spans="1:15" x14ac:dyDescent="0.25">
      <c r="A12" s="16" t="s">
        <v>101</v>
      </c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5" x14ac:dyDescent="0.25">
      <c r="A13" s="16" t="s">
        <v>64</v>
      </c>
      <c r="B13" s="14"/>
      <c r="C13" s="14"/>
      <c r="D13" s="14"/>
      <c r="E13" s="14"/>
    </row>
    <row r="14" spans="1:15" ht="33" customHeight="1" x14ac:dyDescent="0.25">
      <c r="A14" s="75" t="s">
        <v>0</v>
      </c>
      <c r="B14" s="75"/>
      <c r="C14" s="75"/>
      <c r="D14" s="75"/>
      <c r="E14" s="75"/>
      <c r="F14" s="1" t="s">
        <v>1</v>
      </c>
      <c r="G14" s="75" t="s">
        <v>2</v>
      </c>
      <c r="H14" s="75"/>
      <c r="I14" s="75"/>
      <c r="J14" s="75"/>
      <c r="K14" s="75"/>
      <c r="L14" s="1" t="s">
        <v>1</v>
      </c>
      <c r="M14" s="14"/>
    </row>
    <row r="15" spans="1:15" ht="16.5" customHeight="1" x14ac:dyDescent="0.25">
      <c r="A15" s="89" t="s">
        <v>57</v>
      </c>
      <c r="B15" s="90"/>
      <c r="C15" s="90"/>
      <c r="D15" s="90"/>
      <c r="E15" s="91"/>
      <c r="F15" s="24">
        <v>0.85</v>
      </c>
      <c r="G15" s="68" t="s">
        <v>40</v>
      </c>
      <c r="H15" s="90"/>
      <c r="I15" s="90"/>
      <c r="J15" s="90"/>
      <c r="K15" s="91"/>
      <c r="L15" s="24">
        <v>0.85</v>
      </c>
      <c r="M15" s="14"/>
    </row>
    <row r="16" spans="1:15" ht="15.75" customHeight="1" x14ac:dyDescent="0.25">
      <c r="A16" s="89" t="s">
        <v>42</v>
      </c>
      <c r="B16" s="90"/>
      <c r="C16" s="90"/>
      <c r="D16" s="90"/>
      <c r="E16" s="91"/>
      <c r="F16" s="24">
        <v>17.47</v>
      </c>
      <c r="G16" s="68" t="s">
        <v>41</v>
      </c>
      <c r="H16" s="90"/>
      <c r="I16" s="90"/>
      <c r="J16" s="90"/>
      <c r="K16" s="91"/>
      <c r="L16" s="24">
        <v>0.85</v>
      </c>
      <c r="M16" s="14"/>
    </row>
    <row r="17" spans="1:13" ht="15" customHeight="1" x14ac:dyDescent="0.25">
      <c r="A17" s="89" t="s">
        <v>66</v>
      </c>
      <c r="B17" s="90"/>
      <c r="C17" s="90"/>
      <c r="D17" s="90"/>
      <c r="E17" s="91"/>
      <c r="F17" s="64">
        <v>0.85</v>
      </c>
      <c r="G17" s="68"/>
      <c r="H17" s="90"/>
      <c r="I17" s="90"/>
      <c r="J17" s="90"/>
      <c r="K17" s="91"/>
      <c r="L17" s="23"/>
      <c r="M17" s="14"/>
    </row>
    <row r="18" spans="1:13" ht="16.5" customHeight="1" x14ac:dyDescent="0.25">
      <c r="A18" s="89" t="s">
        <v>45</v>
      </c>
      <c r="B18" s="90"/>
      <c r="C18" s="90"/>
      <c r="D18" s="90"/>
      <c r="E18" s="91"/>
      <c r="F18" s="24">
        <v>0.85</v>
      </c>
      <c r="G18" s="68"/>
      <c r="H18" s="90"/>
      <c r="I18" s="90"/>
      <c r="J18" s="90"/>
      <c r="K18" s="91"/>
      <c r="L18" s="23"/>
      <c r="M18" s="14"/>
    </row>
    <row r="19" spans="1:13" ht="15" customHeight="1" x14ac:dyDescent="0.25">
      <c r="A19" s="68" t="s">
        <v>44</v>
      </c>
      <c r="B19" s="99"/>
      <c r="C19" s="99"/>
      <c r="D19" s="99"/>
      <c r="E19" s="100"/>
      <c r="F19" s="24">
        <v>5.1100000000000003</v>
      </c>
      <c r="G19" s="68"/>
      <c r="H19" s="90"/>
      <c r="I19" s="90"/>
      <c r="J19" s="90"/>
      <c r="K19" s="91"/>
      <c r="L19" s="23"/>
      <c r="M19" s="14"/>
    </row>
    <row r="20" spans="1:13" ht="15.75" customHeight="1" x14ac:dyDescent="0.25">
      <c r="A20" s="68" t="s">
        <v>43</v>
      </c>
      <c r="B20" s="99"/>
      <c r="C20" s="99"/>
      <c r="D20" s="99"/>
      <c r="E20" s="100"/>
      <c r="F20" s="24">
        <v>7.67</v>
      </c>
      <c r="G20" s="68"/>
      <c r="H20" s="99"/>
      <c r="I20" s="99"/>
      <c r="J20" s="99"/>
      <c r="K20" s="100"/>
      <c r="L20" s="23"/>
      <c r="M20" s="14"/>
    </row>
    <row r="21" spans="1:13" ht="14.25" customHeight="1" x14ac:dyDescent="0.25">
      <c r="A21" s="68"/>
      <c r="B21" s="99"/>
      <c r="C21" s="99"/>
      <c r="D21" s="99"/>
      <c r="E21" s="100"/>
      <c r="F21" s="24"/>
      <c r="G21" s="68"/>
      <c r="H21" s="99"/>
      <c r="I21" s="99"/>
      <c r="J21" s="99"/>
      <c r="K21" s="100"/>
      <c r="L21" s="23"/>
      <c r="M21" s="14"/>
    </row>
    <row r="22" spans="1:13" ht="15" customHeight="1" x14ac:dyDescent="0.25">
      <c r="A22" s="68"/>
      <c r="B22" s="90"/>
      <c r="C22" s="90"/>
      <c r="D22" s="90"/>
      <c r="E22" s="91"/>
      <c r="F22" s="24"/>
      <c r="G22" s="68"/>
      <c r="H22" s="99"/>
      <c r="I22" s="99"/>
      <c r="J22" s="99"/>
      <c r="K22" s="100"/>
      <c r="L22" s="23"/>
      <c r="M22" s="14"/>
    </row>
    <row r="23" spans="1:13" x14ac:dyDescent="0.25">
      <c r="A23" s="95" t="s">
        <v>3</v>
      </c>
      <c r="B23" s="96"/>
      <c r="C23" s="96"/>
      <c r="D23" s="96"/>
      <c r="E23" s="97"/>
      <c r="F23" s="24">
        <f>SUM(F15:F22)</f>
        <v>32.800000000000004</v>
      </c>
      <c r="G23" s="89"/>
      <c r="H23" s="90"/>
      <c r="I23" s="90"/>
      <c r="J23" s="90"/>
      <c r="K23" s="91"/>
      <c r="L23" s="24">
        <f>SUM(L15:L22)</f>
        <v>1.7</v>
      </c>
      <c r="M23" s="14"/>
    </row>
    <row r="24" spans="1:13" x14ac:dyDescent="0.25">
      <c r="A24" s="25"/>
      <c r="B24" s="25"/>
      <c r="C24" s="25"/>
      <c r="D24" s="25"/>
      <c r="E24" s="25"/>
      <c r="F24" s="26"/>
      <c r="G24" s="27"/>
      <c r="H24" s="27"/>
      <c r="I24" s="27"/>
      <c r="J24" s="27"/>
      <c r="K24" s="27"/>
      <c r="L24" s="26"/>
      <c r="M24" s="14"/>
    </row>
    <row r="25" spans="1:13" x14ac:dyDescent="0.25">
      <c r="A25" s="101" t="s">
        <v>88</v>
      </c>
      <c r="B25" s="101"/>
      <c r="C25" s="101"/>
      <c r="D25" s="101"/>
      <c r="E25" s="101"/>
      <c r="F25" s="101"/>
      <c r="G25" s="101"/>
      <c r="H25" s="14">
        <v>170798</v>
      </c>
      <c r="I25" s="14"/>
      <c r="J25" s="14"/>
      <c r="K25" s="14"/>
      <c r="L25" s="14"/>
      <c r="M25" s="14"/>
    </row>
    <row r="26" spans="1:13" ht="75" x14ac:dyDescent="0.25">
      <c r="A26" s="72" t="s">
        <v>4</v>
      </c>
      <c r="B26" s="73"/>
      <c r="C26" s="73"/>
      <c r="D26" s="73"/>
      <c r="E26" s="74"/>
      <c r="F26" s="28" t="s">
        <v>5</v>
      </c>
      <c r="G26" s="28" t="s">
        <v>1</v>
      </c>
      <c r="H26" s="28" t="s">
        <v>67</v>
      </c>
      <c r="I26" s="28" t="s">
        <v>68</v>
      </c>
      <c r="J26" s="28" t="s">
        <v>69</v>
      </c>
      <c r="K26" s="29" t="s">
        <v>70</v>
      </c>
      <c r="L26" s="46"/>
      <c r="M26" s="14"/>
    </row>
    <row r="27" spans="1:13" ht="18.75" hidden="1" customHeight="1" x14ac:dyDescent="0.25">
      <c r="A27" s="81" t="s">
        <v>57</v>
      </c>
      <c r="B27" s="69"/>
      <c r="C27" s="69"/>
      <c r="D27" s="69"/>
      <c r="E27" s="70"/>
      <c r="F27" s="1">
        <f>'Услуга №1  '!F27</f>
        <v>0</v>
      </c>
      <c r="G27" s="24">
        <v>0.85</v>
      </c>
      <c r="H27" s="1">
        <f>F27*G27*12</f>
        <v>0</v>
      </c>
      <c r="I27" s="1">
        <f>H27*1.302</f>
        <v>0</v>
      </c>
      <c r="J27" s="1">
        <f>H25</f>
        <v>170798</v>
      </c>
      <c r="K27" s="1">
        <f>I27/J27</f>
        <v>0</v>
      </c>
      <c r="L27" s="42"/>
      <c r="M27" s="14"/>
    </row>
    <row r="28" spans="1:13" ht="16.5" hidden="1" customHeight="1" x14ac:dyDescent="0.25">
      <c r="A28" s="98" t="s">
        <v>42</v>
      </c>
      <c r="B28" s="98"/>
      <c r="C28" s="98"/>
      <c r="D28" s="98"/>
      <c r="E28" s="98"/>
      <c r="F28" s="1">
        <f>'Услуга №1  '!F28</f>
        <v>0</v>
      </c>
      <c r="G28" s="24">
        <v>17.47</v>
      </c>
      <c r="H28" s="1">
        <f t="shared" ref="H28:H32" si="0">F28*G28*12</f>
        <v>0</v>
      </c>
      <c r="I28" s="1">
        <f t="shared" ref="I28:I32" si="1">H28*1.302</f>
        <v>0</v>
      </c>
      <c r="J28" s="1">
        <f>J27</f>
        <v>170798</v>
      </c>
      <c r="K28" s="1">
        <f t="shared" ref="K28:K32" si="2">I28/J28</f>
        <v>0</v>
      </c>
      <c r="L28" s="42"/>
      <c r="M28" s="14"/>
    </row>
    <row r="29" spans="1:13" ht="15" hidden="1" customHeight="1" x14ac:dyDescent="0.25">
      <c r="A29" s="89" t="s">
        <v>66</v>
      </c>
      <c r="B29" s="90"/>
      <c r="C29" s="90"/>
      <c r="D29" s="90"/>
      <c r="E29" s="91"/>
      <c r="F29" s="1">
        <f>'Услуга №1  '!F29</f>
        <v>0</v>
      </c>
      <c r="G29" s="64">
        <v>0.85</v>
      </c>
      <c r="H29" s="1">
        <f t="shared" si="0"/>
        <v>0</v>
      </c>
      <c r="I29" s="1">
        <f t="shared" si="1"/>
        <v>0</v>
      </c>
      <c r="J29" s="1">
        <f>J28</f>
        <v>170798</v>
      </c>
      <c r="K29" s="1">
        <f t="shared" si="2"/>
        <v>0</v>
      </c>
      <c r="L29" s="42"/>
      <c r="M29" s="14"/>
    </row>
    <row r="30" spans="1:13" ht="15" hidden="1" customHeight="1" x14ac:dyDescent="0.25">
      <c r="A30" s="92" t="s">
        <v>45</v>
      </c>
      <c r="B30" s="93"/>
      <c r="C30" s="93"/>
      <c r="D30" s="93"/>
      <c r="E30" s="94"/>
      <c r="F30" s="1">
        <f>'Услуга №1  '!F30</f>
        <v>0</v>
      </c>
      <c r="G30" s="24">
        <v>0.85</v>
      </c>
      <c r="H30" s="1">
        <f t="shared" si="0"/>
        <v>0</v>
      </c>
      <c r="I30" s="1">
        <f t="shared" si="1"/>
        <v>0</v>
      </c>
      <c r="J30" s="1">
        <f>J29</f>
        <v>170798</v>
      </c>
      <c r="K30" s="1">
        <f t="shared" si="2"/>
        <v>0</v>
      </c>
      <c r="L30" s="42"/>
      <c r="M30" s="14"/>
    </row>
    <row r="31" spans="1:13" ht="14.25" hidden="1" customHeight="1" x14ac:dyDescent="0.25">
      <c r="A31" s="68" t="s">
        <v>43</v>
      </c>
      <c r="B31" s="69"/>
      <c r="C31" s="69"/>
      <c r="D31" s="69"/>
      <c r="E31" s="70"/>
      <c r="F31" s="1">
        <f>'Услуга №1  '!F31</f>
        <v>0</v>
      </c>
      <c r="G31" s="24">
        <v>5.1100000000000003</v>
      </c>
      <c r="H31" s="1">
        <f t="shared" si="0"/>
        <v>0</v>
      </c>
      <c r="I31" s="1">
        <f t="shared" si="1"/>
        <v>0</v>
      </c>
      <c r="J31" s="1">
        <f>J29</f>
        <v>170798</v>
      </c>
      <c r="K31" s="1">
        <f t="shared" si="2"/>
        <v>0</v>
      </c>
      <c r="L31" s="42"/>
      <c r="M31" s="14"/>
    </row>
    <row r="32" spans="1:13" ht="15.75" hidden="1" customHeight="1" x14ac:dyDescent="0.25">
      <c r="A32" s="68" t="s">
        <v>44</v>
      </c>
      <c r="B32" s="69"/>
      <c r="C32" s="69"/>
      <c r="D32" s="69"/>
      <c r="E32" s="70"/>
      <c r="F32" s="1">
        <f>'Услуга №1  '!F32</f>
        <v>0</v>
      </c>
      <c r="G32" s="24">
        <v>7.67</v>
      </c>
      <c r="H32" s="1">
        <f t="shared" si="0"/>
        <v>0</v>
      </c>
      <c r="I32" s="1">
        <f t="shared" si="1"/>
        <v>0</v>
      </c>
      <c r="J32" s="1">
        <f>J30</f>
        <v>170798</v>
      </c>
      <c r="K32" s="1">
        <f t="shared" si="2"/>
        <v>0</v>
      </c>
      <c r="L32" s="42"/>
      <c r="M32" s="14"/>
    </row>
    <row r="33" spans="1:13" ht="24" customHeight="1" x14ac:dyDescent="0.25">
      <c r="A33" s="103" t="s">
        <v>71</v>
      </c>
      <c r="B33" s="104"/>
      <c r="C33" s="104"/>
      <c r="D33" s="104"/>
      <c r="E33" s="104"/>
      <c r="F33" s="31">
        <v>25787.29</v>
      </c>
      <c r="G33" s="31">
        <f>SUM(G27:G32)</f>
        <v>32.800000000000004</v>
      </c>
      <c r="H33" s="52">
        <f>(F33*G33)*12</f>
        <v>10149877.344000001</v>
      </c>
      <c r="I33" s="2">
        <f>(H33*1.302)</f>
        <v>13215140.301888</v>
      </c>
      <c r="J33" s="2">
        <f>H25</f>
        <v>170798</v>
      </c>
      <c r="K33" s="2">
        <f>I33/H25</f>
        <v>77.372921825126753</v>
      </c>
      <c r="L33" s="42"/>
      <c r="M33" s="14"/>
    </row>
    <row r="34" spans="1:13" x14ac:dyDescent="0.25">
      <c r="A34" s="32"/>
      <c r="B34" s="32"/>
      <c r="C34" s="32"/>
      <c r="D34" s="32"/>
      <c r="E34" s="32"/>
      <c r="F34" s="32"/>
      <c r="G34" s="32"/>
      <c r="H34" s="32"/>
      <c r="I34" s="14"/>
      <c r="J34" s="14"/>
      <c r="K34" s="14"/>
      <c r="L34" s="33"/>
      <c r="M34" s="14"/>
    </row>
    <row r="35" spans="1:13" x14ac:dyDescent="0.25">
      <c r="A35" s="86" t="s">
        <v>7</v>
      </c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14"/>
    </row>
    <row r="36" spans="1:13" ht="45" x14ac:dyDescent="0.25">
      <c r="A36" s="88" t="s">
        <v>8</v>
      </c>
      <c r="B36" s="88"/>
      <c r="C36" s="88"/>
      <c r="D36" s="88"/>
      <c r="E36" s="88"/>
      <c r="F36" s="28" t="s">
        <v>6</v>
      </c>
      <c r="G36" s="28" t="s">
        <v>58</v>
      </c>
      <c r="H36" s="28" t="s">
        <v>59</v>
      </c>
      <c r="I36" s="28" t="s">
        <v>74</v>
      </c>
      <c r="J36" s="28" t="s">
        <v>69</v>
      </c>
      <c r="K36" s="34" t="s">
        <v>70</v>
      </c>
      <c r="L36" s="35"/>
      <c r="M36" s="14"/>
    </row>
    <row r="37" spans="1:13" x14ac:dyDescent="0.25">
      <c r="A37" s="71" t="s">
        <v>9</v>
      </c>
      <c r="B37" s="71"/>
      <c r="C37" s="71"/>
      <c r="D37" s="71"/>
      <c r="E37" s="71"/>
      <c r="F37" s="1" t="s">
        <v>102</v>
      </c>
      <c r="G37" s="1">
        <v>35000</v>
      </c>
      <c r="H37" s="1">
        <v>7.5</v>
      </c>
      <c r="I37" s="3">
        <f>262513.9*85.2%</f>
        <v>223661.84280000001</v>
      </c>
      <c r="J37" s="1">
        <f>J28</f>
        <v>170798</v>
      </c>
      <c r="K37" s="36">
        <f>I37/J37</f>
        <v>1.3095109005960257</v>
      </c>
      <c r="L37" s="37"/>
      <c r="M37" s="14"/>
    </row>
    <row r="38" spans="1:13" x14ac:dyDescent="0.25">
      <c r="A38" s="71" t="s">
        <v>10</v>
      </c>
      <c r="B38" s="71"/>
      <c r="C38" s="71"/>
      <c r="D38" s="71"/>
      <c r="E38" s="71"/>
      <c r="F38" s="1" t="s">
        <v>103</v>
      </c>
      <c r="G38" s="1">
        <v>560</v>
      </c>
      <c r="H38" s="1">
        <v>1690.46</v>
      </c>
      <c r="I38" s="3">
        <f>946657.61*85.2%</f>
        <v>806552.28371999995</v>
      </c>
      <c r="J38" s="1">
        <f>J37</f>
        <v>170798</v>
      </c>
      <c r="K38" s="36">
        <f t="shared" ref="K38:K41" si="3">I38/J38</f>
        <v>4.7222583620417096</v>
      </c>
      <c r="L38" s="37"/>
      <c r="M38" s="14"/>
    </row>
    <row r="39" spans="1:13" x14ac:dyDescent="0.25">
      <c r="A39" s="71" t="s">
        <v>11</v>
      </c>
      <c r="B39" s="71"/>
      <c r="C39" s="71"/>
      <c r="D39" s="71"/>
      <c r="E39" s="71"/>
      <c r="F39" s="1" t="s">
        <v>104</v>
      </c>
      <c r="G39" s="1">
        <v>222</v>
      </c>
      <c r="H39" s="1">
        <v>40.96</v>
      </c>
      <c r="I39" s="3">
        <f>9093.12*85.2%</f>
        <v>7747.338240000001</v>
      </c>
      <c r="J39" s="1">
        <f>J38</f>
        <v>170798</v>
      </c>
      <c r="K39" s="36">
        <f t="shared" si="3"/>
        <v>4.5359654328505021E-2</v>
      </c>
      <c r="L39" s="37"/>
      <c r="M39" s="14"/>
    </row>
    <row r="40" spans="1:13" x14ac:dyDescent="0.25">
      <c r="A40" s="71" t="s">
        <v>12</v>
      </c>
      <c r="B40" s="71"/>
      <c r="C40" s="71"/>
      <c r="D40" s="71"/>
      <c r="E40" s="71"/>
      <c r="F40" s="38" t="s">
        <v>104</v>
      </c>
      <c r="G40" s="3">
        <v>311</v>
      </c>
      <c r="H40" s="1">
        <v>59.65</v>
      </c>
      <c r="I40" s="3">
        <f>18551.15*85.2%</f>
        <v>15805.579800000001</v>
      </c>
      <c r="J40" s="1">
        <f>J38</f>
        <v>170798</v>
      </c>
      <c r="K40" s="36">
        <f t="shared" si="3"/>
        <v>9.2539607021159501E-2</v>
      </c>
      <c r="L40" s="37"/>
      <c r="M40" s="14"/>
    </row>
    <row r="41" spans="1:13" x14ac:dyDescent="0.25">
      <c r="A41" s="78" t="s">
        <v>15</v>
      </c>
      <c r="B41" s="107"/>
      <c r="C41" s="107"/>
      <c r="D41" s="107"/>
      <c r="E41" s="107"/>
      <c r="F41" s="38" t="s">
        <v>104</v>
      </c>
      <c r="G41" s="3">
        <v>12</v>
      </c>
      <c r="H41" s="39">
        <v>454.08</v>
      </c>
      <c r="I41" s="3">
        <f>5448.96*85.2%</f>
        <v>4642.5139200000003</v>
      </c>
      <c r="J41" s="1">
        <f t="shared" ref="J41:J42" si="4">J39</f>
        <v>170798</v>
      </c>
      <c r="K41" s="36">
        <f t="shared" si="3"/>
        <v>2.7181313130130332E-2</v>
      </c>
      <c r="L41" s="37"/>
      <c r="M41" s="14"/>
    </row>
    <row r="42" spans="1:13" ht="15" customHeight="1" x14ac:dyDescent="0.25">
      <c r="A42" s="116" t="s">
        <v>13</v>
      </c>
      <c r="B42" s="117"/>
      <c r="C42" s="117"/>
      <c r="D42" s="117"/>
      <c r="E42" s="117"/>
      <c r="F42" s="117"/>
      <c r="G42" s="117"/>
      <c r="H42" s="118"/>
      <c r="I42" s="2">
        <f>SUM(I37:I40)+I41</f>
        <v>1058409.5584799999</v>
      </c>
      <c r="J42" s="40">
        <f t="shared" si="4"/>
        <v>170798</v>
      </c>
      <c r="K42" s="6">
        <f>I42/J42</f>
        <v>6.1968498371175302</v>
      </c>
      <c r="L42" s="37"/>
      <c r="M42" s="14"/>
    </row>
    <row r="43" spans="1:13" x14ac:dyDescent="0.25">
      <c r="A43" s="14"/>
      <c r="B43" s="14"/>
      <c r="C43" s="14"/>
      <c r="D43" s="14"/>
      <c r="E43" s="14"/>
      <c r="F43" s="41"/>
      <c r="G43" s="41"/>
      <c r="H43" s="41"/>
      <c r="I43" s="41"/>
      <c r="J43" s="41"/>
      <c r="K43" s="41"/>
      <c r="L43" s="41"/>
      <c r="M43" s="14"/>
    </row>
    <row r="44" spans="1:13" s="14" customFormat="1" hidden="1" x14ac:dyDescent="0.25">
      <c r="A44" s="102" t="s">
        <v>91</v>
      </c>
      <c r="B44" s="102"/>
      <c r="C44" s="102"/>
      <c r="D44" s="102"/>
      <c r="E44" s="102"/>
      <c r="F44" s="102"/>
      <c r="G44" s="102"/>
      <c r="H44" s="102"/>
      <c r="I44" s="102"/>
      <c r="J44" s="102"/>
      <c r="K44" s="102"/>
      <c r="L44" s="102"/>
    </row>
    <row r="45" spans="1:13" s="14" customFormat="1" ht="80.25" hidden="1" customHeight="1" x14ac:dyDescent="0.25">
      <c r="A45" s="120" t="s">
        <v>92</v>
      </c>
      <c r="B45" s="121"/>
      <c r="C45" s="121"/>
      <c r="D45" s="121"/>
      <c r="E45" s="122"/>
      <c r="F45" s="28" t="s">
        <v>6</v>
      </c>
      <c r="G45" s="28" t="s">
        <v>58</v>
      </c>
      <c r="H45" s="28" t="s">
        <v>59</v>
      </c>
      <c r="I45" s="28" t="s">
        <v>74</v>
      </c>
      <c r="J45" s="28" t="s">
        <v>69</v>
      </c>
      <c r="K45" s="34" t="s">
        <v>70</v>
      </c>
      <c r="L45" s="35"/>
    </row>
    <row r="46" spans="1:13" s="14" customFormat="1" ht="21.75" hidden="1" customHeight="1" x14ac:dyDescent="0.25">
      <c r="A46" s="71" t="s">
        <v>93</v>
      </c>
      <c r="B46" s="71"/>
      <c r="C46" s="71"/>
      <c r="D46" s="71"/>
      <c r="E46" s="71"/>
      <c r="F46" s="53" t="s">
        <v>17</v>
      </c>
      <c r="G46" s="1">
        <v>1</v>
      </c>
      <c r="H46" s="1">
        <v>200000</v>
      </c>
      <c r="I46" s="1">
        <f>G46*H46</f>
        <v>200000</v>
      </c>
      <c r="J46" s="1">
        <f>J40</f>
        <v>170798</v>
      </c>
      <c r="K46" s="36">
        <f>I46/J46</f>
        <v>1.1709738989917915</v>
      </c>
      <c r="L46" s="37"/>
    </row>
    <row r="47" spans="1:13" ht="15" hidden="1" customHeight="1" x14ac:dyDescent="0.25">
      <c r="A47" s="116" t="s">
        <v>94</v>
      </c>
      <c r="B47" s="117"/>
      <c r="C47" s="117"/>
      <c r="D47" s="117"/>
      <c r="E47" s="117"/>
      <c r="F47" s="117"/>
      <c r="G47" s="117"/>
      <c r="H47" s="118"/>
      <c r="I47" s="2"/>
      <c r="J47" s="3"/>
      <c r="K47" s="6"/>
      <c r="L47" s="37"/>
      <c r="M47" s="14"/>
    </row>
    <row r="48" spans="1:13" s="14" customFormat="1" x14ac:dyDescent="0.25">
      <c r="A48" s="47"/>
      <c r="B48" s="47"/>
      <c r="C48" s="47"/>
      <c r="D48" s="47"/>
      <c r="E48" s="47"/>
      <c r="F48" s="47"/>
      <c r="G48" s="47"/>
      <c r="H48" s="47"/>
      <c r="I48" s="47"/>
      <c r="J48" s="47"/>
      <c r="K48" s="47"/>
      <c r="L48" s="42"/>
    </row>
    <row r="49" spans="1:13" ht="14.25" customHeight="1" x14ac:dyDescent="0.25">
      <c r="A49" s="86" t="s">
        <v>14</v>
      </c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14"/>
    </row>
    <row r="50" spans="1:13" ht="45" x14ac:dyDescent="0.25">
      <c r="A50" s="88" t="s">
        <v>18</v>
      </c>
      <c r="B50" s="88"/>
      <c r="C50" s="88"/>
      <c r="D50" s="88"/>
      <c r="E50" s="88"/>
      <c r="F50" s="28" t="s">
        <v>6</v>
      </c>
      <c r="G50" s="28" t="s">
        <v>58</v>
      </c>
      <c r="H50" s="28" t="s">
        <v>59</v>
      </c>
      <c r="I50" s="28" t="s">
        <v>74</v>
      </c>
      <c r="J50" s="28" t="s">
        <v>69</v>
      </c>
      <c r="K50" s="34" t="s">
        <v>70</v>
      </c>
      <c r="L50" s="35"/>
      <c r="M50" s="14"/>
    </row>
    <row r="51" spans="1:13" ht="18.75" customHeight="1" x14ac:dyDescent="0.25">
      <c r="A51" s="78" t="s">
        <v>60</v>
      </c>
      <c r="B51" s="79"/>
      <c r="C51" s="79"/>
      <c r="D51" s="79"/>
      <c r="E51" s="80"/>
      <c r="F51" s="38" t="s">
        <v>75</v>
      </c>
      <c r="G51" s="1">
        <v>12</v>
      </c>
      <c r="H51" s="1"/>
      <c r="I51" s="3">
        <f>61320*85.2%</f>
        <v>52244.639999999999</v>
      </c>
      <c r="J51" s="1">
        <f>J40</f>
        <v>170798</v>
      </c>
      <c r="K51" s="36">
        <f>I51/J51</f>
        <v>0.30588554901111253</v>
      </c>
      <c r="L51" s="37"/>
      <c r="M51" s="42"/>
    </row>
    <row r="52" spans="1:13" ht="18.75" customHeight="1" x14ac:dyDescent="0.25">
      <c r="A52" s="78" t="s">
        <v>16</v>
      </c>
      <c r="B52" s="79"/>
      <c r="C52" s="79"/>
      <c r="D52" s="79"/>
      <c r="E52" s="80"/>
      <c r="F52" s="38" t="s">
        <v>17</v>
      </c>
      <c r="G52" s="1">
        <v>4</v>
      </c>
      <c r="H52" s="1"/>
      <c r="I52" s="3">
        <f>18000*85.2%</f>
        <v>15336</v>
      </c>
      <c r="J52" s="1">
        <f>J38</f>
        <v>170798</v>
      </c>
      <c r="K52" s="36">
        <f>I52/J52</f>
        <v>8.9790278574690574E-2</v>
      </c>
      <c r="L52" s="37"/>
      <c r="M52" s="42"/>
    </row>
    <row r="53" spans="1:13" ht="36.75" customHeight="1" x14ac:dyDescent="0.25">
      <c r="A53" s="81" t="s">
        <v>62</v>
      </c>
      <c r="B53" s="69"/>
      <c r="C53" s="69"/>
      <c r="D53" s="69"/>
      <c r="E53" s="70"/>
      <c r="F53" s="38" t="s">
        <v>17</v>
      </c>
      <c r="G53" s="1">
        <v>12</v>
      </c>
      <c r="H53" s="1"/>
      <c r="I53" s="3">
        <f>220000*85.2%</f>
        <v>187440</v>
      </c>
      <c r="J53" s="1">
        <f>J52</f>
        <v>170798</v>
      </c>
      <c r="K53" s="36">
        <f t="shared" ref="K53:K57" si="5">I53/J53</f>
        <v>1.0974367381351069</v>
      </c>
      <c r="L53" s="37"/>
      <c r="M53" s="42"/>
    </row>
    <row r="54" spans="1:13" ht="18.75" hidden="1" customHeight="1" x14ac:dyDescent="0.25">
      <c r="A54" s="78" t="s">
        <v>60</v>
      </c>
      <c r="B54" s="79"/>
      <c r="C54" s="79"/>
      <c r="D54" s="79"/>
      <c r="E54" s="80"/>
      <c r="F54" s="38" t="s">
        <v>17</v>
      </c>
      <c r="G54" s="1"/>
      <c r="H54" s="1"/>
      <c r="I54" s="3">
        <f t="shared" ref="I54" si="6">H54*G54*12</f>
        <v>0</v>
      </c>
      <c r="J54" s="1">
        <f>J53</f>
        <v>170798</v>
      </c>
      <c r="K54" s="36">
        <f t="shared" si="5"/>
        <v>0</v>
      </c>
      <c r="L54" s="37"/>
      <c r="M54" s="42"/>
    </row>
    <row r="55" spans="1:13" ht="29.25" customHeight="1" x14ac:dyDescent="0.25">
      <c r="A55" s="81" t="s">
        <v>61</v>
      </c>
      <c r="B55" s="69"/>
      <c r="C55" s="69"/>
      <c r="D55" s="69"/>
      <c r="E55" s="70"/>
      <c r="F55" s="38" t="s">
        <v>17</v>
      </c>
      <c r="G55" s="1">
        <v>2</v>
      </c>
      <c r="H55" s="1"/>
      <c r="I55" s="3">
        <f>5000*85.2%</f>
        <v>4260</v>
      </c>
      <c r="J55" s="1">
        <f>J53</f>
        <v>170798</v>
      </c>
      <c r="K55" s="36">
        <f t="shared" si="5"/>
        <v>2.4941744048525158E-2</v>
      </c>
      <c r="L55" s="37"/>
      <c r="M55" s="42"/>
    </row>
    <row r="56" spans="1:13" ht="29.25" customHeight="1" x14ac:dyDescent="0.25">
      <c r="A56" s="78" t="s">
        <v>105</v>
      </c>
      <c r="B56" s="79"/>
      <c r="C56" s="79"/>
      <c r="D56" s="79"/>
      <c r="E56" s="80"/>
      <c r="F56" s="38" t="s">
        <v>17</v>
      </c>
      <c r="G56" s="1"/>
      <c r="H56" s="1"/>
      <c r="I56" s="3">
        <f>12000*85.2%</f>
        <v>10224</v>
      </c>
      <c r="J56" s="1">
        <f>J54</f>
        <v>170798</v>
      </c>
      <c r="K56" s="36">
        <f t="shared" si="5"/>
        <v>5.986018571646038E-2</v>
      </c>
      <c r="L56" s="37"/>
      <c r="M56" s="42"/>
    </row>
    <row r="57" spans="1:13" ht="18.75" customHeight="1" x14ac:dyDescent="0.25">
      <c r="A57" s="78" t="s">
        <v>106</v>
      </c>
      <c r="B57" s="107"/>
      <c r="C57" s="107"/>
      <c r="D57" s="107"/>
      <c r="E57" s="108"/>
      <c r="F57" s="38" t="s">
        <v>17</v>
      </c>
      <c r="G57" s="1"/>
      <c r="H57" s="1"/>
      <c r="I57" s="3">
        <f>12000*85.2%</f>
        <v>10224</v>
      </c>
      <c r="J57" s="1">
        <f>J55</f>
        <v>170798</v>
      </c>
      <c r="K57" s="36">
        <f t="shared" si="5"/>
        <v>5.986018571646038E-2</v>
      </c>
      <c r="L57" s="37"/>
      <c r="M57" s="42"/>
    </row>
    <row r="58" spans="1:13" s="14" customFormat="1" ht="30.75" customHeight="1" x14ac:dyDescent="0.25">
      <c r="A58" s="81" t="s">
        <v>107</v>
      </c>
      <c r="B58" s="69"/>
      <c r="C58" s="69"/>
      <c r="D58" s="69"/>
      <c r="E58" s="70"/>
      <c r="F58" s="1" t="s">
        <v>17</v>
      </c>
      <c r="G58" s="1"/>
      <c r="H58" s="1"/>
      <c r="I58" s="1">
        <f>135000*85.2%</f>
        <v>115020</v>
      </c>
      <c r="J58" s="1">
        <f>J54</f>
        <v>170798</v>
      </c>
      <c r="K58" s="1">
        <f>I58/J58</f>
        <v>0.67342708931017925</v>
      </c>
      <c r="L58" s="42"/>
    </row>
    <row r="59" spans="1:13" ht="18.75" customHeight="1" x14ac:dyDescent="0.25">
      <c r="A59" s="83" t="s">
        <v>76</v>
      </c>
      <c r="B59" s="84"/>
      <c r="C59" s="84"/>
      <c r="D59" s="84"/>
      <c r="E59" s="84"/>
      <c r="F59" s="84"/>
      <c r="G59" s="84"/>
      <c r="H59" s="84"/>
      <c r="I59" s="2">
        <f>SUM(I51:I58)</f>
        <v>394748.64</v>
      </c>
      <c r="J59" s="40">
        <f>J55</f>
        <v>170798</v>
      </c>
      <c r="K59" s="6">
        <f>I59/J59</f>
        <v>2.3112017705125352</v>
      </c>
      <c r="L59" s="37"/>
      <c r="M59" s="14"/>
    </row>
    <row r="60" spans="1:13" x14ac:dyDescent="0.25">
      <c r="A60" s="43"/>
      <c r="B60" s="43"/>
      <c r="C60" s="43"/>
      <c r="D60" s="43"/>
      <c r="E60" s="43"/>
      <c r="F60" s="44"/>
      <c r="G60" s="45"/>
      <c r="H60" s="45"/>
      <c r="I60" s="45"/>
      <c r="J60" s="44"/>
      <c r="K60" s="45"/>
      <c r="L60" s="42"/>
      <c r="M60" s="14"/>
    </row>
    <row r="61" spans="1:13" s="14" customFormat="1" x14ac:dyDescent="0.25">
      <c r="A61" s="86" t="s">
        <v>77</v>
      </c>
      <c r="B61" s="86"/>
      <c r="C61" s="86"/>
      <c r="D61" s="86"/>
      <c r="E61" s="86"/>
      <c r="F61" s="86"/>
      <c r="G61" s="86"/>
      <c r="H61" s="86"/>
      <c r="I61" s="86"/>
      <c r="J61" s="86"/>
      <c r="K61" s="86"/>
      <c r="L61" s="86"/>
    </row>
    <row r="62" spans="1:13" s="14" customFormat="1" ht="60" customHeight="1" x14ac:dyDescent="0.25">
      <c r="A62" s="88" t="s">
        <v>18</v>
      </c>
      <c r="B62" s="88"/>
      <c r="C62" s="88"/>
      <c r="D62" s="88"/>
      <c r="E62" s="88"/>
      <c r="F62" s="28" t="s">
        <v>6</v>
      </c>
      <c r="G62" s="28" t="s">
        <v>58</v>
      </c>
      <c r="H62" s="28" t="s">
        <v>59</v>
      </c>
      <c r="I62" s="28" t="s">
        <v>74</v>
      </c>
      <c r="J62" s="28" t="s">
        <v>69</v>
      </c>
      <c r="K62" s="29" t="s">
        <v>70</v>
      </c>
      <c r="L62" s="46"/>
    </row>
    <row r="63" spans="1:13" s="14" customFormat="1" ht="32.25" customHeight="1" x14ac:dyDescent="0.25">
      <c r="A63" s="81" t="s">
        <v>78</v>
      </c>
      <c r="B63" s="69"/>
      <c r="C63" s="69"/>
      <c r="D63" s="69"/>
      <c r="E63" s="70"/>
      <c r="F63" s="1" t="s">
        <v>17</v>
      </c>
      <c r="G63" s="1">
        <v>11</v>
      </c>
      <c r="H63" s="1">
        <v>28854.55</v>
      </c>
      <c r="I63" s="1">
        <f>238000*85.2%</f>
        <v>202776</v>
      </c>
      <c r="J63" s="1">
        <f>J58</f>
        <v>170798</v>
      </c>
      <c r="K63" s="1">
        <f t="shared" ref="K63" si="7">I63/J63</f>
        <v>1.1872270167097976</v>
      </c>
      <c r="L63" s="42"/>
    </row>
    <row r="64" spans="1:13" s="14" customFormat="1" ht="18.75" customHeight="1" x14ac:dyDescent="0.25">
      <c r="A64" s="78" t="s">
        <v>46</v>
      </c>
      <c r="B64" s="79"/>
      <c r="C64" s="79"/>
      <c r="D64" s="79"/>
      <c r="E64" s="80"/>
      <c r="F64" s="1" t="s">
        <v>17</v>
      </c>
      <c r="G64" s="1">
        <v>12</v>
      </c>
      <c r="H64" s="1">
        <v>3750</v>
      </c>
      <c r="I64" s="1">
        <f>45000*85.2%</f>
        <v>38340</v>
      </c>
      <c r="J64" s="1">
        <f>J57</f>
        <v>170798</v>
      </c>
      <c r="K64" s="1">
        <f>I64/J64</f>
        <v>0.22447569643672644</v>
      </c>
      <c r="L64" s="42"/>
    </row>
    <row r="65" spans="1:13" s="14" customFormat="1" ht="32.25" customHeight="1" x14ac:dyDescent="0.25">
      <c r="A65" s="81" t="s">
        <v>108</v>
      </c>
      <c r="B65" s="105"/>
      <c r="C65" s="105"/>
      <c r="D65" s="105"/>
      <c r="E65" s="106"/>
      <c r="F65" s="1" t="s">
        <v>17</v>
      </c>
      <c r="G65" s="1"/>
      <c r="H65" s="1"/>
      <c r="I65" s="1">
        <f>54000*85.2%</f>
        <v>46008</v>
      </c>
      <c r="J65" s="1">
        <f t="shared" ref="J65:J66" si="8">J58</f>
        <v>170798</v>
      </c>
      <c r="K65" s="1">
        <f t="shared" ref="K65:K67" si="9">I65/J65</f>
        <v>0.26937083572407172</v>
      </c>
      <c r="L65" s="42"/>
    </row>
    <row r="66" spans="1:13" s="14" customFormat="1" ht="18.75" customHeight="1" x14ac:dyDescent="0.25">
      <c r="A66" s="78" t="s">
        <v>109</v>
      </c>
      <c r="B66" s="107"/>
      <c r="C66" s="107"/>
      <c r="D66" s="107"/>
      <c r="E66" s="108"/>
      <c r="F66" s="1" t="s">
        <v>17</v>
      </c>
      <c r="G66" s="1">
        <v>12</v>
      </c>
      <c r="H66" s="1">
        <v>1333.33</v>
      </c>
      <c r="I66" s="1">
        <f>16000*85.2%</f>
        <v>13632</v>
      </c>
      <c r="J66" s="1">
        <f t="shared" si="8"/>
        <v>170798</v>
      </c>
      <c r="K66" s="1">
        <f t="shared" si="9"/>
        <v>7.9813580955280503E-2</v>
      </c>
      <c r="L66" s="42"/>
    </row>
    <row r="67" spans="1:13" s="14" customFormat="1" ht="18.75" customHeight="1" x14ac:dyDescent="0.25">
      <c r="A67" s="78" t="s">
        <v>110</v>
      </c>
      <c r="B67" s="107"/>
      <c r="C67" s="107"/>
      <c r="D67" s="107"/>
      <c r="E67" s="108"/>
      <c r="F67" s="1" t="s">
        <v>17</v>
      </c>
      <c r="G67" s="1"/>
      <c r="H67" s="1"/>
      <c r="I67" s="1">
        <f>26000*85.2%</f>
        <v>22152</v>
      </c>
      <c r="J67" s="1">
        <v>170798</v>
      </c>
      <c r="K67" s="1">
        <f t="shared" si="9"/>
        <v>0.12969706905233083</v>
      </c>
      <c r="L67" s="42"/>
    </row>
    <row r="68" spans="1:13" s="14" customFormat="1" ht="18.75" customHeight="1" x14ac:dyDescent="0.25">
      <c r="A68" s="71" t="s">
        <v>111</v>
      </c>
      <c r="B68" s="71"/>
      <c r="C68" s="71"/>
      <c r="D68" s="71"/>
      <c r="E68" s="71"/>
      <c r="F68" s="1" t="s">
        <v>17</v>
      </c>
      <c r="G68" s="1"/>
      <c r="H68" s="1"/>
      <c r="I68" s="1">
        <f>180000*85.2%</f>
        <v>153360</v>
      </c>
      <c r="J68" s="1">
        <f>J64</f>
        <v>170798</v>
      </c>
      <c r="K68" s="1">
        <f t="shared" ref="K68" si="10">I68/J68</f>
        <v>0.89790278574690574</v>
      </c>
      <c r="L68" s="42"/>
    </row>
    <row r="69" spans="1:13" s="14" customFormat="1" x14ac:dyDescent="0.25">
      <c r="A69" s="83" t="s">
        <v>79</v>
      </c>
      <c r="B69" s="84"/>
      <c r="C69" s="84"/>
      <c r="D69" s="84"/>
      <c r="E69" s="84"/>
      <c r="F69" s="84"/>
      <c r="G69" s="84"/>
      <c r="H69" s="84"/>
      <c r="I69" s="10">
        <f>SUM(I63:I68)</f>
        <v>476268</v>
      </c>
      <c r="J69" s="40">
        <f>J65</f>
        <v>170798</v>
      </c>
      <c r="K69" s="10">
        <f>I69/J69</f>
        <v>2.7884869846251128</v>
      </c>
      <c r="L69" s="42"/>
    </row>
    <row r="70" spans="1:13" s="14" customFormat="1" x14ac:dyDescent="0.25">
      <c r="A70" s="47"/>
      <c r="B70" s="47"/>
      <c r="C70" s="47"/>
      <c r="D70" s="47"/>
      <c r="E70" s="47"/>
      <c r="F70" s="47"/>
      <c r="G70" s="47"/>
      <c r="H70" s="47"/>
      <c r="I70" s="11"/>
      <c r="J70" s="11"/>
      <c r="K70" s="11"/>
      <c r="L70" s="42"/>
    </row>
    <row r="71" spans="1:13" s="14" customFormat="1" x14ac:dyDescent="0.25">
      <c r="A71" s="86" t="s">
        <v>80</v>
      </c>
      <c r="B71" s="86"/>
      <c r="C71" s="86"/>
      <c r="D71" s="86"/>
      <c r="E71" s="86"/>
      <c r="F71" s="86"/>
      <c r="G71" s="86"/>
      <c r="H71" s="86"/>
      <c r="I71" s="86"/>
      <c r="J71" s="86"/>
      <c r="K71" s="86"/>
      <c r="L71" s="86"/>
    </row>
    <row r="72" spans="1:13" s="14" customFormat="1" ht="60" customHeight="1" x14ac:dyDescent="0.25">
      <c r="A72" s="72" t="s">
        <v>19</v>
      </c>
      <c r="B72" s="73"/>
      <c r="C72" s="73"/>
      <c r="D72" s="73"/>
      <c r="E72" s="74"/>
      <c r="F72" s="28" t="s">
        <v>6</v>
      </c>
      <c r="G72" s="28" t="s">
        <v>58</v>
      </c>
      <c r="H72" s="28" t="s">
        <v>59</v>
      </c>
      <c r="I72" s="28" t="s">
        <v>74</v>
      </c>
      <c r="J72" s="48" t="s">
        <v>69</v>
      </c>
      <c r="K72" s="29" t="s">
        <v>70</v>
      </c>
      <c r="L72" s="46"/>
      <c r="M72" s="46"/>
    </row>
    <row r="73" spans="1:13" s="14" customFormat="1" ht="36.75" customHeight="1" x14ac:dyDescent="0.25">
      <c r="A73" s="78" t="s">
        <v>20</v>
      </c>
      <c r="B73" s="79"/>
      <c r="C73" s="79"/>
      <c r="D73" s="79"/>
      <c r="E73" s="80"/>
      <c r="F73" s="49" t="s">
        <v>21</v>
      </c>
      <c r="G73" s="1">
        <v>12</v>
      </c>
      <c r="H73" s="1">
        <f>'Услуга №1  '!H68</f>
        <v>400</v>
      </c>
      <c r="I73" s="1">
        <f>38400*85.2%</f>
        <v>32716.799999999999</v>
      </c>
      <c r="J73" s="36">
        <f>J68</f>
        <v>170798</v>
      </c>
      <c r="K73" s="1">
        <f>I73/J73</f>
        <v>0.19155259429267321</v>
      </c>
      <c r="L73" s="42"/>
      <c r="M73" s="42"/>
    </row>
    <row r="74" spans="1:13" s="14" customFormat="1" ht="36.75" customHeight="1" x14ac:dyDescent="0.25">
      <c r="A74" s="78" t="s">
        <v>95</v>
      </c>
      <c r="B74" s="79"/>
      <c r="C74" s="79"/>
      <c r="D74" s="79"/>
      <c r="E74" s="80"/>
      <c r="F74" s="49" t="s">
        <v>24</v>
      </c>
      <c r="G74" s="1"/>
      <c r="H74" s="1"/>
      <c r="I74" s="1">
        <f>11000*85.2%</f>
        <v>9372</v>
      </c>
      <c r="J74" s="36">
        <f>J73</f>
        <v>170798</v>
      </c>
      <c r="K74" s="1">
        <f>I74/J74</f>
        <v>5.4871836906755352E-2</v>
      </c>
      <c r="L74" s="42"/>
      <c r="M74" s="42"/>
    </row>
    <row r="75" spans="1:13" s="14" customFormat="1" ht="30" x14ac:dyDescent="0.25">
      <c r="A75" s="78" t="s">
        <v>81</v>
      </c>
      <c r="B75" s="79"/>
      <c r="C75" s="79"/>
      <c r="D75" s="79"/>
      <c r="E75" s="80"/>
      <c r="F75" s="49" t="s">
        <v>82</v>
      </c>
      <c r="G75" s="1">
        <v>7</v>
      </c>
      <c r="H75" s="1">
        <f>'Услуга №1  '!H70</f>
        <v>1500</v>
      </c>
      <c r="I75" s="1">
        <f>126000*85.2%</f>
        <v>107352</v>
      </c>
      <c r="J75" s="36">
        <f>J73</f>
        <v>170798</v>
      </c>
      <c r="K75" s="1">
        <f>I75/J75</f>
        <v>0.62853195002283402</v>
      </c>
      <c r="L75" s="42"/>
      <c r="M75" s="42"/>
    </row>
    <row r="76" spans="1:13" s="14" customFormat="1" x14ac:dyDescent="0.25">
      <c r="A76" s="83" t="s">
        <v>22</v>
      </c>
      <c r="B76" s="84"/>
      <c r="C76" s="84"/>
      <c r="D76" s="84"/>
      <c r="E76" s="84"/>
      <c r="F76" s="84"/>
      <c r="G76" s="84"/>
      <c r="H76" s="85"/>
      <c r="I76" s="10">
        <f t="shared" ref="I76" si="11">SUM(I73:I75)</f>
        <v>149440.79999999999</v>
      </c>
      <c r="J76" s="63">
        <f>J74</f>
        <v>170798</v>
      </c>
      <c r="K76" s="10">
        <f>I76/J76</f>
        <v>0.87495638122226249</v>
      </c>
      <c r="L76" s="11"/>
      <c r="M76" s="42"/>
    </row>
    <row r="77" spans="1:13" x14ac:dyDescent="0.25">
      <c r="A77" s="14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  <c r="M77" s="14"/>
    </row>
    <row r="78" spans="1:13" x14ac:dyDescent="0.25">
      <c r="A78" s="86" t="s">
        <v>39</v>
      </c>
      <c r="B78" s="86"/>
      <c r="C78" s="86"/>
      <c r="D78" s="86"/>
      <c r="E78" s="86"/>
      <c r="F78" s="86"/>
      <c r="G78" s="86"/>
      <c r="H78" s="86"/>
      <c r="I78" s="86"/>
      <c r="J78" s="86"/>
      <c r="K78" s="86"/>
      <c r="L78" s="86"/>
      <c r="M78" s="86"/>
    </row>
    <row r="79" spans="1:13" ht="11.25" customHeight="1" x14ac:dyDescent="0.25">
      <c r="A79" s="14"/>
      <c r="B79" s="14"/>
      <c r="C79" s="14"/>
      <c r="D79" s="14"/>
      <c r="E79" s="14"/>
      <c r="F79" s="14"/>
      <c r="G79" s="14"/>
      <c r="H79" s="14"/>
      <c r="I79" s="14"/>
      <c r="J79" s="14"/>
      <c r="K79" s="14"/>
      <c r="L79" s="14"/>
      <c r="M79" s="14"/>
    </row>
    <row r="80" spans="1:13" ht="75" x14ac:dyDescent="0.25">
      <c r="A80" s="72" t="s">
        <v>4</v>
      </c>
      <c r="B80" s="73"/>
      <c r="C80" s="73"/>
      <c r="D80" s="73"/>
      <c r="E80" s="74"/>
      <c r="F80" s="28" t="s">
        <v>5</v>
      </c>
      <c r="G80" s="28" t="s">
        <v>1</v>
      </c>
      <c r="H80" s="28" t="s">
        <v>67</v>
      </c>
      <c r="I80" s="28" t="s">
        <v>68</v>
      </c>
      <c r="J80" s="28" t="s">
        <v>69</v>
      </c>
      <c r="K80" s="29" t="s">
        <v>70</v>
      </c>
      <c r="L80" s="46"/>
      <c r="M80" s="14"/>
    </row>
    <row r="81" spans="1:13" hidden="1" x14ac:dyDescent="0.25">
      <c r="A81" s="71" t="s">
        <v>41</v>
      </c>
      <c r="B81" s="71"/>
      <c r="C81" s="71"/>
      <c r="D81" s="71"/>
      <c r="E81" s="71"/>
      <c r="F81" s="51">
        <f>I81/G82/12</f>
        <v>25730.889882352942</v>
      </c>
      <c r="G81" s="1">
        <v>0.85</v>
      </c>
      <c r="H81" s="53">
        <f>F81*G81*12</f>
        <v>262455.07679999998</v>
      </c>
      <c r="I81" s="1">
        <f>201578.4*1.302</f>
        <v>262455.07679999998</v>
      </c>
      <c r="J81" s="1">
        <f>J29</f>
        <v>170798</v>
      </c>
      <c r="K81" s="1">
        <f>I81/J81</f>
        <v>1.5366402229534302</v>
      </c>
      <c r="L81" s="42"/>
      <c r="M81" s="14"/>
    </row>
    <row r="82" spans="1:13" hidden="1" x14ac:dyDescent="0.25">
      <c r="A82" s="71" t="s">
        <v>47</v>
      </c>
      <c r="B82" s="71"/>
      <c r="C82" s="71"/>
      <c r="D82" s="71"/>
      <c r="E82" s="71"/>
      <c r="F82" s="51">
        <f>I82/G81/12</f>
        <v>22607.855241176472</v>
      </c>
      <c r="G82" s="1">
        <v>0.85</v>
      </c>
      <c r="H82" s="53">
        <f>F82*G82*12</f>
        <v>230600.12346000003</v>
      </c>
      <c r="I82" s="1">
        <f>177112.23*1.302</f>
        <v>230600.12346000003</v>
      </c>
      <c r="J82" s="1">
        <f>J81</f>
        <v>170798</v>
      </c>
      <c r="K82" s="1">
        <f>I82/J82</f>
        <v>1.3501336283797236</v>
      </c>
      <c r="L82" s="42"/>
      <c r="M82" s="14"/>
    </row>
    <row r="83" spans="1:13" ht="30" customHeight="1" x14ac:dyDescent="0.25">
      <c r="A83" s="119" t="s">
        <v>23</v>
      </c>
      <c r="B83" s="119"/>
      <c r="C83" s="119"/>
      <c r="D83" s="119"/>
      <c r="E83" s="119"/>
      <c r="F83" s="31">
        <v>21945.919999999998</v>
      </c>
      <c r="G83" s="31">
        <f>L23</f>
        <v>1.7</v>
      </c>
      <c r="H83" s="52">
        <f>F83*G83*12</f>
        <v>447696.76799999998</v>
      </c>
      <c r="I83" s="2">
        <f>H83*1.302</f>
        <v>582901.19193600002</v>
      </c>
      <c r="J83" s="2">
        <f>H25</f>
        <v>170798</v>
      </c>
      <c r="K83" s="2">
        <f>I83/J83</f>
        <v>3.4128104072413028</v>
      </c>
      <c r="L83" s="42"/>
      <c r="M83" s="14"/>
    </row>
    <row r="84" spans="1:13" x14ac:dyDescent="0.25">
      <c r="A84" s="47"/>
      <c r="B84" s="47"/>
      <c r="C84" s="47"/>
      <c r="D84" s="47"/>
      <c r="E84" s="47"/>
      <c r="F84" s="14"/>
      <c r="G84" s="14"/>
      <c r="H84" s="14"/>
      <c r="I84" s="14"/>
      <c r="J84" s="14"/>
      <c r="K84" s="14"/>
      <c r="L84" s="14"/>
      <c r="M84" s="14"/>
    </row>
    <row r="85" spans="1:13" x14ac:dyDescent="0.25">
      <c r="A85" s="87" t="s">
        <v>112</v>
      </c>
      <c r="B85" s="87"/>
      <c r="C85" s="87"/>
      <c r="D85" s="87"/>
      <c r="E85" s="87"/>
      <c r="F85" s="87"/>
      <c r="G85" s="87"/>
      <c r="H85" s="87"/>
      <c r="I85" s="87"/>
      <c r="J85" s="87"/>
      <c r="K85" s="87"/>
      <c r="L85" s="102"/>
      <c r="M85" s="14"/>
    </row>
    <row r="86" spans="1:13" ht="45" x14ac:dyDescent="0.25">
      <c r="A86" s="88" t="s">
        <v>85</v>
      </c>
      <c r="B86" s="88"/>
      <c r="C86" s="88"/>
      <c r="D86" s="88"/>
      <c r="E86" s="88"/>
      <c r="F86" s="28" t="s">
        <v>6</v>
      </c>
      <c r="G86" s="28" t="s">
        <v>58</v>
      </c>
      <c r="H86" s="28" t="s">
        <v>59</v>
      </c>
      <c r="I86" s="28" t="s">
        <v>74</v>
      </c>
      <c r="J86" s="28" t="s">
        <v>69</v>
      </c>
      <c r="K86" s="34" t="s">
        <v>70</v>
      </c>
      <c r="L86" s="35"/>
      <c r="M86" s="14"/>
    </row>
    <row r="87" spans="1:13" ht="37.5" customHeight="1" x14ac:dyDescent="0.25">
      <c r="A87" s="81" t="s">
        <v>113</v>
      </c>
      <c r="B87" s="69"/>
      <c r="C87" s="69"/>
      <c r="D87" s="69"/>
      <c r="E87" s="70"/>
      <c r="F87" s="1" t="s">
        <v>24</v>
      </c>
      <c r="G87" s="1">
        <v>12</v>
      </c>
      <c r="H87" s="53"/>
      <c r="I87" s="3">
        <f>720*85.2%</f>
        <v>613.43999999999994</v>
      </c>
      <c r="J87" s="1">
        <v>170798</v>
      </c>
      <c r="K87" s="36">
        <f>I87/J87</f>
        <v>3.5916111429876224E-3</v>
      </c>
      <c r="L87" s="37"/>
      <c r="M87" s="14"/>
    </row>
    <row r="88" spans="1:13" x14ac:dyDescent="0.25">
      <c r="A88" s="83" t="s">
        <v>114</v>
      </c>
      <c r="B88" s="84"/>
      <c r="C88" s="84"/>
      <c r="D88" s="84"/>
      <c r="E88" s="84"/>
      <c r="F88" s="84"/>
      <c r="G88" s="84"/>
      <c r="H88" s="84"/>
      <c r="I88" s="10">
        <f>SUM(I87:I87)</f>
        <v>613.43999999999994</v>
      </c>
      <c r="J88" s="40">
        <v>170798</v>
      </c>
      <c r="K88" s="10">
        <f>I88/J87</f>
        <v>3.5916111429876224E-3</v>
      </c>
      <c r="L88" s="37"/>
      <c r="M88" s="14"/>
    </row>
    <row r="89" spans="1:13" x14ac:dyDescent="0.25">
      <c r="A89" s="54"/>
      <c r="B89" s="54"/>
      <c r="C89" s="54"/>
      <c r="D89" s="54"/>
      <c r="E89" s="54"/>
      <c r="F89" s="54"/>
      <c r="G89" s="54"/>
      <c r="H89" s="54"/>
      <c r="I89" s="17"/>
      <c r="J89" s="55"/>
      <c r="K89" s="17"/>
      <c r="L89" s="42"/>
      <c r="M89" s="14"/>
    </row>
    <row r="90" spans="1:13" x14ac:dyDescent="0.25">
      <c r="A90" s="87" t="s">
        <v>115</v>
      </c>
      <c r="B90" s="87"/>
      <c r="C90" s="87"/>
      <c r="D90" s="87"/>
      <c r="E90" s="87"/>
      <c r="F90" s="87"/>
      <c r="G90" s="87"/>
      <c r="H90" s="87"/>
      <c r="I90" s="87"/>
      <c r="J90" s="87"/>
      <c r="K90" s="87"/>
      <c r="L90" s="102"/>
      <c r="M90" s="14"/>
    </row>
    <row r="91" spans="1:13" ht="45" x14ac:dyDescent="0.25">
      <c r="A91" s="88" t="s">
        <v>18</v>
      </c>
      <c r="B91" s="88"/>
      <c r="C91" s="88"/>
      <c r="D91" s="88"/>
      <c r="E91" s="88"/>
      <c r="F91" s="28" t="s">
        <v>6</v>
      </c>
      <c r="G91" s="28" t="s">
        <v>58</v>
      </c>
      <c r="H91" s="28" t="s">
        <v>59</v>
      </c>
      <c r="I91" s="28" t="s">
        <v>74</v>
      </c>
      <c r="J91" s="28" t="s">
        <v>69</v>
      </c>
      <c r="K91" s="34" t="s">
        <v>70</v>
      </c>
      <c r="L91" s="35"/>
      <c r="M91" s="14"/>
    </row>
    <row r="92" spans="1:13" ht="30" customHeight="1" x14ac:dyDescent="0.25">
      <c r="A92" s="81" t="s">
        <v>117</v>
      </c>
      <c r="B92" s="69"/>
      <c r="C92" s="69"/>
      <c r="D92" s="69"/>
      <c r="E92" s="70"/>
      <c r="F92" s="1" t="s">
        <v>24</v>
      </c>
      <c r="G92" s="1"/>
      <c r="H92" s="53"/>
      <c r="I92" s="3">
        <f>40000*85.2%</f>
        <v>34080</v>
      </c>
      <c r="J92" s="1">
        <v>170798</v>
      </c>
      <c r="K92" s="36">
        <f>I92/J92</f>
        <v>0.19953395238820126</v>
      </c>
      <c r="L92" s="37"/>
      <c r="M92" s="14"/>
    </row>
    <row r="93" spans="1:13" x14ac:dyDescent="0.25">
      <c r="A93" s="71" t="s">
        <v>118</v>
      </c>
      <c r="B93" s="71"/>
      <c r="C93" s="71"/>
      <c r="D93" s="71"/>
      <c r="E93" s="71"/>
      <c r="F93" s="1" t="s">
        <v>24</v>
      </c>
      <c r="G93" s="1"/>
      <c r="H93" s="53"/>
      <c r="I93" s="3">
        <f>5419*85.2%</f>
        <v>4616.9880000000003</v>
      </c>
      <c r="J93" s="1">
        <v>170798</v>
      </c>
      <c r="K93" s="36">
        <f>I93/J93</f>
        <v>2.7031862199791569E-2</v>
      </c>
      <c r="L93" s="37"/>
      <c r="M93" s="14"/>
    </row>
    <row r="94" spans="1:13" x14ac:dyDescent="0.25">
      <c r="A94" s="83" t="s">
        <v>116</v>
      </c>
      <c r="B94" s="84"/>
      <c r="C94" s="84"/>
      <c r="D94" s="84"/>
      <c r="E94" s="84"/>
      <c r="F94" s="84"/>
      <c r="G94" s="84"/>
      <c r="H94" s="84"/>
      <c r="I94" s="10">
        <f>SUM(I92:I93)</f>
        <v>38696.987999999998</v>
      </c>
      <c r="J94" s="10">
        <v>170798</v>
      </c>
      <c r="K94" s="10">
        <f>I94/J92</f>
        <v>0.22656581458799283</v>
      </c>
      <c r="L94" s="37"/>
      <c r="M94" s="14"/>
    </row>
    <row r="95" spans="1:13" x14ac:dyDescent="0.25">
      <c r="A95" s="54"/>
      <c r="B95" s="54"/>
      <c r="C95" s="54"/>
      <c r="D95" s="54"/>
      <c r="E95" s="54"/>
      <c r="F95" s="54"/>
      <c r="G95" s="54"/>
      <c r="H95" s="54"/>
      <c r="I95" s="17"/>
      <c r="J95" s="17"/>
      <c r="K95" s="17"/>
      <c r="L95" s="42"/>
      <c r="M95" s="14"/>
    </row>
    <row r="96" spans="1:13" x14ac:dyDescent="0.25">
      <c r="A96" s="87" t="s">
        <v>119</v>
      </c>
      <c r="B96" s="87"/>
      <c r="C96" s="87"/>
      <c r="D96" s="87"/>
      <c r="E96" s="87"/>
      <c r="F96" s="87"/>
      <c r="G96" s="87"/>
      <c r="H96" s="87"/>
      <c r="I96" s="87"/>
      <c r="J96" s="87"/>
      <c r="K96" s="87"/>
      <c r="L96" s="102"/>
      <c r="M96" s="14"/>
    </row>
    <row r="97" spans="1:13" ht="45" x14ac:dyDescent="0.25">
      <c r="A97" s="88" t="s">
        <v>18</v>
      </c>
      <c r="B97" s="88"/>
      <c r="C97" s="88"/>
      <c r="D97" s="88"/>
      <c r="E97" s="88"/>
      <c r="F97" s="28" t="s">
        <v>6</v>
      </c>
      <c r="G97" s="28" t="s">
        <v>58</v>
      </c>
      <c r="H97" s="28" t="s">
        <v>59</v>
      </c>
      <c r="I97" s="28" t="s">
        <v>74</v>
      </c>
      <c r="J97" s="28" t="s">
        <v>69</v>
      </c>
      <c r="K97" s="34" t="s">
        <v>70</v>
      </c>
      <c r="L97" s="35"/>
      <c r="M97" s="14"/>
    </row>
    <row r="98" spans="1:13" ht="37.5" customHeight="1" x14ac:dyDescent="0.25">
      <c r="A98" s="81" t="s">
        <v>121</v>
      </c>
      <c r="B98" s="69"/>
      <c r="C98" s="69"/>
      <c r="D98" s="69"/>
      <c r="E98" s="70"/>
      <c r="F98" s="1"/>
      <c r="G98" s="1"/>
      <c r="H98" s="53"/>
      <c r="I98" s="3">
        <f>48125*85.2%</f>
        <v>41002.5</v>
      </c>
      <c r="J98" s="1">
        <v>170798</v>
      </c>
      <c r="K98" s="36">
        <f>I98/J98</f>
        <v>0.24006428646705466</v>
      </c>
      <c r="L98" s="37"/>
      <c r="M98" s="14"/>
    </row>
    <row r="99" spans="1:13" x14ac:dyDescent="0.25">
      <c r="A99" s="83" t="s">
        <v>120</v>
      </c>
      <c r="B99" s="84"/>
      <c r="C99" s="84"/>
      <c r="D99" s="84"/>
      <c r="E99" s="84"/>
      <c r="F99" s="84"/>
      <c r="G99" s="84"/>
      <c r="H99" s="84"/>
      <c r="I99" s="10">
        <f>SUM(I98:I98)</f>
        <v>41002.5</v>
      </c>
      <c r="J99" s="40">
        <v>170798</v>
      </c>
      <c r="K99" s="10">
        <f>I99/J98</f>
        <v>0.24006428646705466</v>
      </c>
      <c r="L99" s="37"/>
      <c r="M99" s="16"/>
    </row>
    <row r="100" spans="1:13" x14ac:dyDescent="0.25">
      <c r="A100" s="54"/>
      <c r="B100" s="54"/>
      <c r="C100" s="54"/>
      <c r="D100" s="54"/>
      <c r="E100" s="54"/>
      <c r="F100" s="54"/>
      <c r="G100" s="54"/>
      <c r="H100" s="54"/>
      <c r="I100" s="17"/>
      <c r="J100" s="55"/>
      <c r="K100" s="17"/>
      <c r="L100" s="42"/>
      <c r="M100" s="16"/>
    </row>
    <row r="101" spans="1:13" x14ac:dyDescent="0.25">
      <c r="A101" s="87" t="s">
        <v>122</v>
      </c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102"/>
      <c r="M101" s="14"/>
    </row>
    <row r="102" spans="1:13" ht="45" x14ac:dyDescent="0.25">
      <c r="A102" s="88" t="s">
        <v>18</v>
      </c>
      <c r="B102" s="88"/>
      <c r="C102" s="88"/>
      <c r="D102" s="88"/>
      <c r="E102" s="88"/>
      <c r="F102" s="28" t="s">
        <v>6</v>
      </c>
      <c r="G102" s="28" t="s">
        <v>58</v>
      </c>
      <c r="H102" s="28" t="s">
        <v>59</v>
      </c>
      <c r="I102" s="28" t="s">
        <v>74</v>
      </c>
      <c r="J102" s="28" t="s">
        <v>69</v>
      </c>
      <c r="K102" s="34" t="s">
        <v>70</v>
      </c>
      <c r="L102" s="35"/>
      <c r="M102" s="14"/>
    </row>
    <row r="103" spans="1:13" ht="37.5" customHeight="1" x14ac:dyDescent="0.25">
      <c r="A103" s="81" t="s">
        <v>93</v>
      </c>
      <c r="B103" s="69"/>
      <c r="C103" s="69"/>
      <c r="D103" s="69"/>
      <c r="E103" s="70"/>
      <c r="F103" s="1"/>
      <c r="G103" s="1"/>
      <c r="H103" s="53"/>
      <c r="I103" s="3">
        <f>200000*85.2%</f>
        <v>170400</v>
      </c>
      <c r="J103" s="1">
        <v>170798</v>
      </c>
      <c r="K103" s="36">
        <f>I103/J103</f>
        <v>0.99766976194100632</v>
      </c>
      <c r="L103" s="37"/>
      <c r="M103" s="14"/>
    </row>
    <row r="104" spans="1:13" x14ac:dyDescent="0.25">
      <c r="A104" s="83" t="s">
        <v>120</v>
      </c>
      <c r="B104" s="84"/>
      <c r="C104" s="84"/>
      <c r="D104" s="84"/>
      <c r="E104" s="84"/>
      <c r="F104" s="84"/>
      <c r="G104" s="84"/>
      <c r="H104" s="84"/>
      <c r="I104" s="2">
        <f>200000*85.2%</f>
        <v>170400</v>
      </c>
      <c r="J104" s="40">
        <v>170798</v>
      </c>
      <c r="K104" s="10">
        <f>I104/J103</f>
        <v>0.99766976194100632</v>
      </c>
      <c r="L104" s="37"/>
      <c r="M104" s="16"/>
    </row>
    <row r="105" spans="1:13" x14ac:dyDescent="0.25">
      <c r="A105" s="54"/>
      <c r="B105" s="54"/>
      <c r="C105" s="54"/>
      <c r="D105" s="54"/>
      <c r="E105" s="54"/>
      <c r="F105" s="54"/>
      <c r="G105" s="54"/>
      <c r="H105" s="54"/>
      <c r="I105" s="17"/>
      <c r="J105" s="55"/>
      <c r="K105" s="17"/>
      <c r="L105" s="42"/>
      <c r="M105" s="16"/>
    </row>
    <row r="106" spans="1:13" x14ac:dyDescent="0.25">
      <c r="A106" s="87" t="s">
        <v>83</v>
      </c>
      <c r="B106" s="87"/>
      <c r="C106" s="87"/>
      <c r="D106" s="87"/>
      <c r="E106" s="87"/>
      <c r="F106" s="87"/>
      <c r="G106" s="87"/>
      <c r="H106" s="87"/>
      <c r="I106" s="87"/>
      <c r="J106" s="87"/>
      <c r="K106" s="87"/>
      <c r="L106" s="102"/>
      <c r="M106" s="14"/>
    </row>
    <row r="107" spans="1:13" ht="45" x14ac:dyDescent="0.25">
      <c r="A107" s="88" t="s">
        <v>85</v>
      </c>
      <c r="B107" s="88"/>
      <c r="C107" s="88"/>
      <c r="D107" s="88"/>
      <c r="E107" s="88"/>
      <c r="F107" s="28" t="s">
        <v>6</v>
      </c>
      <c r="G107" s="28" t="s">
        <v>58</v>
      </c>
      <c r="H107" s="28" t="s">
        <v>59</v>
      </c>
      <c r="I107" s="28" t="s">
        <v>74</v>
      </c>
      <c r="J107" s="28" t="s">
        <v>69</v>
      </c>
      <c r="K107" s="34" t="s">
        <v>70</v>
      </c>
      <c r="L107" s="35"/>
      <c r="M107" s="14"/>
    </row>
    <row r="108" spans="1:13" ht="30" customHeight="1" x14ac:dyDescent="0.25">
      <c r="A108" s="81" t="s">
        <v>96</v>
      </c>
      <c r="B108" s="69"/>
      <c r="C108" s="69"/>
      <c r="D108" s="69"/>
      <c r="E108" s="70"/>
      <c r="F108" s="1" t="s">
        <v>24</v>
      </c>
      <c r="G108" s="1"/>
      <c r="H108" s="53"/>
      <c r="I108" s="3">
        <f>4000*85.2%</f>
        <v>3408</v>
      </c>
      <c r="J108" s="1">
        <f>J82</f>
        <v>170798</v>
      </c>
      <c r="K108" s="36">
        <f>I108/J108</f>
        <v>1.9953395238820126E-2</v>
      </c>
      <c r="L108" s="37"/>
      <c r="M108" s="14"/>
    </row>
    <row r="109" spans="1:13" ht="30" customHeight="1" x14ac:dyDescent="0.25">
      <c r="A109" s="82" t="s">
        <v>123</v>
      </c>
      <c r="B109" s="82"/>
      <c r="C109" s="82"/>
      <c r="D109" s="82"/>
      <c r="E109" s="82"/>
      <c r="F109" s="1" t="s">
        <v>24</v>
      </c>
      <c r="G109" s="1"/>
      <c r="H109" s="53"/>
      <c r="I109" s="3">
        <f>6000*85.2%</f>
        <v>5112</v>
      </c>
      <c r="J109" s="1">
        <f>J108</f>
        <v>170798</v>
      </c>
      <c r="K109" s="36">
        <f>I109/J109</f>
        <v>2.993009285823019E-2</v>
      </c>
      <c r="L109" s="37"/>
      <c r="M109" s="14"/>
    </row>
    <row r="110" spans="1:13" x14ac:dyDescent="0.25">
      <c r="A110" s="83" t="s">
        <v>84</v>
      </c>
      <c r="B110" s="84"/>
      <c r="C110" s="84"/>
      <c r="D110" s="84"/>
      <c r="E110" s="84"/>
      <c r="F110" s="84"/>
      <c r="G110" s="84"/>
      <c r="H110" s="84"/>
      <c r="I110" s="10">
        <f>SUM(I108:I109)</f>
        <v>8520</v>
      </c>
      <c r="J110" s="40">
        <f>J109</f>
        <v>170798</v>
      </c>
      <c r="K110" s="10">
        <f>I110/J110</f>
        <v>4.9883488097050316E-2</v>
      </c>
      <c r="L110" s="37"/>
      <c r="M110" s="14"/>
    </row>
    <row r="111" spans="1:13" x14ac:dyDescent="0.25">
      <c r="A111" s="45"/>
      <c r="B111" s="45"/>
      <c r="C111" s="45"/>
      <c r="D111" s="45"/>
      <c r="E111" s="45"/>
      <c r="F111" s="45"/>
      <c r="G111" s="45"/>
      <c r="H111" s="47"/>
      <c r="I111" s="47"/>
      <c r="J111" s="47"/>
      <c r="K111" s="47"/>
      <c r="L111" s="42"/>
      <c r="M111" s="14"/>
    </row>
    <row r="112" spans="1:13" x14ac:dyDescent="0.25">
      <c r="A112" s="87" t="s">
        <v>25</v>
      </c>
      <c r="B112" s="87"/>
      <c r="C112" s="87"/>
      <c r="D112" s="87"/>
      <c r="E112" s="87"/>
      <c r="F112" s="87"/>
      <c r="G112" s="87"/>
      <c r="H112" s="87"/>
      <c r="I112" s="87"/>
      <c r="J112" s="87"/>
      <c r="K112" s="87"/>
      <c r="L112" s="87"/>
      <c r="M112" s="14"/>
    </row>
    <row r="113" spans="1:13" x14ac:dyDescent="0.25">
      <c r="A113" s="75" t="s">
        <v>26</v>
      </c>
      <c r="B113" s="75"/>
      <c r="C113" s="75"/>
      <c r="D113" s="72" t="s">
        <v>27</v>
      </c>
      <c r="E113" s="73"/>
      <c r="F113" s="73"/>
      <c r="G113" s="73"/>
      <c r="H113" s="73"/>
      <c r="I113" s="73"/>
      <c r="J113" s="74"/>
      <c r="K113" s="75" t="s">
        <v>38</v>
      </c>
      <c r="L113" s="75"/>
      <c r="M113" s="14"/>
    </row>
    <row r="114" spans="1:13" ht="30" x14ac:dyDescent="0.25">
      <c r="A114" s="1" t="s">
        <v>28</v>
      </c>
      <c r="B114" s="30" t="s">
        <v>29</v>
      </c>
      <c r="C114" s="1" t="s">
        <v>30</v>
      </c>
      <c r="D114" s="1" t="s">
        <v>31</v>
      </c>
      <c r="E114" s="1" t="s">
        <v>32</v>
      </c>
      <c r="F114" s="1" t="s">
        <v>33</v>
      </c>
      <c r="G114" s="1" t="s">
        <v>34</v>
      </c>
      <c r="H114" s="1" t="s">
        <v>35</v>
      </c>
      <c r="I114" s="1" t="s">
        <v>36</v>
      </c>
      <c r="J114" s="1" t="s">
        <v>37</v>
      </c>
      <c r="K114" s="75"/>
      <c r="L114" s="75"/>
      <c r="M114" s="14"/>
    </row>
    <row r="115" spans="1:13" x14ac:dyDescent="0.25">
      <c r="A115" s="1">
        <f>K33</f>
        <v>77.372921825126753</v>
      </c>
      <c r="B115" s="1"/>
      <c r="C115" s="1"/>
      <c r="D115" s="1">
        <f>K42</f>
        <v>6.1968498371175302</v>
      </c>
      <c r="E115" s="1">
        <f>K59</f>
        <v>2.3112017705125352</v>
      </c>
      <c r="F115" s="1"/>
      <c r="G115" s="1">
        <f>K76</f>
        <v>0.87495638122226249</v>
      </c>
      <c r="H115" s="1">
        <f>K110</f>
        <v>4.9883488097050316E-2</v>
      </c>
      <c r="I115" s="1">
        <f>K83</f>
        <v>3.4128104072413028</v>
      </c>
      <c r="J115" s="1">
        <f>K69+K88+K94+K99+K104</f>
        <v>4.2563784587641544</v>
      </c>
      <c r="K115" s="76">
        <f>A115+D115+E115+G115+H115+J115+I115</f>
        <v>94.475002168081602</v>
      </c>
      <c r="L115" s="77"/>
      <c r="M115" s="14"/>
    </row>
    <row r="116" spans="1:13" ht="30" customHeight="1" x14ac:dyDescent="0.25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</row>
    <row r="117" spans="1:13" x14ac:dyDescent="0.25">
      <c r="A117" s="56" t="s">
        <v>48</v>
      </c>
      <c r="B117" s="9"/>
      <c r="C117" s="56"/>
      <c r="D117" s="56"/>
      <c r="E117" s="56"/>
      <c r="F117" s="56" t="s">
        <v>49</v>
      </c>
      <c r="G117" s="9"/>
      <c r="H117" s="9"/>
      <c r="I117" s="12">
        <f>I110+I76+I69+I59+I42+I33+I104+I99+I94+I88+I83</f>
        <v>16136141.420303999</v>
      </c>
      <c r="J117" s="9"/>
      <c r="K117" s="12">
        <f>K115*J109</f>
        <v>16136141.420304002</v>
      </c>
      <c r="L117" s="9"/>
      <c r="M117" s="9"/>
    </row>
    <row r="118" spans="1:13" x14ac:dyDescent="0.25">
      <c r="A118" s="57"/>
      <c r="B118" s="58"/>
      <c r="C118" s="59"/>
    </row>
    <row r="119" spans="1:13" x14ac:dyDescent="0.25">
      <c r="A119" s="60"/>
    </row>
    <row r="121" spans="1:13" x14ac:dyDescent="0.25">
      <c r="A121" s="56" t="s">
        <v>98</v>
      </c>
      <c r="B121" s="61"/>
      <c r="C121" s="9"/>
      <c r="D121" s="56"/>
      <c r="E121" s="56"/>
      <c r="F121" s="56"/>
      <c r="G121" s="9"/>
      <c r="H121" s="9"/>
      <c r="I121" s="9"/>
      <c r="J121" s="9"/>
      <c r="K121" s="9"/>
      <c r="L121" s="9"/>
      <c r="M121" s="9"/>
    </row>
    <row r="122" spans="1:13" x14ac:dyDescent="0.25">
      <c r="A122" s="56" t="s">
        <v>50</v>
      </c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</row>
  </sheetData>
  <mergeCells count="108">
    <mergeCell ref="A15:E15"/>
    <mergeCell ref="G15:K15"/>
    <mergeCell ref="A16:E16"/>
    <mergeCell ref="G16:K16"/>
    <mergeCell ref="A17:E17"/>
    <mergeCell ref="G17:K17"/>
    <mergeCell ref="A7:L7"/>
    <mergeCell ref="A1:D1"/>
    <mergeCell ref="A2:F2"/>
    <mergeCell ref="A3:E3"/>
    <mergeCell ref="A5:E5"/>
    <mergeCell ref="A6:C6"/>
    <mergeCell ref="A8:L8"/>
    <mergeCell ref="A9:L9"/>
    <mergeCell ref="A14:E14"/>
    <mergeCell ref="G14:K14"/>
    <mergeCell ref="A10:M10"/>
    <mergeCell ref="A28:E28"/>
    <mergeCell ref="A29:E29"/>
    <mergeCell ref="A102:E102"/>
    <mergeCell ref="A103:E103"/>
    <mergeCell ref="A92:E92"/>
    <mergeCell ref="A93:E93"/>
    <mergeCell ref="A94:H94"/>
    <mergeCell ref="A96:L96"/>
    <mergeCell ref="A97:E97"/>
    <mergeCell ref="A54:E54"/>
    <mergeCell ref="A55:E55"/>
    <mergeCell ref="A18:E18"/>
    <mergeCell ref="G18:K18"/>
    <mergeCell ref="A37:E37"/>
    <mergeCell ref="A22:E22"/>
    <mergeCell ref="G22:K22"/>
    <mergeCell ref="A19:E19"/>
    <mergeCell ref="G19:K19"/>
    <mergeCell ref="A20:E20"/>
    <mergeCell ref="G20:K20"/>
    <mergeCell ref="A21:E21"/>
    <mergeCell ref="G21:K21"/>
    <mergeCell ref="A30:E30"/>
    <mergeCell ref="A31:E31"/>
    <mergeCell ref="A32:E32"/>
    <mergeCell ref="A23:E23"/>
    <mergeCell ref="G23:K23"/>
    <mergeCell ref="A33:E33"/>
    <mergeCell ref="A35:L35"/>
    <mergeCell ref="A36:E36"/>
    <mergeCell ref="A25:G25"/>
    <mergeCell ref="A26:E26"/>
    <mergeCell ref="A27:E27"/>
    <mergeCell ref="A38:E38"/>
    <mergeCell ref="A39:E39"/>
    <mergeCell ref="A40:E40"/>
    <mergeCell ref="A42:H42"/>
    <mergeCell ref="A44:L44"/>
    <mergeCell ref="A41:E41"/>
    <mergeCell ref="A45:E45"/>
    <mergeCell ref="A51:E51"/>
    <mergeCell ref="A49:L49"/>
    <mergeCell ref="A46:E46"/>
    <mergeCell ref="A61:L61"/>
    <mergeCell ref="A110:H110"/>
    <mergeCell ref="A108:E108"/>
    <mergeCell ref="A109:E109"/>
    <mergeCell ref="A81:E81"/>
    <mergeCell ref="A106:L106"/>
    <mergeCell ref="A83:E83"/>
    <mergeCell ref="A50:E50"/>
    <mergeCell ref="A47:H47"/>
    <mergeCell ref="A64:E64"/>
    <mergeCell ref="A107:E107"/>
    <mergeCell ref="A82:E82"/>
    <mergeCell ref="A80:E80"/>
    <mergeCell ref="A86:E86"/>
    <mergeCell ref="A87:E87"/>
    <mergeCell ref="A88:H88"/>
    <mergeCell ref="A90:L90"/>
    <mergeCell ref="A91:E91"/>
    <mergeCell ref="A65:E65"/>
    <mergeCell ref="A58:E58"/>
    <mergeCell ref="A59:H59"/>
    <mergeCell ref="A56:E56"/>
    <mergeCell ref="A52:E52"/>
    <mergeCell ref="A53:E53"/>
    <mergeCell ref="A113:C113"/>
    <mergeCell ref="D113:J113"/>
    <mergeCell ref="K113:L114"/>
    <mergeCell ref="K115:L115"/>
    <mergeCell ref="A57:E57"/>
    <mergeCell ref="A73:E73"/>
    <mergeCell ref="A75:E75"/>
    <mergeCell ref="A78:M78"/>
    <mergeCell ref="A62:E62"/>
    <mergeCell ref="A63:E63"/>
    <mergeCell ref="A71:L71"/>
    <mergeCell ref="A68:E68"/>
    <mergeCell ref="A69:H69"/>
    <mergeCell ref="A72:E72"/>
    <mergeCell ref="A76:H76"/>
    <mergeCell ref="A74:E74"/>
    <mergeCell ref="A112:L112"/>
    <mergeCell ref="A66:E66"/>
    <mergeCell ref="A67:E67"/>
    <mergeCell ref="A85:L85"/>
    <mergeCell ref="A104:H104"/>
    <mergeCell ref="A98:E98"/>
    <mergeCell ref="A99:H99"/>
    <mergeCell ref="A101:L101"/>
  </mergeCells>
  <pageMargins left="0.7" right="0.7" top="0.75" bottom="0.75" header="0.3" footer="0.3"/>
  <pageSetup paperSize="9" scale="7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</vt:lpstr>
      <vt:lpstr>Услуга №1  </vt:lpstr>
      <vt:lpstr>Работа №1</vt:lpstr>
      <vt:lpstr>Работа №2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2020-02-28T03:51:27Z</dcterms:modified>
</cp:coreProperties>
</file>