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525" windowWidth="15120" windowHeight="7590" activeTab="5"/>
  </bookViews>
  <sheets>
    <sheet name="СВОД" sheetId="11" r:id="rId1"/>
    <sheet name="Услуга №1" sheetId="6" r:id="rId2"/>
    <sheet name="Услуга №2 " sheetId="4" r:id="rId3"/>
    <sheet name="Работа №1" sheetId="7" r:id="rId4"/>
    <sheet name="Работа №2" sheetId="8" r:id="rId5"/>
    <sheet name="Работа №3" sheetId="9" r:id="rId6"/>
  </sheets>
  <calcPr calcId="162913" refMode="R1C1"/>
</workbook>
</file>

<file path=xl/calcChain.xml><?xml version="1.0" encoding="utf-8"?>
<calcChain xmlns="http://schemas.openxmlformats.org/spreadsheetml/2006/main">
  <c r="K133" i="4" l="1"/>
  <c r="I133" i="4"/>
  <c r="K122" i="6"/>
  <c r="I122" i="6"/>
  <c r="I82" i="6" l="1"/>
  <c r="K132" i="8"/>
  <c r="I132" i="8"/>
  <c r="K122" i="7"/>
  <c r="I122" i="7"/>
  <c r="I50" i="7"/>
  <c r="I115" i="4"/>
  <c r="I103" i="6"/>
  <c r="I74" i="4"/>
  <c r="H103" i="6"/>
  <c r="J119" i="6" l="1"/>
  <c r="E119" i="6"/>
  <c r="D119" i="6"/>
  <c r="A119" i="6"/>
  <c r="M103" i="6"/>
  <c r="I116" i="9"/>
  <c r="H116" i="9"/>
  <c r="I113" i="8"/>
  <c r="H113" i="8"/>
  <c r="I102" i="7"/>
  <c r="H102" i="7"/>
  <c r="H115" i="4"/>
  <c r="K114" i="6" l="1"/>
  <c r="K109" i="6"/>
  <c r="K75" i="6"/>
  <c r="H78" i="9" l="1"/>
  <c r="H73" i="8"/>
  <c r="H50" i="7"/>
  <c r="G50" i="7"/>
  <c r="I126" i="9"/>
  <c r="I121" i="9"/>
  <c r="I120" i="9"/>
  <c r="I110" i="9"/>
  <c r="I109" i="9"/>
  <c r="I108" i="9"/>
  <c r="I107" i="9"/>
  <c r="I102" i="9"/>
  <c r="I101" i="9"/>
  <c r="I100" i="9"/>
  <c r="I95" i="9"/>
  <c r="I94" i="9"/>
  <c r="I93" i="9"/>
  <c r="I92" i="9"/>
  <c r="I91" i="9"/>
  <c r="I86" i="9"/>
  <c r="I85" i="9"/>
  <c r="I84" i="9"/>
  <c r="I83" i="9"/>
  <c r="I82" i="9"/>
  <c r="I123" i="8"/>
  <c r="I118" i="8"/>
  <c r="I117" i="8"/>
  <c r="I105" i="8"/>
  <c r="I104" i="8"/>
  <c r="I103" i="8"/>
  <c r="I102" i="8"/>
  <c r="I97" i="8"/>
  <c r="I96" i="8"/>
  <c r="I95" i="8"/>
  <c r="I90" i="8"/>
  <c r="I89" i="8"/>
  <c r="I88" i="8"/>
  <c r="I87" i="8"/>
  <c r="I86" i="8"/>
  <c r="I81" i="8"/>
  <c r="I80" i="8"/>
  <c r="I79" i="8"/>
  <c r="I78" i="8"/>
  <c r="I77" i="8"/>
  <c r="I112" i="7"/>
  <c r="I107" i="7"/>
  <c r="I106" i="7"/>
  <c r="I82" i="7"/>
  <c r="I81" i="7"/>
  <c r="I80" i="7"/>
  <c r="I79" i="7"/>
  <c r="I74" i="7"/>
  <c r="I73" i="7"/>
  <c r="I72" i="7"/>
  <c r="I67" i="7"/>
  <c r="I66" i="7"/>
  <c r="I65" i="7"/>
  <c r="I64" i="7"/>
  <c r="I63" i="7"/>
  <c r="I58" i="7"/>
  <c r="I57" i="7"/>
  <c r="I56" i="7"/>
  <c r="I55" i="7"/>
  <c r="I54" i="7"/>
  <c r="I125" i="4"/>
  <c r="I120" i="4"/>
  <c r="I119" i="4"/>
  <c r="I106" i="4"/>
  <c r="I105" i="4"/>
  <c r="I104" i="4"/>
  <c r="I103" i="4"/>
  <c r="I98" i="4"/>
  <c r="I97" i="4"/>
  <c r="I96" i="4"/>
  <c r="I91" i="4"/>
  <c r="I90" i="4"/>
  <c r="I89" i="4"/>
  <c r="I88" i="4"/>
  <c r="I87" i="4"/>
  <c r="I82" i="4"/>
  <c r="I81" i="4"/>
  <c r="I80" i="4"/>
  <c r="I79" i="4"/>
  <c r="I78" i="4"/>
  <c r="I113" i="6"/>
  <c r="I108" i="6"/>
  <c r="I107" i="6"/>
  <c r="I81" i="6"/>
  <c r="I80" i="6"/>
  <c r="I79" i="6"/>
  <c r="I74" i="6"/>
  <c r="I73" i="6"/>
  <c r="I72" i="6"/>
  <c r="I67" i="6"/>
  <c r="I66" i="6"/>
  <c r="I65" i="6"/>
  <c r="I64" i="6"/>
  <c r="I63" i="6"/>
  <c r="I58" i="6"/>
  <c r="I57" i="6"/>
  <c r="I56" i="6"/>
  <c r="I55" i="6"/>
  <c r="I54" i="6"/>
  <c r="J103" i="4" l="1"/>
  <c r="J87" i="4"/>
  <c r="H74" i="4"/>
  <c r="G74" i="4"/>
  <c r="H50" i="6" l="1"/>
  <c r="I50" i="6" s="1"/>
  <c r="G103" i="6"/>
  <c r="J50" i="6" l="1"/>
  <c r="J107" i="4" l="1"/>
  <c r="H87" i="6"/>
  <c r="F44" i="4" l="1"/>
  <c r="I127" i="9"/>
  <c r="K126" i="9"/>
  <c r="K127" i="9" s="1"/>
  <c r="I124" i="8"/>
  <c r="K123" i="8"/>
  <c r="K124" i="8" s="1"/>
  <c r="I113" i="7"/>
  <c r="K112" i="7"/>
  <c r="K113" i="7" s="1"/>
  <c r="I126" i="4"/>
  <c r="K125" i="4"/>
  <c r="K126" i="4" s="1"/>
  <c r="I114" i="6"/>
  <c r="M114" i="6" s="1"/>
  <c r="K113" i="6"/>
  <c r="I122" i="9"/>
  <c r="K121" i="9"/>
  <c r="K120" i="9"/>
  <c r="K122" i="9" s="1"/>
  <c r="J132" i="9" s="1"/>
  <c r="I119" i="8"/>
  <c r="K118" i="8"/>
  <c r="K117" i="8"/>
  <c r="I108" i="7"/>
  <c r="K107" i="7"/>
  <c r="K106" i="7"/>
  <c r="I121" i="4"/>
  <c r="K120" i="4"/>
  <c r="K119" i="4"/>
  <c r="I109" i="6"/>
  <c r="K107" i="6"/>
  <c r="K108" i="6"/>
  <c r="I111" i="9"/>
  <c r="J110" i="9"/>
  <c r="K110" i="9" s="1"/>
  <c r="K109" i="9"/>
  <c r="K108" i="9"/>
  <c r="K107" i="9"/>
  <c r="K101" i="9"/>
  <c r="I103" i="9"/>
  <c r="I106" i="8"/>
  <c r="J105" i="8"/>
  <c r="K105" i="8" s="1"/>
  <c r="K104" i="8"/>
  <c r="K103" i="8"/>
  <c r="K102" i="8"/>
  <c r="I83" i="7"/>
  <c r="J82" i="7"/>
  <c r="K82" i="7" s="1"/>
  <c r="K81" i="7"/>
  <c r="K80" i="7"/>
  <c r="K79" i="7"/>
  <c r="I107" i="4"/>
  <c r="K107" i="4" s="1"/>
  <c r="G131" i="4" s="1"/>
  <c r="K105" i="4"/>
  <c r="K104" i="4"/>
  <c r="J106" i="4"/>
  <c r="K106" i="4" s="1"/>
  <c r="K80" i="6"/>
  <c r="K81" i="6"/>
  <c r="I98" i="8"/>
  <c r="K96" i="8"/>
  <c r="I75" i="7"/>
  <c r="K73" i="7"/>
  <c r="K97" i="4"/>
  <c r="K73" i="6"/>
  <c r="I99" i="4"/>
  <c r="I96" i="9"/>
  <c r="J92" i="9"/>
  <c r="J95" i="9" s="1"/>
  <c r="K95" i="9" s="1"/>
  <c r="K91" i="9"/>
  <c r="I91" i="8"/>
  <c r="J87" i="8"/>
  <c r="K87" i="8" s="1"/>
  <c r="K86" i="8"/>
  <c r="I68" i="7"/>
  <c r="J64" i="7"/>
  <c r="J67" i="7" s="1"/>
  <c r="K67" i="7" s="1"/>
  <c r="K63" i="7"/>
  <c r="I92" i="4"/>
  <c r="J88" i="4"/>
  <c r="J91" i="4" s="1"/>
  <c r="K87" i="4"/>
  <c r="K58" i="6"/>
  <c r="I68" i="6"/>
  <c r="M109" i="6" l="1"/>
  <c r="K91" i="4"/>
  <c r="J99" i="4"/>
  <c r="K99" i="4" s="1"/>
  <c r="H131" i="4" s="1"/>
  <c r="K119" i="8"/>
  <c r="J129" i="8" s="1"/>
  <c r="K108" i="7"/>
  <c r="J118" i="7" s="1"/>
  <c r="K121" i="4"/>
  <c r="J131" i="4" s="1"/>
  <c r="K111" i="9"/>
  <c r="G132" i="9" s="1"/>
  <c r="J100" i="9"/>
  <c r="K100" i="9" s="1"/>
  <c r="K106" i="8"/>
  <c r="G129" i="8" s="1"/>
  <c r="M68" i="6"/>
  <c r="K83" i="7"/>
  <c r="G118" i="7" s="1"/>
  <c r="J96" i="4"/>
  <c r="K96" i="4" s="1"/>
  <c r="K103" i="4"/>
  <c r="J72" i="7"/>
  <c r="K72" i="7" s="1"/>
  <c r="K92" i="9"/>
  <c r="J93" i="9"/>
  <c r="K93" i="9" s="1"/>
  <c r="J94" i="9"/>
  <c r="J88" i="8"/>
  <c r="J89" i="8"/>
  <c r="J90" i="8"/>
  <c r="K64" i="7"/>
  <c r="J65" i="7"/>
  <c r="J66" i="7"/>
  <c r="K88" i="4"/>
  <c r="J89" i="4"/>
  <c r="J90" i="4"/>
  <c r="I87" i="9"/>
  <c r="I82" i="8"/>
  <c r="I59" i="7"/>
  <c r="I83" i="4"/>
  <c r="I59" i="6"/>
  <c r="G116" i="9"/>
  <c r="G113" i="8"/>
  <c r="G102" i="7"/>
  <c r="G115" i="4"/>
  <c r="H100" i="6"/>
  <c r="G78" i="9"/>
  <c r="I78" i="9" s="1"/>
  <c r="G73" i="8"/>
  <c r="I73" i="8" s="1"/>
  <c r="K59" i="6" l="1"/>
  <c r="M50" i="6"/>
  <c r="K65" i="7"/>
  <c r="J68" i="7"/>
  <c r="K68" i="7" s="1"/>
  <c r="E118" i="7" s="1"/>
  <c r="K88" i="8"/>
  <c r="J91" i="8"/>
  <c r="K91" i="8" s="1"/>
  <c r="K89" i="4"/>
  <c r="J92" i="4"/>
  <c r="K92" i="4" s="1"/>
  <c r="E131" i="4" s="1"/>
  <c r="K94" i="9"/>
  <c r="J102" i="9"/>
  <c r="K102" i="9" s="1"/>
  <c r="K103" i="9" s="1"/>
  <c r="H132" i="9" s="1"/>
  <c r="K89" i="8"/>
  <c r="J97" i="8"/>
  <c r="K97" i="8" s="1"/>
  <c r="K90" i="8"/>
  <c r="J95" i="8"/>
  <c r="K95" i="8" s="1"/>
  <c r="K98" i="8" s="1"/>
  <c r="H129" i="8" s="1"/>
  <c r="K90" i="4"/>
  <c r="J98" i="4"/>
  <c r="K98" i="4" s="1"/>
  <c r="K66" i="7"/>
  <c r="J74" i="7"/>
  <c r="K74" i="7" s="1"/>
  <c r="K75" i="7" s="1"/>
  <c r="H118" i="7" s="1"/>
  <c r="K96" i="9"/>
  <c r="E132" i="9" s="1"/>
  <c r="H37" i="6"/>
  <c r="F33" i="6"/>
  <c r="L33" i="6"/>
  <c r="F66" i="9" l="1"/>
  <c r="F51" i="9"/>
  <c r="F115" i="9"/>
  <c r="F94" i="7"/>
  <c r="F88" i="7"/>
  <c r="F87" i="7"/>
  <c r="F114" i="4"/>
  <c r="F113" i="4"/>
  <c r="F111" i="8" s="1"/>
  <c r="F112" i="4"/>
  <c r="H83" i="9"/>
  <c r="H84" i="9"/>
  <c r="H85" i="9"/>
  <c r="H82" i="9"/>
  <c r="H78" i="8"/>
  <c r="H79" i="8"/>
  <c r="H80" i="8"/>
  <c r="H77" i="8"/>
  <c r="H55" i="7"/>
  <c r="H56" i="7"/>
  <c r="H57" i="7"/>
  <c r="H54" i="7"/>
  <c r="H79" i="4"/>
  <c r="H80" i="4"/>
  <c r="H81" i="4"/>
  <c r="H78" i="4"/>
  <c r="F77" i="9"/>
  <c r="F72" i="8"/>
  <c r="F101" i="7"/>
  <c r="F73" i="4"/>
  <c r="F76" i="9"/>
  <c r="F71" i="8"/>
  <c r="F100" i="7"/>
  <c r="F72" i="4"/>
  <c r="F75" i="9"/>
  <c r="F70" i="8"/>
  <c r="F99" i="7"/>
  <c r="F71" i="4"/>
  <c r="F74" i="9"/>
  <c r="F73" i="9"/>
  <c r="F69" i="8"/>
  <c r="F68" i="8"/>
  <c r="F98" i="7"/>
  <c r="F97" i="7"/>
  <c r="F70" i="4"/>
  <c r="F69" i="4"/>
  <c r="F72" i="9"/>
  <c r="F67" i="8"/>
  <c r="F96" i="7"/>
  <c r="F68" i="4"/>
  <c r="F71" i="9"/>
  <c r="F66" i="8"/>
  <c r="F95" i="7"/>
  <c r="F67" i="4"/>
  <c r="F70" i="9"/>
  <c r="F69" i="9"/>
  <c r="F65" i="8"/>
  <c r="F64" i="8"/>
  <c r="F49" i="7"/>
  <c r="F48" i="7"/>
  <c r="F66" i="4"/>
  <c r="F65" i="4"/>
  <c r="F68" i="9"/>
  <c r="F67" i="9"/>
  <c r="F65" i="9"/>
  <c r="F62" i="8"/>
  <c r="F63" i="8"/>
  <c r="F61" i="8"/>
  <c r="F46" i="7"/>
  <c r="F47" i="7"/>
  <c r="F45" i="7"/>
  <c r="F63" i="4"/>
  <c r="F64" i="4"/>
  <c r="F62" i="4"/>
  <c r="F63" i="9"/>
  <c r="F64" i="9"/>
  <c r="F62" i="9"/>
  <c r="F59" i="8"/>
  <c r="F60" i="8"/>
  <c r="F58" i="8"/>
  <c r="F43" i="7"/>
  <c r="F44" i="7"/>
  <c r="F42" i="7"/>
  <c r="F60" i="4"/>
  <c r="F61" i="4"/>
  <c r="F59" i="4"/>
  <c r="F41" i="7"/>
  <c r="F58" i="4"/>
  <c r="F40" i="7"/>
  <c r="F57" i="4"/>
  <c r="F59" i="9"/>
  <c r="F55" i="8"/>
  <c r="F39" i="7"/>
  <c r="F56" i="4"/>
  <c r="F58" i="9"/>
  <c r="F54" i="8"/>
  <c r="F93" i="7"/>
  <c r="F55" i="4"/>
  <c r="F57" i="9"/>
  <c r="F56" i="9"/>
  <c r="F53" i="8"/>
  <c r="F52" i="8"/>
  <c r="F92" i="7"/>
  <c r="F91" i="7"/>
  <c r="F54" i="4"/>
  <c r="F53" i="4"/>
  <c r="F110" i="8" l="1"/>
  <c r="F112" i="8"/>
  <c r="F52" i="4"/>
  <c r="F54" i="9"/>
  <c r="F50" i="8"/>
  <c r="F38" i="7"/>
  <c r="F51" i="4"/>
  <c r="F53" i="9"/>
  <c r="F49" i="8"/>
  <c r="F89" i="7"/>
  <c r="F50" i="4"/>
  <c r="F52" i="9"/>
  <c r="F48" i="8"/>
  <c r="F37" i="7"/>
  <c r="F49" i="4"/>
  <c r="F50" i="9"/>
  <c r="F47" i="8"/>
  <c r="F36" i="7"/>
  <c r="F48" i="4"/>
  <c r="J48" i="4" l="1"/>
  <c r="J49" i="4" s="1"/>
  <c r="J50" i="4" s="1"/>
  <c r="J51" i="4" s="1"/>
  <c r="J52" i="4" s="1"/>
  <c r="J53" i="4" s="1"/>
  <c r="J54" i="4" s="1"/>
  <c r="J55" i="4" s="1"/>
  <c r="I100" i="6"/>
  <c r="H71" i="4"/>
  <c r="I71" i="4" s="1"/>
  <c r="H37" i="7"/>
  <c r="I37" i="7" s="1"/>
  <c r="H38" i="7"/>
  <c r="I38" i="7" s="1"/>
  <c r="H39" i="7"/>
  <c r="I39" i="7" s="1"/>
  <c r="H40" i="7"/>
  <c r="I40" i="7" s="1"/>
  <c r="H41" i="7"/>
  <c r="I41" i="7" s="1"/>
  <c r="H42" i="7"/>
  <c r="I42" i="7" s="1"/>
  <c r="H43" i="7"/>
  <c r="I43" i="7" s="1"/>
  <c r="H44" i="7"/>
  <c r="I44" i="7" s="1"/>
  <c r="H45" i="7"/>
  <c r="I45" i="7" s="1"/>
  <c r="H46" i="7"/>
  <c r="I46" i="7" s="1"/>
  <c r="H47" i="7"/>
  <c r="I47" i="7" s="1"/>
  <c r="H48" i="7"/>
  <c r="I48" i="7" s="1"/>
  <c r="H49" i="7"/>
  <c r="I49" i="7" s="1"/>
  <c r="H36" i="7"/>
  <c r="I36" i="7" s="1"/>
  <c r="H51" i="9"/>
  <c r="I51" i="9" s="1"/>
  <c r="H52" i="9"/>
  <c r="I52" i="9" s="1"/>
  <c r="H53" i="9"/>
  <c r="I53" i="9" s="1"/>
  <c r="H54" i="9"/>
  <c r="I54" i="9" s="1"/>
  <c r="H55" i="9"/>
  <c r="I55" i="9" s="1"/>
  <c r="H56" i="9"/>
  <c r="I56" i="9" s="1"/>
  <c r="H57" i="9"/>
  <c r="I57" i="9" s="1"/>
  <c r="H58" i="9"/>
  <c r="I58" i="9" s="1"/>
  <c r="H59" i="9"/>
  <c r="I59" i="9" s="1"/>
  <c r="H60" i="9"/>
  <c r="I60" i="9" s="1"/>
  <c r="H61" i="9"/>
  <c r="I61" i="9" s="1"/>
  <c r="H62" i="9"/>
  <c r="I62" i="9" s="1"/>
  <c r="H63" i="9"/>
  <c r="I63" i="9" s="1"/>
  <c r="H64" i="9"/>
  <c r="I64" i="9" s="1"/>
  <c r="H65" i="9"/>
  <c r="I65" i="9" s="1"/>
  <c r="H66" i="9"/>
  <c r="I66" i="9" s="1"/>
  <c r="H67" i="9"/>
  <c r="I67" i="9" s="1"/>
  <c r="H68" i="9"/>
  <c r="I68" i="9" s="1"/>
  <c r="H69" i="9"/>
  <c r="I69" i="9" s="1"/>
  <c r="H70" i="9"/>
  <c r="I70" i="9" s="1"/>
  <c r="H71" i="9"/>
  <c r="I71" i="9" s="1"/>
  <c r="H72" i="9"/>
  <c r="I72" i="9" s="1"/>
  <c r="H73" i="9"/>
  <c r="I73" i="9" s="1"/>
  <c r="H74" i="9"/>
  <c r="I74" i="9" s="1"/>
  <c r="H75" i="9"/>
  <c r="I75" i="9" s="1"/>
  <c r="H76" i="9"/>
  <c r="I76" i="9" s="1"/>
  <c r="H77" i="9"/>
  <c r="I77" i="9" s="1"/>
  <c r="H50" i="9"/>
  <c r="I50" i="9" s="1"/>
  <c r="H48" i="8"/>
  <c r="I48" i="8" s="1"/>
  <c r="H49" i="8"/>
  <c r="I49" i="8" s="1"/>
  <c r="H50" i="8"/>
  <c r="I50" i="8" s="1"/>
  <c r="H51" i="8"/>
  <c r="I51" i="8" s="1"/>
  <c r="H52" i="8"/>
  <c r="I52" i="8" s="1"/>
  <c r="H53" i="8"/>
  <c r="I53" i="8" s="1"/>
  <c r="H54" i="8"/>
  <c r="I54" i="8" s="1"/>
  <c r="H55" i="8"/>
  <c r="I55" i="8" s="1"/>
  <c r="H56" i="8"/>
  <c r="I56" i="8" s="1"/>
  <c r="H57" i="8"/>
  <c r="I57" i="8" s="1"/>
  <c r="H58" i="8"/>
  <c r="I58" i="8" s="1"/>
  <c r="H59" i="8"/>
  <c r="I59" i="8" s="1"/>
  <c r="H60" i="8"/>
  <c r="I60" i="8" s="1"/>
  <c r="H61" i="8"/>
  <c r="I61" i="8" s="1"/>
  <c r="H62" i="8"/>
  <c r="I62" i="8" s="1"/>
  <c r="H63" i="8"/>
  <c r="I63" i="8" s="1"/>
  <c r="H64" i="8"/>
  <c r="I64" i="8" s="1"/>
  <c r="H65" i="8"/>
  <c r="I65" i="8" s="1"/>
  <c r="H66" i="8"/>
  <c r="I66" i="8" s="1"/>
  <c r="H67" i="8"/>
  <c r="I67" i="8" s="1"/>
  <c r="H68" i="8"/>
  <c r="I68" i="8" s="1"/>
  <c r="H69" i="8"/>
  <c r="I69" i="8" s="1"/>
  <c r="H70" i="8"/>
  <c r="I70" i="8" s="1"/>
  <c r="H71" i="8"/>
  <c r="I71" i="8" s="1"/>
  <c r="H72" i="8"/>
  <c r="I72" i="8" s="1"/>
  <c r="H47" i="8"/>
  <c r="I47" i="8" s="1"/>
  <c r="H49" i="4"/>
  <c r="I49" i="4" s="1"/>
  <c r="H50" i="4"/>
  <c r="I50" i="4" s="1"/>
  <c r="H51" i="4"/>
  <c r="I51" i="4" s="1"/>
  <c r="H52" i="4"/>
  <c r="I52" i="4" s="1"/>
  <c r="H53" i="4"/>
  <c r="I53" i="4" s="1"/>
  <c r="H54" i="4"/>
  <c r="I54" i="4" s="1"/>
  <c r="H55" i="4"/>
  <c r="I55" i="4" s="1"/>
  <c r="H56" i="4"/>
  <c r="I56" i="4" s="1"/>
  <c r="H57" i="4"/>
  <c r="I57" i="4" s="1"/>
  <c r="H58" i="4"/>
  <c r="I58" i="4" s="1"/>
  <c r="H59" i="4"/>
  <c r="I59" i="4" s="1"/>
  <c r="H60" i="4"/>
  <c r="I60" i="4" s="1"/>
  <c r="H61" i="4"/>
  <c r="I61" i="4" s="1"/>
  <c r="H62" i="4"/>
  <c r="I62" i="4" s="1"/>
  <c r="H63" i="4"/>
  <c r="I63" i="4" s="1"/>
  <c r="H64" i="4"/>
  <c r="I64" i="4" s="1"/>
  <c r="H65" i="4"/>
  <c r="I65" i="4" s="1"/>
  <c r="H66" i="4"/>
  <c r="I66" i="4" s="1"/>
  <c r="H67" i="4"/>
  <c r="I67" i="4" s="1"/>
  <c r="H68" i="4"/>
  <c r="I68" i="4" s="1"/>
  <c r="H69" i="4"/>
  <c r="I69" i="4" s="1"/>
  <c r="H70" i="4"/>
  <c r="I70" i="4" s="1"/>
  <c r="H72" i="4"/>
  <c r="I72" i="4" s="1"/>
  <c r="H73" i="4"/>
  <c r="I73" i="4" s="1"/>
  <c r="H48" i="4"/>
  <c r="I48" i="4" s="1"/>
  <c r="H38" i="6"/>
  <c r="I38" i="6" s="1"/>
  <c r="H39" i="6"/>
  <c r="I39" i="6" s="1"/>
  <c r="H40" i="6"/>
  <c r="I40" i="6" s="1"/>
  <c r="H41" i="6"/>
  <c r="I41" i="6" s="1"/>
  <c r="H42" i="6"/>
  <c r="I42" i="6" s="1"/>
  <c r="H43" i="6"/>
  <c r="I43" i="6" s="1"/>
  <c r="H44" i="6"/>
  <c r="I44" i="6" s="1"/>
  <c r="H45" i="6"/>
  <c r="I45" i="6" s="1"/>
  <c r="H46" i="6"/>
  <c r="I46" i="6" s="1"/>
  <c r="H47" i="6"/>
  <c r="I47" i="6" s="1"/>
  <c r="H48" i="6"/>
  <c r="I48" i="6" s="1"/>
  <c r="H49" i="6"/>
  <c r="I49" i="6" s="1"/>
  <c r="I37" i="6"/>
  <c r="K37" i="6" s="1"/>
  <c r="H115" i="9"/>
  <c r="H111" i="8"/>
  <c r="I111" i="8" s="1"/>
  <c r="H112" i="8"/>
  <c r="H110" i="8"/>
  <c r="H88" i="7"/>
  <c r="I88" i="7" s="1"/>
  <c r="H89" i="7"/>
  <c r="I89" i="7" s="1"/>
  <c r="H90" i="7"/>
  <c r="I90" i="7" s="1"/>
  <c r="H91" i="7"/>
  <c r="H92" i="7"/>
  <c r="I92" i="7" s="1"/>
  <c r="H93" i="7"/>
  <c r="I93" i="7" s="1"/>
  <c r="H94" i="7"/>
  <c r="I94" i="7" s="1"/>
  <c r="H95" i="7"/>
  <c r="I95" i="7" s="1"/>
  <c r="H96" i="7"/>
  <c r="I96" i="7" s="1"/>
  <c r="H97" i="7"/>
  <c r="I97" i="7" s="1"/>
  <c r="H98" i="7"/>
  <c r="I98" i="7" s="1"/>
  <c r="H99" i="7"/>
  <c r="I99" i="7" s="1"/>
  <c r="H100" i="7"/>
  <c r="I100" i="7" s="1"/>
  <c r="H101" i="7"/>
  <c r="I101" i="7" s="1"/>
  <c r="H87" i="7"/>
  <c r="H113" i="4"/>
  <c r="I113" i="4" s="1"/>
  <c r="H114" i="4"/>
  <c r="H112" i="4"/>
  <c r="H88" i="6"/>
  <c r="H89" i="6"/>
  <c r="I89" i="6" s="1"/>
  <c r="H90" i="6"/>
  <c r="I90" i="6" s="1"/>
  <c r="H91" i="6"/>
  <c r="I91" i="6" s="1"/>
  <c r="H92" i="6"/>
  <c r="H93" i="6"/>
  <c r="I93" i="6" s="1"/>
  <c r="H94" i="6"/>
  <c r="I94" i="6" s="1"/>
  <c r="H95" i="6"/>
  <c r="I95" i="6" s="1"/>
  <c r="H96" i="6"/>
  <c r="I96" i="6" s="1"/>
  <c r="H97" i="6"/>
  <c r="I97" i="6" s="1"/>
  <c r="H98" i="6"/>
  <c r="I98" i="6" s="1"/>
  <c r="H99" i="6"/>
  <c r="I99" i="6" s="1"/>
  <c r="H101" i="6"/>
  <c r="I101" i="6" s="1"/>
  <c r="H102" i="6"/>
  <c r="I102" i="6" s="1"/>
  <c r="I87" i="6"/>
  <c r="J50" i="9"/>
  <c r="J51" i="9" s="1"/>
  <c r="J52" i="9" s="1"/>
  <c r="J53" i="9" s="1"/>
  <c r="J54" i="9" s="1"/>
  <c r="J55" i="9" s="1"/>
  <c r="J56" i="9" s="1"/>
  <c r="J57" i="9" s="1"/>
  <c r="J58" i="9" s="1"/>
  <c r="J59" i="9" s="1"/>
  <c r="J60" i="9" s="1"/>
  <c r="J61" i="9" s="1"/>
  <c r="J62" i="9" s="1"/>
  <c r="J63" i="9" s="1"/>
  <c r="J47" i="8"/>
  <c r="J48" i="8" s="1"/>
  <c r="J49" i="8" s="1"/>
  <c r="J50" i="8" s="1"/>
  <c r="J51" i="8" s="1"/>
  <c r="J52" i="8" s="1"/>
  <c r="J53" i="8" s="1"/>
  <c r="J54" i="8" s="1"/>
  <c r="J55" i="8" s="1"/>
  <c r="J56" i="8" s="1"/>
  <c r="J57" i="8" s="1"/>
  <c r="J58" i="8" s="1"/>
  <c r="J59" i="8" s="1"/>
  <c r="J60" i="8" s="1"/>
  <c r="J61" i="8" s="1"/>
  <c r="J62" i="8" s="1"/>
  <c r="J63" i="8" s="1"/>
  <c r="J64" i="8" s="1"/>
  <c r="J65" i="8" s="1"/>
  <c r="J66" i="8" s="1"/>
  <c r="J67" i="8" s="1"/>
  <c r="J68" i="8" s="1"/>
  <c r="J69" i="8" s="1"/>
  <c r="J70" i="8" s="1"/>
  <c r="J71" i="8" s="1"/>
  <c r="J72" i="8" s="1"/>
  <c r="J77" i="8" s="1"/>
  <c r="J78" i="8" s="1"/>
  <c r="J79" i="8" s="1"/>
  <c r="J80" i="8" s="1"/>
  <c r="J81" i="8" s="1"/>
  <c r="J36" i="7"/>
  <c r="J37" i="7" s="1"/>
  <c r="J38" i="7" s="1"/>
  <c r="J39" i="7" s="1"/>
  <c r="J37" i="6"/>
  <c r="J38" i="6" s="1"/>
  <c r="J39" i="6" s="1"/>
  <c r="J40" i="6" s="1"/>
  <c r="J41" i="6" s="1"/>
  <c r="J42" i="6" s="1"/>
  <c r="J43" i="6" s="1"/>
  <c r="J44" i="6" s="1"/>
  <c r="L44" i="4"/>
  <c r="L32" i="7"/>
  <c r="F32" i="7"/>
  <c r="F46" i="9"/>
  <c r="F43" i="8"/>
  <c r="L46" i="9"/>
  <c r="L43" i="8"/>
  <c r="M33" i="6" l="1"/>
  <c r="I112" i="4"/>
  <c r="I110" i="8"/>
  <c r="K81" i="8"/>
  <c r="J82" i="8"/>
  <c r="K82" i="8" s="1"/>
  <c r="I88" i="6"/>
  <c r="I87" i="7"/>
  <c r="K38" i="6"/>
  <c r="I115" i="9"/>
  <c r="I135" i="9" s="1"/>
  <c r="I114" i="4"/>
  <c r="I112" i="8"/>
  <c r="I91" i="7"/>
  <c r="I92" i="6"/>
  <c r="K48" i="8"/>
  <c r="K36" i="7"/>
  <c r="J64" i="9"/>
  <c r="J65" i="9" s="1"/>
  <c r="J66" i="9" s="1"/>
  <c r="J67" i="9" s="1"/>
  <c r="J68" i="9" s="1"/>
  <c r="J69" i="9" s="1"/>
  <c r="J70" i="9" s="1"/>
  <c r="J71" i="9" s="1"/>
  <c r="J72" i="9" s="1"/>
  <c r="J73" i="9" s="1"/>
  <c r="J74" i="9" s="1"/>
  <c r="J75" i="9" s="1"/>
  <c r="J76" i="9" s="1"/>
  <c r="J77" i="9" s="1"/>
  <c r="K63" i="9"/>
  <c r="K58" i="9"/>
  <c r="K59" i="9"/>
  <c r="K51" i="9"/>
  <c r="K61" i="9"/>
  <c r="K57" i="9"/>
  <c r="K53" i="9"/>
  <c r="K62" i="9"/>
  <c r="K54" i="9"/>
  <c r="K50" i="9"/>
  <c r="K55" i="9"/>
  <c r="K60" i="9"/>
  <c r="K56" i="9"/>
  <c r="K52" i="9"/>
  <c r="K67" i="8"/>
  <c r="K59" i="8"/>
  <c r="K52" i="8"/>
  <c r="K68" i="8"/>
  <c r="K57" i="8"/>
  <c r="K49" i="8"/>
  <c r="K80" i="8"/>
  <c r="K69" i="8"/>
  <c r="K61" i="8"/>
  <c r="K58" i="8"/>
  <c r="K50" i="8"/>
  <c r="K70" i="8"/>
  <c r="K66" i="8"/>
  <c r="K62" i="8"/>
  <c r="K55" i="8"/>
  <c r="K51" i="8"/>
  <c r="K71" i="8"/>
  <c r="K63" i="8"/>
  <c r="K56" i="8"/>
  <c r="K72" i="8"/>
  <c r="K64" i="8"/>
  <c r="K60" i="8"/>
  <c r="K53" i="8"/>
  <c r="K47" i="8"/>
  <c r="K65" i="8"/>
  <c r="K54" i="8"/>
  <c r="K79" i="8"/>
  <c r="K77" i="8"/>
  <c r="J40" i="7"/>
  <c r="J41" i="7" s="1"/>
  <c r="J42" i="7" s="1"/>
  <c r="J43" i="7" s="1"/>
  <c r="K39" i="7"/>
  <c r="K37" i="7"/>
  <c r="K38" i="7"/>
  <c r="J56" i="4"/>
  <c r="J57" i="4" s="1"/>
  <c r="J58" i="4" s="1"/>
  <c r="J59" i="4" s="1"/>
  <c r="J60" i="4" s="1"/>
  <c r="J61" i="4" s="1"/>
  <c r="J62" i="4" s="1"/>
  <c r="J63" i="4" s="1"/>
  <c r="J64" i="4" s="1"/>
  <c r="J65" i="4" s="1"/>
  <c r="J66" i="4" s="1"/>
  <c r="J67" i="4" s="1"/>
  <c r="J68" i="4" s="1"/>
  <c r="J69" i="4" s="1"/>
  <c r="J70" i="4" s="1"/>
  <c r="J71" i="4" s="1"/>
  <c r="K71" i="4" s="1"/>
  <c r="K55" i="4"/>
  <c r="K48" i="4"/>
  <c r="K53" i="4"/>
  <c r="K62" i="4"/>
  <c r="K51" i="4"/>
  <c r="K70" i="4"/>
  <c r="K52" i="4"/>
  <c r="K49" i="4"/>
  <c r="K54" i="4"/>
  <c r="K50" i="4"/>
  <c r="J45" i="6"/>
  <c r="J47" i="6" s="1"/>
  <c r="J49" i="6" s="1"/>
  <c r="J54" i="6" s="1"/>
  <c r="J46" i="6"/>
  <c r="J48" i="6" s="1"/>
  <c r="K48" i="6" s="1"/>
  <c r="K44" i="6"/>
  <c r="K43" i="6"/>
  <c r="K41" i="6"/>
  <c r="K39" i="6"/>
  <c r="K40" i="6"/>
  <c r="K78" i="8"/>
  <c r="M59" i="6"/>
  <c r="K42" i="6"/>
  <c r="K116" i="9" l="1"/>
  <c r="I132" i="9" s="1"/>
  <c r="J82" i="9"/>
  <c r="J83" i="9" s="1"/>
  <c r="J84" i="9" s="1"/>
  <c r="J85" i="9" s="1"/>
  <c r="J86" i="9" s="1"/>
  <c r="J78" i="9"/>
  <c r="J55" i="6"/>
  <c r="K55" i="6" s="1"/>
  <c r="K54" i="6"/>
  <c r="K45" i="6"/>
  <c r="K61" i="4"/>
  <c r="K56" i="4"/>
  <c r="D129" i="8"/>
  <c r="K63" i="4"/>
  <c r="K66" i="4"/>
  <c r="K67" i="4"/>
  <c r="K60" i="4"/>
  <c r="K41" i="7"/>
  <c r="K59" i="4"/>
  <c r="K58" i="4"/>
  <c r="K64" i="4"/>
  <c r="K65" i="4"/>
  <c r="K57" i="4"/>
  <c r="K69" i="4"/>
  <c r="K47" i="6"/>
  <c r="K42" i="7"/>
  <c r="K40" i="7"/>
  <c r="K68" i="4"/>
  <c r="K72" i="9"/>
  <c r="K67" i="9"/>
  <c r="K66" i="9"/>
  <c r="K68" i="9"/>
  <c r="K77" i="9"/>
  <c r="K69" i="9"/>
  <c r="K82" i="9"/>
  <c r="K76" i="9"/>
  <c r="K73" i="9"/>
  <c r="K84" i="9"/>
  <c r="K64" i="9"/>
  <c r="K71" i="9"/>
  <c r="K70" i="9"/>
  <c r="K83" i="9"/>
  <c r="K65" i="9"/>
  <c r="K85" i="9"/>
  <c r="K75" i="9"/>
  <c r="K74" i="9"/>
  <c r="J44" i="7"/>
  <c r="K43" i="7"/>
  <c r="J72" i="4"/>
  <c r="J78" i="4"/>
  <c r="K49" i="6"/>
  <c r="K46" i="6"/>
  <c r="I75" i="6"/>
  <c r="I83" i="6"/>
  <c r="K83" i="6" l="1"/>
  <c r="G119" i="6" s="1"/>
  <c r="K113" i="8"/>
  <c r="I129" i="8" s="1"/>
  <c r="M75" i="6"/>
  <c r="M83" i="6"/>
  <c r="K78" i="9"/>
  <c r="A132" i="9" s="1"/>
  <c r="J57" i="6"/>
  <c r="K57" i="6" s="1"/>
  <c r="K86" i="9"/>
  <c r="J87" i="9"/>
  <c r="K87" i="9" s="1"/>
  <c r="D132" i="9" s="1"/>
  <c r="J56" i="6"/>
  <c r="K56" i="6" s="1"/>
  <c r="J45" i="7"/>
  <c r="K44" i="7"/>
  <c r="J73" i="4"/>
  <c r="K72" i="4"/>
  <c r="J79" i="4"/>
  <c r="K78" i="4"/>
  <c r="A2" i="11" l="1"/>
  <c r="K73" i="8"/>
  <c r="A129" i="8" s="1"/>
  <c r="K73" i="4"/>
  <c r="J74" i="4"/>
  <c r="K74" i="4" s="1"/>
  <c r="A131" i="4" s="1"/>
  <c r="K50" i="7"/>
  <c r="K50" i="6"/>
  <c r="E129" i="8"/>
  <c r="J46" i="7"/>
  <c r="K45" i="7"/>
  <c r="J80" i="4"/>
  <c r="K79" i="4"/>
  <c r="K115" i="9" l="1"/>
  <c r="J47" i="7"/>
  <c r="K46" i="7"/>
  <c r="J81" i="4"/>
  <c r="J82" i="4" s="1"/>
  <c r="J83" i="4" s="1"/>
  <c r="K80" i="4"/>
  <c r="J64" i="6"/>
  <c r="J65" i="6" s="1"/>
  <c r="J68" i="6" s="1"/>
  <c r="K68" i="6" s="1"/>
  <c r="K63" i="6"/>
  <c r="K82" i="4" l="1"/>
  <c r="K83" i="4"/>
  <c r="D131" i="4" s="1"/>
  <c r="J111" i="8"/>
  <c r="K110" i="8"/>
  <c r="J48" i="7"/>
  <c r="K47" i="7"/>
  <c r="K81" i="4"/>
  <c r="J66" i="6"/>
  <c r="J67" i="6"/>
  <c r="J75" i="6" s="1"/>
  <c r="K132" i="9" l="1"/>
  <c r="K135" i="9" s="1"/>
  <c r="J112" i="8"/>
  <c r="K111" i="8"/>
  <c r="J49" i="7"/>
  <c r="J54" i="7"/>
  <c r="K48" i="7"/>
  <c r="K49" i="7" l="1"/>
  <c r="J50" i="7"/>
  <c r="K112" i="8"/>
  <c r="J55" i="7"/>
  <c r="K54" i="7"/>
  <c r="A118" i="7"/>
  <c r="K129" i="8" l="1"/>
  <c r="K55" i="7"/>
  <c r="J56" i="7"/>
  <c r="J57" i="7" l="1"/>
  <c r="J58" i="7" s="1"/>
  <c r="K56" i="7"/>
  <c r="K58" i="7" l="1"/>
  <c r="J59" i="7"/>
  <c r="K59" i="7" s="1"/>
  <c r="K57" i="7"/>
  <c r="D118" i="7" l="1"/>
  <c r="J113" i="4"/>
  <c r="K112" i="4"/>
  <c r="K113" i="4" l="1"/>
  <c r="J114" i="4"/>
  <c r="K115" i="4" s="1"/>
  <c r="I131" i="4" s="1"/>
  <c r="K114" i="4" l="1"/>
  <c r="K131" i="4" l="1"/>
  <c r="K87" i="7" l="1"/>
  <c r="J88" i="7"/>
  <c r="K88" i="7" l="1"/>
  <c r="J89" i="7"/>
  <c r="J90" i="7" l="1"/>
  <c r="K89" i="7"/>
  <c r="J91" i="7" l="1"/>
  <c r="K90" i="7"/>
  <c r="J92" i="7" l="1"/>
  <c r="K91" i="7"/>
  <c r="K67" i="6"/>
  <c r="K66" i="6"/>
  <c r="K65" i="6"/>
  <c r="K92" i="7" l="1"/>
  <c r="J93" i="7"/>
  <c r="K64" i="6"/>
  <c r="K93" i="7" l="1"/>
  <c r="J94" i="7"/>
  <c r="J72" i="6"/>
  <c r="K72" i="6" s="1"/>
  <c r="J74" i="6"/>
  <c r="J79" i="6" s="1"/>
  <c r="K94" i="7" l="1"/>
  <c r="J95" i="7"/>
  <c r="K74" i="6"/>
  <c r="K95" i="7" l="1"/>
  <c r="J96" i="7"/>
  <c r="K96" i="7" l="1"/>
  <c r="J97" i="7"/>
  <c r="J82" i="6"/>
  <c r="K79" i="6"/>
  <c r="K97" i="7" l="1"/>
  <c r="J98" i="7"/>
  <c r="K82" i="6"/>
  <c r="J87" i="6"/>
  <c r="K87" i="6" s="1"/>
  <c r="K98" i="7" l="1"/>
  <c r="J99" i="7"/>
  <c r="J88" i="6"/>
  <c r="K88" i="6" s="1"/>
  <c r="J100" i="7" l="1"/>
  <c r="K99" i="7"/>
  <c r="J90" i="6"/>
  <c r="J89" i="6"/>
  <c r="K89" i="6" s="1"/>
  <c r="J101" i="7" l="1"/>
  <c r="K100" i="7"/>
  <c r="J92" i="6"/>
  <c r="K90" i="6"/>
  <c r="J91" i="6"/>
  <c r="J102" i="7" l="1"/>
  <c r="K102" i="7"/>
  <c r="I118" i="7" s="1"/>
  <c r="K101" i="7"/>
  <c r="J94" i="6"/>
  <c r="K92" i="6"/>
  <c r="J93" i="6"/>
  <c r="K91" i="6"/>
  <c r="K118" i="7" l="1"/>
  <c r="J96" i="6"/>
  <c r="K94" i="6"/>
  <c r="J95" i="6"/>
  <c r="K93" i="6"/>
  <c r="J98" i="6" l="1"/>
  <c r="K96" i="6"/>
  <c r="J97" i="6"/>
  <c r="K95" i="6"/>
  <c r="J100" i="6" l="1"/>
  <c r="K98" i="6"/>
  <c r="J99" i="6"/>
  <c r="K97" i="6"/>
  <c r="J102" i="6" l="1"/>
  <c r="K103" i="6" s="1"/>
  <c r="I119" i="6" s="1"/>
  <c r="K119" i="6" s="1"/>
  <c r="K100" i="6"/>
  <c r="J101" i="6"/>
  <c r="K99" i="6"/>
  <c r="K102" i="6" l="1"/>
  <c r="K101" i="6"/>
  <c r="B2" i="11" l="1"/>
</calcChain>
</file>

<file path=xl/sharedStrings.xml><?xml version="1.0" encoding="utf-8"?>
<sst xmlns="http://schemas.openxmlformats.org/spreadsheetml/2006/main" count="1015" uniqueCount="135">
  <si>
    <t>Работники, непосредственно связанные с оказанием услуги</t>
  </si>
  <si>
    <t>Кол-во ставок</t>
  </si>
  <si>
    <t>Работники, непосредственно не связанные с оказанием услуги</t>
  </si>
  <si>
    <t>Директор</t>
  </si>
  <si>
    <t>Всего</t>
  </si>
  <si>
    <t>Должности по штатному расписанию</t>
  </si>
  <si>
    <t>З/п на одну ставку (ФОТ)</t>
  </si>
  <si>
    <t>Ед.изм. нормы</t>
  </si>
  <si>
    <t>Затраты на коммунальные услуги</t>
  </si>
  <si>
    <t>Наименование коммунальных услуг</t>
  </si>
  <si>
    <t>Теплоэнергия</t>
  </si>
  <si>
    <t>Холодное водоснабжение</t>
  </si>
  <si>
    <t>Водоотведение</t>
  </si>
  <si>
    <t>Гкал</t>
  </si>
  <si>
    <t>м3</t>
  </si>
  <si>
    <t>Затраты на содержание объектов недвижимого имущества</t>
  </si>
  <si>
    <t>Вывоз мусора</t>
  </si>
  <si>
    <t>договор</t>
  </si>
  <si>
    <t>Итого содержание объектов недвиж.имущества</t>
  </si>
  <si>
    <t>Наименование затрат</t>
  </si>
  <si>
    <t>Наименование услуги связи</t>
  </si>
  <si>
    <t>Итого услуги связи</t>
  </si>
  <si>
    <t>Итого работники, не связанные с оказанием услуг</t>
  </si>
  <si>
    <t>Утверждение базового норматива затрат</t>
  </si>
  <si>
    <t>Затраты, непосредственно связанные с оказанием услуги, руб.</t>
  </si>
  <si>
    <t>Затраты на общехозяйственные нужды, руб.</t>
  </si>
  <si>
    <t>ОТ1</t>
  </si>
  <si>
    <t>МЗ и ОЦДИ</t>
  </si>
  <si>
    <t>ИНЗ</t>
  </si>
  <si>
    <t>КУ</t>
  </si>
  <si>
    <t>СНИ</t>
  </si>
  <si>
    <t>СОЦДИ</t>
  </si>
  <si>
    <t>УС</t>
  </si>
  <si>
    <t>ТУ</t>
  </si>
  <si>
    <t>ОТ2</t>
  </si>
  <si>
    <t>ПНЗ</t>
  </si>
  <si>
    <t>Базовый норматив затрат на оказание услуг, руб.</t>
  </si>
  <si>
    <t>Затраты на оплату труда (с начислениями) работников, непосредственно не связанных с оказанием услуги</t>
  </si>
  <si>
    <t>Руководитель кружка</t>
  </si>
  <si>
    <t>Электроэнергия</t>
  </si>
  <si>
    <t>кВт час</t>
  </si>
  <si>
    <t>Заместитель директора (по основной деятельности)</t>
  </si>
  <si>
    <t>Заведующий  отделом по клубам и любительским объединениям</t>
  </si>
  <si>
    <t>Заведующий отделом театрально-зрелищных представлений</t>
  </si>
  <si>
    <t>Заведующий отделом по досугово-массовой работе</t>
  </si>
  <si>
    <t>Культорганизатор</t>
  </si>
  <si>
    <t>Заведующий костюмерной</t>
  </si>
  <si>
    <t>Заведующий художественно-оформительской мастерской</t>
  </si>
  <si>
    <t>Механик по обслуживанию  звуковой техники</t>
  </si>
  <si>
    <t>Художник -модельер театрального костюма</t>
  </si>
  <si>
    <t>Концертмейстер по классу вокала</t>
  </si>
  <si>
    <t>Заведующий художественно-постановочной частью</t>
  </si>
  <si>
    <t>Артист духового оркестра</t>
  </si>
  <si>
    <t>Итого коммунальные услуги</t>
  </si>
  <si>
    <t>Прочие затраты</t>
  </si>
  <si>
    <t>ТО средств тревожной сигнализации</t>
  </si>
  <si>
    <t>ТО установок пожарной сигнализации</t>
  </si>
  <si>
    <t>Утверждаю</t>
  </si>
  <si>
    <t xml:space="preserve">Приказ № ______   от  ________________ </t>
  </si>
  <si>
    <t>_______________________ Н.Н.Гурулев</t>
  </si>
  <si>
    <t>Директор МБУК "ГДК"</t>
  </si>
  <si>
    <t>И.А. Гололобова</t>
  </si>
  <si>
    <t>8(39155) 7-45-95</t>
  </si>
  <si>
    <t xml:space="preserve">                           ИСХОДНЫЕ ДАННЫЕ И РЕЗУЛЬТАТЫ РАСЧЕТОВ МБУК "ГДК" г.НАЗАРОВО</t>
  </si>
  <si>
    <t xml:space="preserve">Тариф (цена), рублей </t>
  </si>
  <si>
    <t xml:space="preserve">Нормативный объем </t>
  </si>
  <si>
    <t>ФОТ за год с учетом количества ставок</t>
  </si>
  <si>
    <t>ФОТ с начислениями на выплаты по оплате труда</t>
  </si>
  <si>
    <t>Количество потребителей</t>
  </si>
  <si>
    <t>Нормативные затраты на 1 потребителя</t>
  </si>
  <si>
    <r>
      <t xml:space="preserve">Учреждение:  </t>
    </r>
    <r>
      <rPr>
        <sz val="11"/>
        <color theme="1"/>
        <rFont val="Times New Roman"/>
        <family val="1"/>
        <charset val="204"/>
      </rPr>
      <t>Муниципальное бюджетное учреждение  культуры «Городской Дворец культуры» г.Назарово Красноярского края</t>
    </r>
  </si>
  <si>
    <r>
      <t>Планируемое число зрителей в год:</t>
    </r>
    <r>
      <rPr>
        <sz val="11"/>
        <color theme="1"/>
        <rFont val="Times New Roman"/>
        <family val="1"/>
        <charset val="204"/>
      </rPr>
      <t xml:space="preserve"> человек</t>
    </r>
  </si>
  <si>
    <t>Итого работники,  связанные с оказанием услуг</t>
  </si>
  <si>
    <t>Сумма в год</t>
  </si>
  <si>
    <t>Затраты на прочие работы, услуги</t>
  </si>
  <si>
    <t>Итого прочие работы, услуги</t>
  </si>
  <si>
    <t>Затраты на услуги связи</t>
  </si>
  <si>
    <t>Интернет</t>
  </si>
  <si>
    <t>Затраты на прочие расходы</t>
  </si>
  <si>
    <t>Итого прочие расходы</t>
  </si>
  <si>
    <t>Заведующий  отделом( отдел по работе с детьми)</t>
  </si>
  <si>
    <t>Художественный руководитель</t>
  </si>
  <si>
    <t>Администратор</t>
  </si>
  <si>
    <t>Аккомпаниатор</t>
  </si>
  <si>
    <t>Художник-декоратор</t>
  </si>
  <si>
    <t>Кассир билетный</t>
  </si>
  <si>
    <t>Контролер билетов</t>
  </si>
  <si>
    <t>Художник по свету</t>
  </si>
  <si>
    <t>Звукооператор</t>
  </si>
  <si>
    <t>Хормейстер</t>
  </si>
  <si>
    <t>Режиссер</t>
  </si>
  <si>
    <t>Балетмейстер</t>
  </si>
  <si>
    <t>Балетмейстер-постановщик</t>
  </si>
  <si>
    <t>Дирижер</t>
  </si>
  <si>
    <t>Руководитель студии</t>
  </si>
  <si>
    <r>
      <t>Учреждение:</t>
    </r>
    <r>
      <rPr>
        <sz val="11"/>
        <color theme="1"/>
        <rFont val="Calibri"/>
        <family val="2"/>
        <charset val="204"/>
        <scheme val="minor"/>
      </rPr>
      <t>Муниципальное бюджетное учреждение  культуры «Городской Дворец культуры» г.Назарово Красноярского края</t>
    </r>
  </si>
  <si>
    <r>
      <t xml:space="preserve">Наименование показателя объема: 56 </t>
    </r>
    <r>
      <rPr>
        <sz val="11"/>
        <color theme="1"/>
        <rFont val="Calibri"/>
        <family val="2"/>
        <charset val="204"/>
        <scheme val="minor"/>
      </rPr>
      <t>клубных формирований</t>
    </r>
  </si>
  <si>
    <r>
      <t>Планируемое клубных формирований в год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</si>
  <si>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постановок в год:</t>
    </r>
    <r>
      <rPr>
        <sz val="11"/>
        <color theme="1"/>
        <rFont val="Times New Roman"/>
        <family val="1"/>
        <charset val="204"/>
      </rPr>
      <t xml:space="preserve"> </t>
    </r>
  </si>
  <si>
    <r>
      <t>Планируемое число концертов год:</t>
    </r>
    <r>
      <rPr>
        <sz val="11"/>
        <color theme="1"/>
        <rFont val="Times New Roman"/>
        <family val="1"/>
        <charset val="204"/>
      </rPr>
      <t xml:space="preserve"> </t>
    </r>
  </si>
  <si>
    <t>ТО узла тепловой энергии</t>
  </si>
  <si>
    <t>СВОД (рубли)</t>
  </si>
  <si>
    <t>СВОД (норматив)</t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</si>
  <si>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Создание спектаклей</t>
    </r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</si>
  <si>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Организация деятельности клубных формирований и формирований самодеятельного народного творчества</t>
    </r>
  </si>
  <si>
    <t>Содержание работы:</t>
  </si>
  <si>
    <t>БАЗОВОГО НОРМАТИВА  ЗАТРАТ НА ОКАЗАНИЕ МУНИЦИПАЛЬНЫХ УСЛУГ  (РАБОТ)</t>
  </si>
  <si>
    <t>"________"____________2019г.</t>
  </si>
  <si>
    <t xml:space="preserve">     НА 2020г.</t>
  </si>
  <si>
    <r>
      <t>Наименование показателя объема: 2800</t>
    </r>
    <r>
      <rPr>
        <sz val="11"/>
        <color theme="1"/>
        <rFont val="Times New Roman"/>
        <family val="1"/>
        <charset val="204"/>
      </rPr>
      <t xml:space="preserve"> человек.</t>
    </r>
  </si>
  <si>
    <r>
      <t xml:space="preserve">Штатное расписание: 54,5 </t>
    </r>
    <r>
      <rPr>
        <sz val="11"/>
        <color theme="1"/>
        <rFont val="Times New Roman"/>
        <family val="1"/>
        <charset val="204"/>
      </rPr>
      <t>человек</t>
    </r>
  </si>
  <si>
    <t>Штатное расписание: 54,5 человек</t>
  </si>
  <si>
    <r>
      <t xml:space="preserve">Наименование показателя объема: 48 </t>
    </r>
    <r>
      <rPr>
        <sz val="11"/>
        <color theme="1"/>
        <rFont val="Calibri"/>
        <family val="2"/>
        <charset val="204"/>
        <scheme val="minor"/>
      </rPr>
      <t xml:space="preserve">постановок </t>
    </r>
  </si>
  <si>
    <t>Техническое обслуживание установки пожаротушения</t>
  </si>
  <si>
    <t xml:space="preserve">Ремонт кровли на левом крыле </t>
  </si>
  <si>
    <t>Реагирование на срабатывание средств тревожной сигнализации</t>
  </si>
  <si>
    <t>Обучение сотрудников</t>
  </si>
  <si>
    <t>Информационное обеспечение мероприятий</t>
  </si>
  <si>
    <t>Абонентская связь (основная)</t>
  </si>
  <si>
    <t>Абонентская связь (дополн.)</t>
  </si>
  <si>
    <t>Услуги междугородней связи</t>
  </si>
  <si>
    <t>руб.</t>
  </si>
  <si>
    <t>Мероприятия</t>
  </si>
  <si>
    <t>Тент на крышу, задник, боковины для летней концертной площадки</t>
  </si>
  <si>
    <t>Материальные запасы однократного применения</t>
  </si>
  <si>
    <t>Призовая продукция</t>
  </si>
  <si>
    <t>Итого материальные запасы</t>
  </si>
  <si>
    <t>Лонская Клавдия Алексеевна</t>
  </si>
  <si>
    <r>
      <t>Работа:</t>
    </r>
    <r>
      <rPr>
        <sz val="11"/>
        <color theme="1"/>
        <rFont val="Calibri"/>
        <family val="2"/>
        <charset val="204"/>
        <scheme val="minor"/>
      </rPr>
      <t xml:space="preserve">  Организация и проведение культурно-массовых мероприятий</t>
    </r>
  </si>
  <si>
    <r>
      <rPr>
        <b/>
        <sz val="11"/>
        <color theme="1"/>
        <rFont val="Times New Roman"/>
        <family val="1"/>
        <charset val="204"/>
      </rPr>
      <t>Услуга</t>
    </r>
    <r>
      <rPr>
        <sz val="11"/>
        <color theme="1"/>
        <rFont val="Times New Roman"/>
        <family val="1"/>
        <charset val="204"/>
      </rPr>
      <t>:  Показ (организация показа) спектаклей (театральных постановок)</t>
    </r>
  </si>
  <si>
    <t>Услуга: Организация и проведение мероприятий</t>
  </si>
  <si>
    <r>
      <t xml:space="preserve">Наименование показателя: </t>
    </r>
    <r>
      <rPr>
        <sz val="11"/>
        <color theme="1"/>
        <rFont val="Times New Roman"/>
        <family val="1"/>
        <charset val="204"/>
      </rPr>
      <t>Стационар</t>
    </r>
  </si>
  <si>
    <r>
      <t>Наименование показателя объема: 3010</t>
    </r>
    <r>
      <rPr>
        <sz val="11"/>
        <color theme="1"/>
        <rFont val="Calibri"/>
        <family val="2"/>
        <charset val="204"/>
        <scheme val="minor"/>
      </rPr>
      <t xml:space="preserve"> человек.</t>
    </r>
  </si>
  <si>
    <r>
      <rPr>
        <b/>
        <sz val="11"/>
        <color theme="1"/>
        <rFont val="Calibri"/>
        <family val="2"/>
        <charset val="204"/>
        <scheme val="minor"/>
      </rPr>
      <t>Наименование показателя объема: 310</t>
    </r>
    <r>
      <rPr>
        <sz val="11"/>
        <color theme="1"/>
        <rFont val="Calibri"/>
        <family val="2"/>
        <charset val="204"/>
        <scheme val="minor"/>
      </rPr>
      <t xml:space="preserve"> концертов</t>
    </r>
  </si>
  <si>
    <r>
      <t xml:space="preserve">Наименование показателя: </t>
    </r>
    <r>
      <rPr>
        <sz val="11"/>
        <color theme="1"/>
        <rFont val="Calibri"/>
        <family val="2"/>
        <charset val="204"/>
        <scheme val="minor"/>
      </rPr>
      <t>Стационар, на выезде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</si>
</sst>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" fontId="7" fillId="0" borderId="0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3" fillId="0" borderId="2" xfId="0" applyNumberFormat="1" applyFont="1" applyBorder="1" applyAlignment="1">
      <alignment horizontal="right"/>
    </xf>
    <xf numFmtId="4" fontId="3" fillId="0" borderId="1" xfId="0" applyNumberFormat="1" applyFont="1" applyBorder="1" applyAlignment="1"/>
    <xf numFmtId="4" fontId="3" fillId="0" borderId="0" xfId="0" applyNumberFormat="1" applyFont="1" applyBorder="1" applyAlignment="1"/>
    <xf numFmtId="4" fontId="2" fillId="0" borderId="1" xfId="0" applyNumberFormat="1" applyFont="1" applyBorder="1"/>
    <xf numFmtId="4" fontId="2" fillId="0" borderId="0" xfId="0" applyNumberFormat="1" applyFont="1"/>
    <xf numFmtId="4" fontId="0" fillId="0" borderId="0" xfId="0" applyNumberFormat="1"/>
    <xf numFmtId="4" fontId="3" fillId="2" borderId="0" xfId="0" applyNumberFormat="1" applyFont="1" applyFill="1" applyAlignment="1"/>
    <xf numFmtId="4" fontId="3" fillId="3" borderId="1" xfId="0" applyNumberFormat="1" applyFont="1" applyFill="1" applyBorder="1" applyAlignment="1"/>
    <xf numFmtId="4" fontId="3" fillId="2" borderId="0" xfId="0" applyNumberFormat="1" applyFont="1" applyFill="1" applyBorder="1" applyAlignment="1"/>
    <xf numFmtId="0" fontId="1" fillId="0" borderId="1" xfId="0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3" fillId="0" borderId="5" xfId="0" applyNumberFormat="1" applyFont="1" applyBorder="1" applyAlignment="1"/>
    <xf numFmtId="4" fontId="6" fillId="0" borderId="0" xfId="0" applyNumberFormat="1" applyFont="1"/>
    <xf numFmtId="4" fontId="6" fillId="0" borderId="0" xfId="0" applyNumberFormat="1" applyFont="1" applyAlignment="1">
      <alignment horizontal="left"/>
    </xf>
    <xf numFmtId="4" fontId="4" fillId="0" borderId="0" xfId="0" applyNumberFormat="1" applyFont="1" applyAlignment="1">
      <alignment horizontal="center"/>
    </xf>
    <xf numFmtId="4" fontId="6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 applyFont="1"/>
    <xf numFmtId="4" fontId="3" fillId="0" borderId="0" xfId="0" applyNumberFormat="1" applyFont="1"/>
    <xf numFmtId="4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>
      <alignment horizontal="right" wrapText="1"/>
    </xf>
    <xf numFmtId="4" fontId="2" fillId="0" borderId="2" xfId="0" applyNumberFormat="1" applyFont="1" applyFill="1" applyBorder="1" applyAlignment="1">
      <alignment horizontal="center" wrapText="1"/>
    </xf>
    <xf numFmtId="4" fontId="2" fillId="0" borderId="6" xfId="0" applyNumberFormat="1" applyFont="1" applyBorder="1" applyAlignment="1">
      <alignment wrapText="1"/>
    </xf>
    <xf numFmtId="4" fontId="2" fillId="0" borderId="2" xfId="0" applyNumberFormat="1" applyFont="1" applyBorder="1" applyAlignment="1">
      <alignment wrapText="1"/>
    </xf>
    <xf numFmtId="4" fontId="2" fillId="0" borderId="6" xfId="0" applyNumberFormat="1" applyFont="1" applyBorder="1"/>
    <xf numFmtId="4" fontId="2" fillId="0" borderId="3" xfId="0" applyNumberFormat="1" applyFont="1" applyBorder="1"/>
    <xf numFmtId="4" fontId="2" fillId="0" borderId="2" xfId="0" applyNumberFormat="1" applyFont="1" applyBorder="1"/>
    <xf numFmtId="4" fontId="2" fillId="0" borderId="0" xfId="0" applyNumberFormat="1" applyFont="1" applyBorder="1" applyAlignment="1">
      <alignment wrapText="1"/>
    </xf>
    <xf numFmtId="4" fontId="2" fillId="0" borderId="0" xfId="0" applyNumberFormat="1" applyFont="1" applyBorder="1"/>
    <xf numFmtId="4" fontId="3" fillId="0" borderId="0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center" wrapText="1"/>
    </xf>
    <xf numFmtId="4" fontId="2" fillId="0" borderId="1" xfId="0" applyNumberFormat="1" applyFont="1" applyFill="1" applyBorder="1" applyAlignment="1">
      <alignment wrapText="1"/>
    </xf>
    <xf numFmtId="4" fontId="8" fillId="0" borderId="1" xfId="0" applyNumberFormat="1" applyFont="1" applyBorder="1"/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4" xfId="0" applyNumberFormat="1" applyFont="1" applyBorder="1" applyAlignment="1">
      <alignment horizontal="right"/>
    </xf>
    <xf numFmtId="4" fontId="3" fillId="0" borderId="0" xfId="0" applyNumberFormat="1" applyFont="1" applyAlignment="1">
      <alignment horizontal="center"/>
    </xf>
    <xf numFmtId="4" fontId="2" fillId="0" borderId="1" xfId="0" applyNumberFormat="1" applyFont="1" applyBorder="1" applyAlignment="1">
      <alignment horizontal="right" wrapText="1"/>
    </xf>
    <xf numFmtId="4" fontId="3" fillId="0" borderId="5" xfId="0" applyNumberFormat="1" applyFont="1" applyBorder="1" applyAlignment="1">
      <alignment horizontal="left"/>
    </xf>
    <xf numFmtId="4" fontId="5" fillId="0" borderId="0" xfId="0" applyNumberFormat="1" applyFont="1"/>
    <xf numFmtId="4" fontId="8" fillId="0" borderId="0" xfId="0" applyNumberFormat="1" applyFont="1"/>
    <xf numFmtId="4" fontId="8" fillId="0" borderId="0" xfId="0" applyNumberFormat="1" applyFont="1" applyAlignment="1">
      <alignment horizontal="left"/>
    </xf>
    <xf numFmtId="4" fontId="7" fillId="0" borderId="0" xfId="0" applyNumberFormat="1" applyFont="1" applyAlignment="1">
      <alignment horizontal="center"/>
    </xf>
    <xf numFmtId="4" fontId="1" fillId="0" borderId="0" xfId="0" applyNumberFormat="1" applyFont="1"/>
    <xf numFmtId="4" fontId="3" fillId="0" borderId="1" xfId="0" applyNumberFormat="1" applyFont="1" applyBorder="1" applyAlignment="1">
      <alignment horizontal="left"/>
    </xf>
    <xf numFmtId="4" fontId="3" fillId="0" borderId="1" xfId="0" applyNumberFormat="1" applyFont="1" applyBorder="1"/>
    <xf numFmtId="4" fontId="3" fillId="0" borderId="2" xfId="0" applyNumberFormat="1" applyFont="1" applyBorder="1"/>
    <xf numFmtId="4" fontId="2" fillId="0" borderId="1" xfId="0" applyNumberFormat="1" applyFont="1" applyBorder="1" applyAlignment="1">
      <alignment horizontal="center" wrapText="1"/>
    </xf>
    <xf numFmtId="4" fontId="2" fillId="0" borderId="0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left" wrapText="1"/>
    </xf>
    <xf numFmtId="4" fontId="3" fillId="0" borderId="2" xfId="0" applyNumberFormat="1" applyFont="1" applyBorder="1" applyAlignment="1">
      <alignment horizontal="left"/>
    </xf>
    <xf numFmtId="4" fontId="3" fillId="0" borderId="3" xfId="0" applyNumberFormat="1" applyFont="1" applyBorder="1" applyAlignment="1">
      <alignment horizontal="left"/>
    </xf>
    <xf numFmtId="4" fontId="3" fillId="0" borderId="5" xfId="0" applyNumberFormat="1" applyFont="1" applyBorder="1" applyAlignment="1">
      <alignment horizontal="center"/>
    </xf>
    <xf numFmtId="4" fontId="3" fillId="0" borderId="0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left"/>
    </xf>
    <xf numFmtId="4" fontId="3" fillId="0" borderId="0" xfId="0" applyNumberFormat="1" applyFont="1" applyAlignment="1">
      <alignment horizontal="center"/>
    </xf>
    <xf numFmtId="4" fontId="2" fillId="0" borderId="2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/>
    </xf>
    <xf numFmtId="4" fontId="2" fillId="0" borderId="4" xfId="0" applyNumberFormat="1" applyFont="1" applyBorder="1" applyAlignment="1">
      <alignment horizontal="center"/>
    </xf>
    <xf numFmtId="4" fontId="2" fillId="0" borderId="2" xfId="0" applyNumberFormat="1" applyFont="1" applyBorder="1" applyAlignment="1">
      <alignment horizontal="left"/>
    </xf>
    <xf numFmtId="4" fontId="0" fillId="0" borderId="3" xfId="0" applyNumberFormat="1" applyBorder="1" applyAlignment="1">
      <alignment horizontal="left"/>
    </xf>
    <xf numFmtId="4" fontId="0" fillId="0" borderId="4" xfId="0" applyNumberFormat="1" applyBorder="1" applyAlignment="1">
      <alignment horizontal="left"/>
    </xf>
    <xf numFmtId="4" fontId="2" fillId="0" borderId="3" xfId="0" applyNumberFormat="1" applyFont="1" applyBorder="1" applyAlignment="1">
      <alignment horizontal="left"/>
    </xf>
    <xf numFmtId="4" fontId="2" fillId="0" borderId="4" xfId="0" applyNumberFormat="1" applyFont="1" applyBorder="1" applyAlignment="1">
      <alignment horizontal="left"/>
    </xf>
    <xf numFmtId="4" fontId="2" fillId="0" borderId="1" xfId="0" applyNumberFormat="1" applyFont="1" applyBorder="1" applyAlignment="1">
      <alignment horizontal="left"/>
    </xf>
    <xf numFmtId="4" fontId="2" fillId="0" borderId="2" xfId="0" applyNumberFormat="1" applyFont="1" applyBorder="1" applyAlignment="1">
      <alignment horizontal="left" wrapText="1"/>
    </xf>
    <xf numFmtId="4" fontId="2" fillId="0" borderId="3" xfId="0" applyNumberFormat="1" applyFont="1" applyBorder="1" applyAlignment="1">
      <alignment horizontal="left" wrapText="1"/>
    </xf>
    <xf numFmtId="4" fontId="2" fillId="0" borderId="4" xfId="0" applyNumberFormat="1" applyFont="1" applyBorder="1" applyAlignment="1">
      <alignment horizontal="left" wrapText="1"/>
    </xf>
    <xf numFmtId="4" fontId="6" fillId="0" borderId="0" xfId="0" applyNumberFormat="1" applyFont="1" applyAlignment="1">
      <alignment horizontal="left" wrapText="1"/>
    </xf>
    <xf numFmtId="4" fontId="2" fillId="0" borderId="0" xfId="0" applyNumberFormat="1" applyFont="1" applyAlignment="1">
      <alignment wrapText="1"/>
    </xf>
    <xf numFmtId="4" fontId="6" fillId="0" borderId="0" xfId="0" applyNumberFormat="1" applyFont="1" applyAlignment="1">
      <alignment wrapText="1"/>
    </xf>
    <xf numFmtId="4" fontId="2" fillId="0" borderId="2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7" fillId="0" borderId="0" xfId="0" applyNumberFormat="1" applyFont="1" applyAlignment="1">
      <alignment horizontal="center"/>
    </xf>
    <xf numFmtId="4" fontId="2" fillId="0" borderId="7" xfId="0" applyNumberFormat="1" applyFont="1" applyBorder="1" applyAlignment="1">
      <alignment horizontal="center" wrapText="1"/>
    </xf>
    <xf numFmtId="4" fontId="2" fillId="0" borderId="8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center" wrapText="1"/>
    </xf>
    <xf numFmtId="4" fontId="2" fillId="0" borderId="10" xfId="0" applyNumberFormat="1" applyFont="1" applyBorder="1" applyAlignment="1">
      <alignment horizontal="center" wrapText="1"/>
    </xf>
    <xf numFmtId="4" fontId="8" fillId="0" borderId="0" xfId="0" applyNumberFormat="1" applyFont="1" applyAlignment="1">
      <alignment horizontal="left" wrapText="1"/>
    </xf>
    <xf numFmtId="4" fontId="0" fillId="0" borderId="0" xfId="0" applyNumberFormat="1" applyFont="1" applyAlignment="1">
      <alignment wrapText="1"/>
    </xf>
    <xf numFmtId="4" fontId="8" fillId="0" borderId="0" xfId="0" applyNumberFormat="1" applyFont="1" applyAlignment="1">
      <alignment wrapText="1"/>
    </xf>
    <xf numFmtId="4" fontId="3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A2" sqref="A2"/>
    </sheetView>
  </sheetViews>
  <sheetFormatPr defaultRowHeight="15" x14ac:dyDescent="0.25"/>
  <cols>
    <col min="1" max="2" width="17.5703125" customWidth="1"/>
  </cols>
  <sheetData>
    <row r="1" spans="1:2" ht="42" customHeight="1" x14ac:dyDescent="0.25">
      <c r="A1" s="13" t="s">
        <v>101</v>
      </c>
      <c r="B1" s="13" t="s">
        <v>102</v>
      </c>
    </row>
    <row r="2" spans="1:2" ht="42" customHeight="1" x14ac:dyDescent="0.25">
      <c r="A2" s="14">
        <f>'Услуга №1'!I122+'Услуга №2 '!I133+'Работа №1'!I122+'Работа №2'!I132+'Работа №3'!I135</f>
        <v>18438284.772681601</v>
      </c>
      <c r="B2" s="14">
        <f>'Услуга №1'!K122+'Услуга №2 '!K133+'Работа №1'!K122+'Работа №2'!K132+'Работа №3'!K135</f>
        <v>18438284.772681598</v>
      </c>
    </row>
    <row r="5" spans="1:2" x14ac:dyDescent="0.25">
      <c r="A5" s="9"/>
    </row>
    <row r="7" spans="1:2" x14ac:dyDescent="0.25">
      <c r="A7" s="9"/>
    </row>
    <row r="9" spans="1:2" x14ac:dyDescent="0.25">
      <c r="A9" s="9"/>
    </row>
    <row r="11" spans="1:2" x14ac:dyDescent="0.25">
      <c r="A11" s="9"/>
    </row>
    <row r="13" spans="1:2" x14ac:dyDescent="0.25">
      <c r="A13" s="9"/>
    </row>
  </sheetData>
  <pageMargins left="0.19685039370078741" right="0.11811023622047245" top="0.15748031496062992" bottom="0.15748031496062992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7"/>
  <sheetViews>
    <sheetView zoomScale="90" zoomScaleNormal="90" workbookViewId="0">
      <selection activeCell="I126" sqref="I126"/>
    </sheetView>
  </sheetViews>
  <sheetFormatPr defaultRowHeight="15" x14ac:dyDescent="0.25"/>
  <cols>
    <col min="1" max="3" width="9.140625" style="8" customWidth="1"/>
    <col min="4" max="4" width="8.140625" style="8" customWidth="1"/>
    <col min="5" max="5" width="16.42578125" style="8" customWidth="1"/>
    <col min="6" max="6" width="13.42578125" style="8" customWidth="1"/>
    <col min="7" max="7" width="13.7109375" style="8" customWidth="1"/>
    <col min="8" max="8" width="17.42578125" style="8" customWidth="1"/>
    <col min="9" max="9" width="13.7109375" style="8" customWidth="1"/>
    <col min="10" max="11" width="13.28515625" style="8" customWidth="1"/>
    <col min="12" max="12" width="8.5703125" style="8" customWidth="1"/>
    <col min="13" max="13" width="13.5703125" style="8" hidden="1" customWidth="1"/>
    <col min="14" max="16384" width="9.140625" style="8"/>
  </cols>
  <sheetData>
    <row r="1" spans="1:12" ht="15.75" x14ac:dyDescent="0.25">
      <c r="A1" s="16" t="s">
        <v>57</v>
      </c>
      <c r="B1" s="16"/>
      <c r="C1" s="16"/>
      <c r="D1" s="1"/>
    </row>
    <row r="2" spans="1:12" ht="15.75" x14ac:dyDescent="0.25">
      <c r="A2" s="17" t="s">
        <v>58</v>
      </c>
      <c r="B2" s="17"/>
      <c r="C2" s="17"/>
      <c r="D2" s="1"/>
    </row>
    <row r="3" spans="1:12" ht="15.75" x14ac:dyDescent="0.25">
      <c r="A3" s="18"/>
      <c r="B3" s="18"/>
      <c r="C3" s="18"/>
      <c r="D3" s="1"/>
    </row>
    <row r="4" spans="1:12" ht="15.75" x14ac:dyDescent="0.25">
      <c r="A4" s="74" t="s">
        <v>59</v>
      </c>
      <c r="B4" s="74"/>
      <c r="C4" s="74"/>
      <c r="D4" s="75"/>
      <c r="E4" s="75"/>
      <c r="F4" s="75"/>
    </row>
    <row r="5" spans="1:12" ht="15.75" x14ac:dyDescent="0.25">
      <c r="A5" s="76" t="s">
        <v>107</v>
      </c>
      <c r="B5" s="76"/>
      <c r="C5" s="76"/>
      <c r="D5" s="75"/>
    </row>
    <row r="6" spans="1:12" ht="15.75" x14ac:dyDescent="0.25">
      <c r="A6" s="19"/>
      <c r="B6" s="19"/>
      <c r="C6" s="19"/>
      <c r="D6" s="20"/>
    </row>
    <row r="7" spans="1:12" s="21" customFormat="1" x14ac:dyDescent="0.25">
      <c r="A7" s="81" t="s">
        <v>63</v>
      </c>
      <c r="B7" s="81"/>
      <c r="C7" s="81"/>
      <c r="D7" s="81"/>
      <c r="E7" s="81"/>
      <c r="F7" s="81"/>
      <c r="G7" s="81"/>
      <c r="H7" s="81"/>
      <c r="I7" s="81"/>
      <c r="J7" s="81"/>
      <c r="K7" s="81"/>
      <c r="L7" s="81"/>
    </row>
    <row r="8" spans="1:12" s="21" customFormat="1" x14ac:dyDescent="0.25">
      <c r="A8" s="81" t="s">
        <v>106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21" customFormat="1" ht="13.5" customHeight="1" x14ac:dyDescent="0.25">
      <c r="A9" s="81" t="s">
        <v>108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ht="10.5" customHeight="1" x14ac:dyDescent="0.25"/>
    <row r="11" spans="1:12" x14ac:dyDescent="0.25">
      <c r="A11" s="22" t="s">
        <v>70</v>
      </c>
    </row>
    <row r="12" spans="1:12" x14ac:dyDescent="0.25">
      <c r="A12" s="8" t="s">
        <v>129</v>
      </c>
    </row>
    <row r="13" spans="1:12" x14ac:dyDescent="0.25">
      <c r="A13" s="22" t="s">
        <v>131</v>
      </c>
    </row>
    <row r="14" spans="1:12" x14ac:dyDescent="0.25">
      <c r="A14" s="22" t="s">
        <v>109</v>
      </c>
    </row>
    <row r="15" spans="1:12" x14ac:dyDescent="0.25">
      <c r="A15" s="22" t="s">
        <v>110</v>
      </c>
    </row>
    <row r="16" spans="1:12" ht="33" customHeight="1" x14ac:dyDescent="0.25">
      <c r="A16" s="80" t="s">
        <v>0</v>
      </c>
      <c r="B16" s="80"/>
      <c r="C16" s="80"/>
      <c r="D16" s="80"/>
      <c r="E16" s="80"/>
      <c r="F16" s="23" t="s">
        <v>1</v>
      </c>
      <c r="G16" s="80" t="s">
        <v>2</v>
      </c>
      <c r="H16" s="80"/>
      <c r="I16" s="80"/>
      <c r="J16" s="80"/>
      <c r="K16" s="80"/>
      <c r="L16" s="23" t="s">
        <v>1</v>
      </c>
    </row>
    <row r="17" spans="1:12" ht="15" customHeight="1" x14ac:dyDescent="0.25">
      <c r="A17" s="55" t="s">
        <v>41</v>
      </c>
      <c r="B17" s="55"/>
      <c r="C17" s="55"/>
      <c r="D17" s="55"/>
      <c r="E17" s="55"/>
      <c r="F17" s="7">
        <v>0.45</v>
      </c>
      <c r="G17" s="55" t="s">
        <v>3</v>
      </c>
      <c r="H17" s="55"/>
      <c r="I17" s="55"/>
      <c r="J17" s="55"/>
      <c r="K17" s="55"/>
      <c r="L17" s="7">
        <v>0.45</v>
      </c>
    </row>
    <row r="18" spans="1:12" ht="15" customHeight="1" x14ac:dyDescent="0.25">
      <c r="A18" s="55" t="s">
        <v>43</v>
      </c>
      <c r="B18" s="55"/>
      <c r="C18" s="55"/>
      <c r="D18" s="55"/>
      <c r="E18" s="55"/>
      <c r="F18" s="7">
        <v>0.45</v>
      </c>
      <c r="G18" s="55" t="s">
        <v>81</v>
      </c>
      <c r="H18" s="55"/>
      <c r="I18" s="55"/>
      <c r="J18" s="55"/>
      <c r="K18" s="55"/>
      <c r="L18" s="7">
        <v>0.45</v>
      </c>
    </row>
    <row r="19" spans="1:12" ht="15" customHeight="1" x14ac:dyDescent="0.25">
      <c r="A19" s="55" t="s">
        <v>82</v>
      </c>
      <c r="B19" s="55"/>
      <c r="C19" s="55"/>
      <c r="D19" s="55"/>
      <c r="E19" s="55"/>
      <c r="F19" s="7">
        <v>0.45</v>
      </c>
      <c r="G19" s="55" t="s">
        <v>42</v>
      </c>
      <c r="H19" s="55"/>
      <c r="I19" s="55"/>
      <c r="J19" s="55"/>
      <c r="K19" s="55"/>
      <c r="L19" s="7">
        <v>0.45</v>
      </c>
    </row>
    <row r="20" spans="1:12" ht="15" customHeight="1" x14ac:dyDescent="0.25">
      <c r="A20" s="55" t="s">
        <v>46</v>
      </c>
      <c r="B20" s="55"/>
      <c r="C20" s="55"/>
      <c r="D20" s="55"/>
      <c r="E20" s="55"/>
      <c r="F20" s="7">
        <v>0.45</v>
      </c>
      <c r="G20" s="55" t="s">
        <v>44</v>
      </c>
      <c r="H20" s="55"/>
      <c r="I20" s="55"/>
      <c r="J20" s="55"/>
      <c r="K20" s="55"/>
      <c r="L20" s="7">
        <v>0.45</v>
      </c>
    </row>
    <row r="21" spans="1:12" ht="15" customHeight="1" x14ac:dyDescent="0.25">
      <c r="A21" s="55" t="s">
        <v>47</v>
      </c>
      <c r="B21" s="55"/>
      <c r="C21" s="55"/>
      <c r="D21" s="55"/>
      <c r="E21" s="55"/>
      <c r="F21" s="7">
        <v>0.45</v>
      </c>
      <c r="G21" s="55" t="s">
        <v>80</v>
      </c>
      <c r="H21" s="55"/>
      <c r="I21" s="55"/>
      <c r="J21" s="55"/>
      <c r="K21" s="55"/>
      <c r="L21" s="7">
        <v>0.45</v>
      </c>
    </row>
    <row r="22" spans="1:12" ht="15" customHeight="1" x14ac:dyDescent="0.25">
      <c r="A22" s="55" t="s">
        <v>84</v>
      </c>
      <c r="B22" s="55"/>
      <c r="C22" s="55"/>
      <c r="D22" s="55"/>
      <c r="E22" s="55"/>
      <c r="F22" s="7">
        <v>0.45</v>
      </c>
      <c r="G22" s="55" t="s">
        <v>38</v>
      </c>
      <c r="H22" s="55"/>
      <c r="I22" s="55"/>
      <c r="J22" s="55"/>
      <c r="K22" s="55"/>
      <c r="L22" s="7">
        <v>2.25</v>
      </c>
    </row>
    <row r="23" spans="1:12" ht="15" customHeight="1" x14ac:dyDescent="0.25">
      <c r="A23" s="55" t="s">
        <v>85</v>
      </c>
      <c r="B23" s="55"/>
      <c r="C23" s="55"/>
      <c r="D23" s="55"/>
      <c r="E23" s="55"/>
      <c r="F23" s="7">
        <v>0.45</v>
      </c>
      <c r="G23" s="55" t="s">
        <v>83</v>
      </c>
      <c r="H23" s="55"/>
      <c r="I23" s="55"/>
      <c r="J23" s="55"/>
      <c r="K23" s="55"/>
      <c r="L23" s="7">
        <v>0.45</v>
      </c>
    </row>
    <row r="24" spans="1:12" ht="15" customHeight="1" x14ac:dyDescent="0.25">
      <c r="A24" s="55" t="s">
        <v>86</v>
      </c>
      <c r="B24" s="55"/>
      <c r="C24" s="55"/>
      <c r="D24" s="55"/>
      <c r="E24" s="55"/>
      <c r="F24" s="7">
        <v>0.45</v>
      </c>
      <c r="G24" s="55" t="s">
        <v>45</v>
      </c>
      <c r="H24" s="55"/>
      <c r="I24" s="55"/>
      <c r="J24" s="55"/>
      <c r="K24" s="55"/>
      <c r="L24" s="7">
        <v>0.45</v>
      </c>
    </row>
    <row r="25" spans="1:12" ht="15" customHeight="1" x14ac:dyDescent="0.25">
      <c r="A25" s="55" t="s">
        <v>87</v>
      </c>
      <c r="B25" s="55"/>
      <c r="C25" s="55"/>
      <c r="D25" s="55"/>
      <c r="E25" s="55"/>
      <c r="F25" s="7">
        <v>0.45</v>
      </c>
      <c r="G25" s="55" t="s">
        <v>48</v>
      </c>
      <c r="H25" s="55"/>
      <c r="I25" s="55"/>
      <c r="J25" s="55"/>
      <c r="K25" s="55"/>
      <c r="L25" s="7">
        <v>0.23</v>
      </c>
    </row>
    <row r="26" spans="1:12" ht="15" customHeight="1" x14ac:dyDescent="0.25">
      <c r="A26" s="55" t="s">
        <v>88</v>
      </c>
      <c r="B26" s="55"/>
      <c r="C26" s="55"/>
      <c r="D26" s="55"/>
      <c r="E26" s="55"/>
      <c r="F26" s="7">
        <v>0.62</v>
      </c>
      <c r="G26" s="55" t="s">
        <v>89</v>
      </c>
      <c r="H26" s="55"/>
      <c r="I26" s="55"/>
      <c r="J26" s="55"/>
      <c r="K26" s="55"/>
      <c r="L26" s="7">
        <v>3.15</v>
      </c>
    </row>
    <row r="27" spans="1:12" ht="15" customHeight="1" x14ac:dyDescent="0.25">
      <c r="A27" s="55" t="s">
        <v>90</v>
      </c>
      <c r="B27" s="55"/>
      <c r="C27" s="55"/>
      <c r="D27" s="55"/>
      <c r="E27" s="55"/>
      <c r="F27" s="7">
        <v>0.45</v>
      </c>
      <c r="G27" s="55" t="s">
        <v>50</v>
      </c>
      <c r="H27" s="55"/>
      <c r="I27" s="55"/>
      <c r="J27" s="55"/>
      <c r="K27" s="55"/>
      <c r="L27" s="7">
        <v>3.6</v>
      </c>
    </row>
    <row r="28" spans="1:12" ht="15" customHeight="1" x14ac:dyDescent="0.25">
      <c r="A28" s="55" t="s">
        <v>51</v>
      </c>
      <c r="B28" s="55"/>
      <c r="C28" s="55"/>
      <c r="D28" s="55"/>
      <c r="E28" s="55"/>
      <c r="F28" s="7">
        <v>0.45</v>
      </c>
      <c r="G28" s="55" t="s">
        <v>91</v>
      </c>
      <c r="H28" s="55"/>
      <c r="I28" s="55"/>
      <c r="J28" s="55"/>
      <c r="K28" s="55"/>
      <c r="L28" s="7">
        <v>0.45</v>
      </c>
    </row>
    <row r="29" spans="1:12" ht="15" customHeight="1" x14ac:dyDescent="0.25">
      <c r="A29" s="55" t="s">
        <v>49</v>
      </c>
      <c r="B29" s="55"/>
      <c r="C29" s="55"/>
      <c r="D29" s="55"/>
      <c r="E29" s="55"/>
      <c r="F29" s="7">
        <v>0.45</v>
      </c>
      <c r="G29" s="55" t="s">
        <v>92</v>
      </c>
      <c r="H29" s="55"/>
      <c r="I29" s="55"/>
      <c r="J29" s="55"/>
      <c r="K29" s="55"/>
      <c r="L29" s="7">
        <v>0.45</v>
      </c>
    </row>
    <row r="30" spans="1:12" ht="15" customHeight="1" x14ac:dyDescent="0.25">
      <c r="A30" s="55"/>
      <c r="B30" s="55"/>
      <c r="C30" s="55"/>
      <c r="D30" s="55"/>
      <c r="E30" s="55"/>
      <c r="F30" s="7"/>
      <c r="G30" s="55" t="s">
        <v>93</v>
      </c>
      <c r="H30" s="55"/>
      <c r="I30" s="55"/>
      <c r="J30" s="55"/>
      <c r="K30" s="55"/>
      <c r="L30" s="7">
        <v>0.45</v>
      </c>
    </row>
    <row r="31" spans="1:12" ht="15" customHeight="1" x14ac:dyDescent="0.25">
      <c r="A31" s="55"/>
      <c r="B31" s="55"/>
      <c r="C31" s="55"/>
      <c r="D31" s="55"/>
      <c r="E31" s="55"/>
      <c r="F31" s="7"/>
      <c r="G31" s="55" t="s">
        <v>52</v>
      </c>
      <c r="H31" s="55"/>
      <c r="I31" s="55"/>
      <c r="J31" s="55"/>
      <c r="K31" s="55"/>
      <c r="L31" s="7">
        <v>4.28</v>
      </c>
    </row>
    <row r="32" spans="1:12" x14ac:dyDescent="0.25">
      <c r="A32" s="55"/>
      <c r="B32" s="55"/>
      <c r="C32" s="55"/>
      <c r="D32" s="55"/>
      <c r="E32" s="55"/>
      <c r="F32" s="7"/>
      <c r="G32" s="55" t="s">
        <v>94</v>
      </c>
      <c r="H32" s="55"/>
      <c r="I32" s="55"/>
      <c r="J32" s="55"/>
      <c r="K32" s="55"/>
      <c r="L32" s="7">
        <v>0.45</v>
      </c>
    </row>
    <row r="33" spans="1:13" x14ac:dyDescent="0.25">
      <c r="A33" s="79" t="s">
        <v>4</v>
      </c>
      <c r="B33" s="79"/>
      <c r="C33" s="79"/>
      <c r="D33" s="79"/>
      <c r="E33" s="79"/>
      <c r="F33" s="7">
        <f>SUM(F17:F32)</f>
        <v>6.0200000000000014</v>
      </c>
      <c r="G33" s="79" t="s">
        <v>4</v>
      </c>
      <c r="H33" s="79"/>
      <c r="I33" s="79"/>
      <c r="J33" s="79"/>
      <c r="K33" s="79"/>
      <c r="L33" s="7">
        <f>SUM(L17:L32)</f>
        <v>18.459999999999997</v>
      </c>
      <c r="M33" s="8">
        <f>F33+L33+'Услуга №2 '!F44+'Услуга №2 '!L44+'Работа №1'!F32+'Работа №1'!L32+'Работа №2'!F43+'Работа №2'!L43+'Работа №3'!F46+'Работа №3'!L46</f>
        <v>54.499999999999993</v>
      </c>
    </row>
    <row r="35" spans="1:13" x14ac:dyDescent="0.25">
      <c r="A35" s="22" t="s">
        <v>71</v>
      </c>
      <c r="F35" s="8">
        <v>2800</v>
      </c>
    </row>
    <row r="36" spans="1:13" ht="75" x14ac:dyDescent="0.25">
      <c r="A36" s="62" t="s">
        <v>5</v>
      </c>
      <c r="B36" s="63"/>
      <c r="C36" s="63"/>
      <c r="D36" s="63"/>
      <c r="E36" s="64"/>
      <c r="F36" s="23" t="s">
        <v>6</v>
      </c>
      <c r="G36" s="23" t="s">
        <v>1</v>
      </c>
      <c r="H36" s="23" t="s">
        <v>66</v>
      </c>
      <c r="I36" s="23" t="s">
        <v>67</v>
      </c>
      <c r="J36" s="23" t="s">
        <v>68</v>
      </c>
      <c r="K36" s="24" t="s">
        <v>69</v>
      </c>
      <c r="L36" s="33"/>
    </row>
    <row r="37" spans="1:13" ht="15" hidden="1" customHeight="1" x14ac:dyDescent="0.25">
      <c r="A37" s="55" t="s">
        <v>41</v>
      </c>
      <c r="B37" s="55"/>
      <c r="C37" s="55"/>
      <c r="D37" s="55"/>
      <c r="E37" s="55"/>
      <c r="F37" s="7">
        <v>14963</v>
      </c>
      <c r="G37" s="7">
        <v>0.45</v>
      </c>
      <c r="H37" s="7">
        <f>F37*G37*12</f>
        <v>80800.200000000012</v>
      </c>
      <c r="I37" s="7">
        <f>H37*1.302</f>
        <v>105201.86040000002</v>
      </c>
      <c r="J37" s="7">
        <f>F35</f>
        <v>2800</v>
      </c>
      <c r="K37" s="7">
        <f>I37/J37</f>
        <v>37.57209300000001</v>
      </c>
      <c r="L37" s="34"/>
    </row>
    <row r="38" spans="1:13" ht="17.25" hidden="1" customHeight="1" x14ac:dyDescent="0.25">
      <c r="A38" s="55" t="s">
        <v>43</v>
      </c>
      <c r="B38" s="55"/>
      <c r="C38" s="55"/>
      <c r="D38" s="55"/>
      <c r="E38" s="55"/>
      <c r="F38" s="7">
        <v>11538</v>
      </c>
      <c r="G38" s="7">
        <v>0.45</v>
      </c>
      <c r="H38" s="7">
        <f t="shared" ref="H38:H49" si="0">F38*G38*12</f>
        <v>62305.200000000004</v>
      </c>
      <c r="I38" s="7">
        <f t="shared" ref="I38:I49" si="1">H38*1.302</f>
        <v>81121.370400000014</v>
      </c>
      <c r="J38" s="7">
        <f t="shared" ref="J38:J45" si="2">J37</f>
        <v>2800</v>
      </c>
      <c r="K38" s="7">
        <f>I38/J38</f>
        <v>28.971918000000006</v>
      </c>
      <c r="L38" s="34"/>
    </row>
    <row r="39" spans="1:13" ht="15" hidden="1" customHeight="1" x14ac:dyDescent="0.25">
      <c r="A39" s="55" t="s">
        <v>82</v>
      </c>
      <c r="B39" s="55"/>
      <c r="C39" s="55"/>
      <c r="D39" s="55"/>
      <c r="E39" s="55"/>
      <c r="F39" s="7">
        <v>8837</v>
      </c>
      <c r="G39" s="7">
        <v>0.45</v>
      </c>
      <c r="H39" s="7">
        <f t="shared" si="0"/>
        <v>47719.8</v>
      </c>
      <c r="I39" s="7">
        <f t="shared" si="1"/>
        <v>62131.179600000003</v>
      </c>
      <c r="J39" s="7">
        <f t="shared" si="2"/>
        <v>2800</v>
      </c>
      <c r="K39" s="7">
        <f t="shared" ref="K39:K49" si="3">I39/J39</f>
        <v>22.189707000000002</v>
      </c>
      <c r="L39" s="34"/>
    </row>
    <row r="40" spans="1:13" ht="15.75" hidden="1" customHeight="1" x14ac:dyDescent="0.25">
      <c r="A40" s="55" t="s">
        <v>46</v>
      </c>
      <c r="B40" s="55"/>
      <c r="C40" s="55"/>
      <c r="D40" s="55"/>
      <c r="E40" s="55"/>
      <c r="F40" s="7">
        <v>6556</v>
      </c>
      <c r="G40" s="7">
        <v>0.45</v>
      </c>
      <c r="H40" s="7">
        <f t="shared" si="0"/>
        <v>35402.400000000001</v>
      </c>
      <c r="I40" s="7">
        <f t="shared" si="1"/>
        <v>46093.924800000001</v>
      </c>
      <c r="J40" s="7">
        <f t="shared" si="2"/>
        <v>2800</v>
      </c>
      <c r="K40" s="7">
        <f t="shared" si="3"/>
        <v>16.462116000000002</v>
      </c>
      <c r="L40" s="34"/>
    </row>
    <row r="41" spans="1:13" ht="15" hidden="1" customHeight="1" x14ac:dyDescent="0.25">
      <c r="A41" s="55" t="s">
        <v>47</v>
      </c>
      <c r="B41" s="55"/>
      <c r="C41" s="55"/>
      <c r="D41" s="55"/>
      <c r="E41" s="55"/>
      <c r="F41" s="7">
        <v>11538</v>
      </c>
      <c r="G41" s="7">
        <v>0.45</v>
      </c>
      <c r="H41" s="7">
        <f t="shared" si="0"/>
        <v>62305.200000000004</v>
      </c>
      <c r="I41" s="7">
        <f t="shared" si="1"/>
        <v>81121.370400000014</v>
      </c>
      <c r="J41" s="7">
        <f t="shared" si="2"/>
        <v>2800</v>
      </c>
      <c r="K41" s="7">
        <f t="shared" si="3"/>
        <v>28.971918000000006</v>
      </c>
      <c r="L41" s="34"/>
    </row>
    <row r="42" spans="1:13" ht="15" hidden="1" customHeight="1" x14ac:dyDescent="0.25">
      <c r="A42" s="55" t="s">
        <v>84</v>
      </c>
      <c r="B42" s="55"/>
      <c r="C42" s="55"/>
      <c r="D42" s="55"/>
      <c r="E42" s="55"/>
      <c r="F42" s="7">
        <v>8837</v>
      </c>
      <c r="G42" s="7">
        <v>0.45</v>
      </c>
      <c r="H42" s="7">
        <f t="shared" si="0"/>
        <v>47719.8</v>
      </c>
      <c r="I42" s="7">
        <f t="shared" si="1"/>
        <v>62131.179600000003</v>
      </c>
      <c r="J42" s="7">
        <f t="shared" si="2"/>
        <v>2800</v>
      </c>
      <c r="K42" s="7">
        <f t="shared" si="3"/>
        <v>22.189707000000002</v>
      </c>
      <c r="L42" s="34"/>
    </row>
    <row r="43" spans="1:13" ht="15" hidden="1" customHeight="1" x14ac:dyDescent="0.25">
      <c r="A43" s="55" t="s">
        <v>85</v>
      </c>
      <c r="B43" s="55"/>
      <c r="C43" s="55"/>
      <c r="D43" s="55"/>
      <c r="E43" s="55"/>
      <c r="F43" s="7">
        <v>3993</v>
      </c>
      <c r="G43" s="7">
        <v>0.45</v>
      </c>
      <c r="H43" s="7">
        <f t="shared" si="0"/>
        <v>21562.2</v>
      </c>
      <c r="I43" s="7">
        <f t="shared" si="1"/>
        <v>28073.984400000001</v>
      </c>
      <c r="J43" s="7">
        <f t="shared" si="2"/>
        <v>2800</v>
      </c>
      <c r="K43" s="7">
        <f t="shared" si="3"/>
        <v>10.026423000000001</v>
      </c>
      <c r="L43" s="34"/>
    </row>
    <row r="44" spans="1:13" ht="15" hidden="1" customHeight="1" x14ac:dyDescent="0.25">
      <c r="A44" s="55" t="s">
        <v>86</v>
      </c>
      <c r="B44" s="55"/>
      <c r="C44" s="55"/>
      <c r="D44" s="55"/>
      <c r="E44" s="55"/>
      <c r="F44" s="7">
        <v>4496</v>
      </c>
      <c r="G44" s="7">
        <v>0.45</v>
      </c>
      <c r="H44" s="7">
        <f t="shared" si="0"/>
        <v>24278.400000000001</v>
      </c>
      <c r="I44" s="7">
        <f t="shared" si="1"/>
        <v>31610.476800000004</v>
      </c>
      <c r="J44" s="7">
        <f t="shared" si="2"/>
        <v>2800</v>
      </c>
      <c r="K44" s="7">
        <f t="shared" si="3"/>
        <v>11.289456000000001</v>
      </c>
      <c r="L44" s="34"/>
    </row>
    <row r="45" spans="1:13" ht="15" hidden="1" customHeight="1" x14ac:dyDescent="0.25">
      <c r="A45" s="55" t="s">
        <v>87</v>
      </c>
      <c r="B45" s="55"/>
      <c r="C45" s="55"/>
      <c r="D45" s="55"/>
      <c r="E45" s="55"/>
      <c r="F45" s="7">
        <v>8837</v>
      </c>
      <c r="G45" s="7">
        <v>0.45</v>
      </c>
      <c r="H45" s="7">
        <f t="shared" si="0"/>
        <v>47719.8</v>
      </c>
      <c r="I45" s="7">
        <f t="shared" si="1"/>
        <v>62131.179600000003</v>
      </c>
      <c r="J45" s="7">
        <f t="shared" si="2"/>
        <v>2800</v>
      </c>
      <c r="K45" s="7">
        <f t="shared" si="3"/>
        <v>22.189707000000002</v>
      </c>
      <c r="L45" s="34"/>
    </row>
    <row r="46" spans="1:13" ht="15.75" hidden="1" customHeight="1" x14ac:dyDescent="0.25">
      <c r="A46" s="55" t="s">
        <v>88</v>
      </c>
      <c r="B46" s="55"/>
      <c r="C46" s="55"/>
      <c r="D46" s="55"/>
      <c r="E46" s="55"/>
      <c r="F46" s="7">
        <v>13255.5</v>
      </c>
      <c r="G46" s="7">
        <v>0.45</v>
      </c>
      <c r="H46" s="7">
        <f t="shared" si="0"/>
        <v>71579.700000000012</v>
      </c>
      <c r="I46" s="7">
        <f t="shared" si="1"/>
        <v>93196.769400000019</v>
      </c>
      <c r="J46" s="7">
        <f>J44</f>
        <v>2800</v>
      </c>
      <c r="K46" s="7">
        <f t="shared" si="3"/>
        <v>33.284560500000005</v>
      </c>
      <c r="L46" s="34"/>
    </row>
    <row r="47" spans="1:13" ht="15" hidden="1" customHeight="1" x14ac:dyDescent="0.25">
      <c r="A47" s="55" t="s">
        <v>90</v>
      </c>
      <c r="B47" s="55"/>
      <c r="C47" s="55"/>
      <c r="D47" s="55"/>
      <c r="E47" s="55"/>
      <c r="F47" s="7">
        <v>11538</v>
      </c>
      <c r="G47" s="7">
        <v>0.45</v>
      </c>
      <c r="H47" s="7">
        <f t="shared" si="0"/>
        <v>62305.200000000004</v>
      </c>
      <c r="I47" s="7">
        <f t="shared" si="1"/>
        <v>81121.370400000014</v>
      </c>
      <c r="J47" s="7">
        <f>J45</f>
        <v>2800</v>
      </c>
      <c r="K47" s="7">
        <f t="shared" si="3"/>
        <v>28.971918000000006</v>
      </c>
      <c r="L47" s="34"/>
    </row>
    <row r="48" spans="1:13" ht="15" hidden="1" customHeight="1" x14ac:dyDescent="0.25">
      <c r="A48" s="55" t="s">
        <v>51</v>
      </c>
      <c r="B48" s="55"/>
      <c r="C48" s="55"/>
      <c r="D48" s="55"/>
      <c r="E48" s="55"/>
      <c r="F48" s="7">
        <v>11538</v>
      </c>
      <c r="G48" s="7">
        <v>0.45</v>
      </c>
      <c r="H48" s="7">
        <f t="shared" si="0"/>
        <v>62305.200000000004</v>
      </c>
      <c r="I48" s="7">
        <f t="shared" si="1"/>
        <v>81121.370400000014</v>
      </c>
      <c r="J48" s="7">
        <f>J46</f>
        <v>2800</v>
      </c>
      <c r="K48" s="7">
        <f t="shared" si="3"/>
        <v>28.971918000000006</v>
      </c>
      <c r="L48" s="34"/>
    </row>
    <row r="49" spans="1:13" ht="17.25" hidden="1" customHeight="1" x14ac:dyDescent="0.25">
      <c r="A49" s="55" t="s">
        <v>49</v>
      </c>
      <c r="B49" s="55"/>
      <c r="C49" s="55"/>
      <c r="D49" s="55"/>
      <c r="E49" s="55"/>
      <c r="F49" s="7">
        <v>8837</v>
      </c>
      <c r="G49" s="7">
        <v>0.45</v>
      </c>
      <c r="H49" s="7">
        <f t="shared" si="0"/>
        <v>47719.8</v>
      </c>
      <c r="I49" s="7">
        <f t="shared" si="1"/>
        <v>62131.179600000003</v>
      </c>
      <c r="J49" s="7">
        <f>J47</f>
        <v>2800</v>
      </c>
      <c r="K49" s="7">
        <f t="shared" si="3"/>
        <v>22.189707000000002</v>
      </c>
      <c r="L49" s="34"/>
    </row>
    <row r="50" spans="1:13" s="9" customFormat="1" ht="15.75" customHeight="1" x14ac:dyDescent="0.25">
      <c r="A50" s="56" t="s">
        <v>72</v>
      </c>
      <c r="B50" s="66"/>
      <c r="C50" s="66"/>
      <c r="D50" s="66"/>
      <c r="E50" s="66"/>
      <c r="F50" s="26">
        <v>57872.82</v>
      </c>
      <c r="G50" s="26">
        <v>6.02</v>
      </c>
      <c r="H50" s="26">
        <f>(F50*G50)*12</f>
        <v>4180732.5167999994</v>
      </c>
      <c r="I50" s="2">
        <f>(H50*1.302)</f>
        <v>5443313.7368735997</v>
      </c>
      <c r="J50" s="2">
        <f>F35</f>
        <v>2800</v>
      </c>
      <c r="K50" s="2">
        <f>I50/F35</f>
        <v>1944.0406203119999</v>
      </c>
      <c r="L50" s="34"/>
      <c r="M50" s="8">
        <f>I50+'Услуга №2 '!I74+'Работа №1'!I50+'Работа №2'!I73+'Работа №3'!I78</f>
        <v>13849956.2070072</v>
      </c>
    </row>
    <row r="51" spans="1:13" ht="13.5" customHeight="1" x14ac:dyDescent="0.25"/>
    <row r="52" spans="1:13" ht="14.25" customHeight="1" x14ac:dyDescent="0.25">
      <c r="A52" s="61" t="s">
        <v>8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3" spans="1:13" ht="60" x14ac:dyDescent="0.25">
      <c r="A53" s="79" t="s">
        <v>9</v>
      </c>
      <c r="B53" s="79"/>
      <c r="C53" s="79"/>
      <c r="D53" s="79"/>
      <c r="E53" s="79"/>
      <c r="F53" s="23" t="s">
        <v>7</v>
      </c>
      <c r="G53" s="23" t="s">
        <v>65</v>
      </c>
      <c r="H53" s="23" t="s">
        <v>64</v>
      </c>
      <c r="I53" s="23" t="s">
        <v>73</v>
      </c>
      <c r="J53" s="23" t="s">
        <v>68</v>
      </c>
      <c r="K53" s="27" t="s">
        <v>69</v>
      </c>
      <c r="L53" s="28"/>
    </row>
    <row r="54" spans="1:13" x14ac:dyDescent="0.25">
      <c r="A54" s="65" t="s">
        <v>39</v>
      </c>
      <c r="B54" s="68"/>
      <c r="C54" s="68"/>
      <c r="D54" s="68"/>
      <c r="E54" s="69"/>
      <c r="F54" s="25" t="s">
        <v>40</v>
      </c>
      <c r="G54" s="25">
        <v>75300</v>
      </c>
      <c r="H54" s="25">
        <v>4.9000000000000004</v>
      </c>
      <c r="I54" s="25">
        <f>342214.7*45%</f>
        <v>153996.61500000002</v>
      </c>
      <c r="J54" s="7">
        <f>J49</f>
        <v>2800</v>
      </c>
      <c r="K54" s="29">
        <f>I54/J54</f>
        <v>54.998791071428577</v>
      </c>
      <c r="L54" s="28"/>
    </row>
    <row r="55" spans="1:13" x14ac:dyDescent="0.25">
      <c r="A55" s="70" t="s">
        <v>10</v>
      </c>
      <c r="B55" s="70"/>
      <c r="C55" s="70"/>
      <c r="D55" s="70"/>
      <c r="E55" s="70"/>
      <c r="F55" s="7" t="s">
        <v>13</v>
      </c>
      <c r="G55" s="7">
        <v>465</v>
      </c>
      <c r="H55" s="7">
        <v>1690.46</v>
      </c>
      <c r="I55" s="25">
        <f>786064.9*45%</f>
        <v>353729.20500000002</v>
      </c>
      <c r="J55" s="7">
        <f>J54</f>
        <v>2800</v>
      </c>
      <c r="K55" s="29">
        <f t="shared" ref="K55:K58" si="4">I55/J55</f>
        <v>126.33185892857144</v>
      </c>
      <c r="L55" s="30"/>
    </row>
    <row r="56" spans="1:13" x14ac:dyDescent="0.25">
      <c r="A56" s="70" t="s">
        <v>11</v>
      </c>
      <c r="B56" s="70"/>
      <c r="C56" s="70"/>
      <c r="D56" s="70"/>
      <c r="E56" s="70"/>
      <c r="F56" s="7" t="s">
        <v>14</v>
      </c>
      <c r="G56" s="7">
        <v>410</v>
      </c>
      <c r="H56" s="7">
        <v>40.96</v>
      </c>
      <c r="I56" s="25">
        <f>16794.04*45%</f>
        <v>7557.3180000000002</v>
      </c>
      <c r="J56" s="7">
        <f>J55</f>
        <v>2800</v>
      </c>
      <c r="K56" s="29">
        <f t="shared" si="4"/>
        <v>2.6990421428571429</v>
      </c>
      <c r="L56" s="30"/>
    </row>
    <row r="57" spans="1:13" x14ac:dyDescent="0.25">
      <c r="A57" s="70" t="s">
        <v>12</v>
      </c>
      <c r="B57" s="70"/>
      <c r="C57" s="70"/>
      <c r="D57" s="70"/>
      <c r="E57" s="70"/>
      <c r="F57" s="7" t="s">
        <v>14</v>
      </c>
      <c r="G57" s="7">
        <v>410</v>
      </c>
      <c r="H57" s="7">
        <v>59.65</v>
      </c>
      <c r="I57" s="25">
        <f>24456.94*45%</f>
        <v>11005.623</v>
      </c>
      <c r="J57" s="7">
        <f>J55</f>
        <v>2800</v>
      </c>
      <c r="K57" s="29">
        <f t="shared" si="4"/>
        <v>3.9305796428571429</v>
      </c>
      <c r="L57" s="30"/>
    </row>
    <row r="58" spans="1:13" x14ac:dyDescent="0.25">
      <c r="A58" s="65" t="s">
        <v>16</v>
      </c>
      <c r="B58" s="66"/>
      <c r="C58" s="66"/>
      <c r="D58" s="66"/>
      <c r="E58" s="66"/>
      <c r="F58" s="7" t="s">
        <v>14</v>
      </c>
      <c r="G58" s="7">
        <v>12</v>
      </c>
      <c r="H58" s="31">
        <v>3360.02</v>
      </c>
      <c r="I58" s="25">
        <f>40320.24*45%</f>
        <v>18144.108</v>
      </c>
      <c r="J58" s="7">
        <v>2800</v>
      </c>
      <c r="K58" s="29">
        <f t="shared" si="4"/>
        <v>6.4800385714285715</v>
      </c>
      <c r="L58" s="30"/>
    </row>
    <row r="59" spans="1:13" x14ac:dyDescent="0.25">
      <c r="A59" s="56" t="s">
        <v>53</v>
      </c>
      <c r="B59" s="57"/>
      <c r="C59" s="57"/>
      <c r="D59" s="57"/>
      <c r="E59" s="57"/>
      <c r="F59" s="57"/>
      <c r="G59" s="57"/>
      <c r="H59" s="57"/>
      <c r="I59" s="2">
        <f>SUM(I54:I58)</f>
        <v>544432.86900000006</v>
      </c>
      <c r="J59" s="51">
        <v>2800</v>
      </c>
      <c r="K59" s="2">
        <f>I59/J59</f>
        <v>194.44031035714289</v>
      </c>
      <c r="L59" s="30"/>
      <c r="M59" s="8">
        <f>I59+'Услуга №2 '!I83+'Работа №1'!I59+'Работа №2'!I82+'Работа №3'!I87</f>
        <v>1209850.82</v>
      </c>
    </row>
    <row r="60" spans="1:13" ht="12" customHeight="1" x14ac:dyDescent="0.25"/>
    <row r="61" spans="1:13" x14ac:dyDescent="0.25">
      <c r="A61" s="61" t="s">
        <v>15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3" ht="60" x14ac:dyDescent="0.25">
      <c r="A62" s="62" t="s">
        <v>19</v>
      </c>
      <c r="B62" s="63"/>
      <c r="C62" s="63"/>
      <c r="D62" s="63"/>
      <c r="E62" s="64"/>
      <c r="F62" s="23" t="s">
        <v>7</v>
      </c>
      <c r="G62" s="23" t="s">
        <v>65</v>
      </c>
      <c r="H62" s="23" t="s">
        <v>64</v>
      </c>
      <c r="I62" s="23" t="s">
        <v>73</v>
      </c>
      <c r="J62" s="23" t="s">
        <v>68</v>
      </c>
      <c r="K62" s="27" t="s">
        <v>69</v>
      </c>
      <c r="L62" s="28"/>
    </row>
    <row r="63" spans="1:13" x14ac:dyDescent="0.25">
      <c r="A63" s="70" t="s">
        <v>56</v>
      </c>
      <c r="B63" s="70"/>
      <c r="C63" s="70"/>
      <c r="D63" s="70"/>
      <c r="E63" s="70"/>
      <c r="F63" s="7" t="s">
        <v>17</v>
      </c>
      <c r="G63" s="7">
        <v>6200</v>
      </c>
      <c r="H63" s="7"/>
      <c r="I63" s="7">
        <f>74400*45%</f>
        <v>33480</v>
      </c>
      <c r="J63" s="7">
        <v>2800</v>
      </c>
      <c r="K63" s="32">
        <f t="shared" ref="K63:K67" si="5">I63/J63</f>
        <v>11.957142857142857</v>
      </c>
      <c r="L63" s="30"/>
    </row>
    <row r="64" spans="1:13" ht="15" customHeight="1" x14ac:dyDescent="0.25">
      <c r="A64" s="55" t="s">
        <v>55</v>
      </c>
      <c r="B64" s="55"/>
      <c r="C64" s="55"/>
      <c r="D64" s="55"/>
      <c r="E64" s="55"/>
      <c r="F64" s="7" t="s">
        <v>17</v>
      </c>
      <c r="G64" s="7">
        <v>773.4</v>
      </c>
      <c r="H64" s="7"/>
      <c r="I64" s="7">
        <f>9280.8*45%</f>
        <v>4176.3599999999997</v>
      </c>
      <c r="J64" s="7">
        <f>J63</f>
        <v>2800</v>
      </c>
      <c r="K64" s="32">
        <f t="shared" si="5"/>
        <v>1.4915571428571428</v>
      </c>
      <c r="L64" s="30"/>
    </row>
    <row r="65" spans="1:13" ht="16.5" customHeight="1" x14ac:dyDescent="0.25">
      <c r="A65" s="70" t="s">
        <v>113</v>
      </c>
      <c r="B65" s="70"/>
      <c r="C65" s="70"/>
      <c r="D65" s="70"/>
      <c r="E65" s="70"/>
      <c r="F65" s="7" t="s">
        <v>17</v>
      </c>
      <c r="G65" s="7">
        <v>2000</v>
      </c>
      <c r="H65" s="7"/>
      <c r="I65" s="7">
        <f>24000*45%</f>
        <v>10800</v>
      </c>
      <c r="J65" s="7">
        <f>J64</f>
        <v>2800</v>
      </c>
      <c r="K65" s="32">
        <f t="shared" si="5"/>
        <v>3.8571428571428572</v>
      </c>
      <c r="L65" s="30"/>
    </row>
    <row r="66" spans="1:13" ht="16.5" customHeight="1" x14ac:dyDescent="0.25">
      <c r="A66" s="55" t="s">
        <v>100</v>
      </c>
      <c r="B66" s="55"/>
      <c r="C66" s="55"/>
      <c r="D66" s="55"/>
      <c r="E66" s="55"/>
      <c r="F66" s="7" t="s">
        <v>17</v>
      </c>
      <c r="G66" s="7">
        <v>2100</v>
      </c>
      <c r="H66" s="7"/>
      <c r="I66" s="7">
        <f>25200*45%</f>
        <v>11340</v>
      </c>
      <c r="J66" s="7">
        <f>J64</f>
        <v>2800</v>
      </c>
      <c r="K66" s="32">
        <f t="shared" si="5"/>
        <v>4.05</v>
      </c>
      <c r="L66" s="30"/>
    </row>
    <row r="67" spans="1:13" ht="15" customHeight="1" x14ac:dyDescent="0.25">
      <c r="A67" s="55" t="s">
        <v>114</v>
      </c>
      <c r="B67" s="55"/>
      <c r="C67" s="55"/>
      <c r="D67" s="55"/>
      <c r="E67" s="55"/>
      <c r="F67" s="7" t="s">
        <v>17</v>
      </c>
      <c r="G67" s="7"/>
      <c r="H67" s="7"/>
      <c r="I67" s="7">
        <f>395418*45%</f>
        <v>177938.1</v>
      </c>
      <c r="J67" s="7">
        <f>J64</f>
        <v>2800</v>
      </c>
      <c r="K67" s="32">
        <f t="shared" si="5"/>
        <v>63.549321428571432</v>
      </c>
      <c r="L67" s="30"/>
    </row>
    <row r="68" spans="1:13" s="9" customFormat="1" ht="18.75" customHeight="1" x14ac:dyDescent="0.25">
      <c r="A68" s="56" t="s">
        <v>18</v>
      </c>
      <c r="B68" s="57"/>
      <c r="C68" s="57"/>
      <c r="D68" s="57"/>
      <c r="E68" s="57"/>
      <c r="F68" s="57"/>
      <c r="G68" s="57"/>
      <c r="H68" s="60"/>
      <c r="I68" s="2">
        <f>SUM(I63:I67)</f>
        <v>237734.46000000002</v>
      </c>
      <c r="J68" s="51">
        <f>J65</f>
        <v>2800</v>
      </c>
      <c r="K68" s="4">
        <f>I68/J68</f>
        <v>84.905164285714292</v>
      </c>
      <c r="L68" s="30"/>
      <c r="M68" s="8">
        <f>I68+'Услуга №2 '!I92+'Работа №1'!I68+'Работа №2'!I91+'Работа №3'!I96</f>
        <v>528298.80000000005</v>
      </c>
    </row>
    <row r="69" spans="1:13" ht="12.75" customHeight="1" x14ac:dyDescent="0.25"/>
    <row r="70" spans="1:13" x14ac:dyDescent="0.25">
      <c r="A70" s="61" t="s">
        <v>74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</row>
    <row r="71" spans="1:13" ht="60" customHeight="1" x14ac:dyDescent="0.25">
      <c r="A71" s="62" t="s">
        <v>19</v>
      </c>
      <c r="B71" s="63"/>
      <c r="C71" s="63"/>
      <c r="D71" s="63"/>
      <c r="E71" s="64"/>
      <c r="F71" s="23" t="s">
        <v>7</v>
      </c>
      <c r="G71" s="23" t="s">
        <v>65</v>
      </c>
      <c r="H71" s="23" t="s">
        <v>64</v>
      </c>
      <c r="I71" s="23" t="s">
        <v>73</v>
      </c>
      <c r="J71" s="23" t="s">
        <v>68</v>
      </c>
      <c r="K71" s="24" t="s">
        <v>69</v>
      </c>
      <c r="L71" s="33"/>
    </row>
    <row r="72" spans="1:13" ht="34.5" customHeight="1" x14ac:dyDescent="0.25">
      <c r="A72" s="71" t="s">
        <v>115</v>
      </c>
      <c r="B72" s="72"/>
      <c r="C72" s="72"/>
      <c r="D72" s="72"/>
      <c r="E72" s="73"/>
      <c r="F72" s="7" t="s">
        <v>17</v>
      </c>
      <c r="G72" s="7">
        <v>11</v>
      </c>
      <c r="H72" s="7">
        <v>4116.8999999999996</v>
      </c>
      <c r="I72" s="7">
        <f>45285.9*45%</f>
        <v>20378.655000000002</v>
      </c>
      <c r="J72" s="7">
        <f>J67</f>
        <v>2800</v>
      </c>
      <c r="K72" s="7">
        <f t="shared" ref="K72:K73" si="6">I72/J72</f>
        <v>7.2780910714285723</v>
      </c>
      <c r="L72" s="34"/>
    </row>
    <row r="73" spans="1:13" ht="18.75" customHeight="1" x14ac:dyDescent="0.25">
      <c r="A73" s="65" t="s">
        <v>116</v>
      </c>
      <c r="B73" s="66"/>
      <c r="C73" s="66"/>
      <c r="D73" s="66"/>
      <c r="E73" s="67"/>
      <c r="F73" s="7" t="s">
        <v>17</v>
      </c>
      <c r="G73" s="7"/>
      <c r="H73" s="7"/>
      <c r="I73" s="7">
        <f>12000*45%</f>
        <v>5400</v>
      </c>
      <c r="J73" s="7">
        <v>2800</v>
      </c>
      <c r="K73" s="7">
        <f t="shared" si="6"/>
        <v>1.9285714285714286</v>
      </c>
      <c r="L73" s="34"/>
    </row>
    <row r="74" spans="1:13" ht="18.75" customHeight="1" x14ac:dyDescent="0.25">
      <c r="A74" s="65" t="s">
        <v>117</v>
      </c>
      <c r="B74" s="68"/>
      <c r="C74" s="68"/>
      <c r="D74" s="68"/>
      <c r="E74" s="69"/>
      <c r="F74" s="7" t="s">
        <v>17</v>
      </c>
      <c r="G74" s="7"/>
      <c r="H74" s="7"/>
      <c r="I74" s="7">
        <f>10500*45%</f>
        <v>4725</v>
      </c>
      <c r="J74" s="7">
        <f>J66</f>
        <v>2800</v>
      </c>
      <c r="K74" s="7">
        <f>I74/J74</f>
        <v>1.6875</v>
      </c>
      <c r="L74" s="34"/>
    </row>
    <row r="75" spans="1:13" x14ac:dyDescent="0.25">
      <c r="A75" s="56" t="s">
        <v>75</v>
      </c>
      <c r="B75" s="57"/>
      <c r="C75" s="57"/>
      <c r="D75" s="57"/>
      <c r="E75" s="57"/>
      <c r="F75" s="57"/>
      <c r="G75" s="57"/>
      <c r="H75" s="57"/>
      <c r="I75" s="5">
        <f>SUM(I72:I74)</f>
        <v>30503.655000000002</v>
      </c>
      <c r="J75" s="51">
        <f>J67</f>
        <v>2800</v>
      </c>
      <c r="K75" s="5">
        <f>I75/J75</f>
        <v>10.8941625</v>
      </c>
      <c r="L75" s="34"/>
      <c r="M75" s="8">
        <f>I75+'Услуга №2 '!I99+'Работа №1'!I75+'Работа №2'!I98+'Работа №3'!I103</f>
        <v>67785.899999999994</v>
      </c>
    </row>
    <row r="76" spans="1:13" x14ac:dyDescent="0.25">
      <c r="A76" s="35"/>
      <c r="B76" s="35"/>
      <c r="C76" s="35"/>
      <c r="D76" s="35"/>
      <c r="E76" s="35"/>
      <c r="F76" s="35"/>
      <c r="G76" s="35"/>
      <c r="H76" s="35"/>
      <c r="I76" s="6"/>
      <c r="J76" s="6"/>
      <c r="K76" s="6"/>
      <c r="L76" s="34"/>
    </row>
    <row r="77" spans="1:13" x14ac:dyDescent="0.25">
      <c r="A77" s="61" t="s">
        <v>76</v>
      </c>
      <c r="B77" s="61"/>
      <c r="C77" s="61"/>
      <c r="D77" s="61"/>
      <c r="E77" s="61"/>
      <c r="F77" s="61"/>
      <c r="G77" s="61"/>
      <c r="H77" s="61"/>
      <c r="I77" s="61"/>
      <c r="J77" s="61"/>
      <c r="K77" s="61"/>
      <c r="L77" s="61"/>
    </row>
    <row r="78" spans="1:13" ht="45.75" customHeight="1" x14ac:dyDescent="0.25">
      <c r="A78" s="62" t="s">
        <v>20</v>
      </c>
      <c r="B78" s="63"/>
      <c r="C78" s="63"/>
      <c r="D78" s="63"/>
      <c r="E78" s="64"/>
      <c r="F78" s="23" t="s">
        <v>7</v>
      </c>
      <c r="G78" s="23" t="s">
        <v>65</v>
      </c>
      <c r="H78" s="23" t="s">
        <v>64</v>
      </c>
      <c r="I78" s="23" t="s">
        <v>73</v>
      </c>
      <c r="J78" s="36" t="s">
        <v>68</v>
      </c>
      <c r="K78" s="24" t="s">
        <v>69</v>
      </c>
      <c r="L78" s="33"/>
      <c r="M78" s="33"/>
    </row>
    <row r="79" spans="1:13" ht="23.25" customHeight="1" x14ac:dyDescent="0.25">
      <c r="A79" s="65" t="s">
        <v>118</v>
      </c>
      <c r="B79" s="68"/>
      <c r="C79" s="68"/>
      <c r="D79" s="68"/>
      <c r="E79" s="69"/>
      <c r="F79" s="37" t="s">
        <v>121</v>
      </c>
      <c r="G79" s="7">
        <v>4</v>
      </c>
      <c r="H79" s="7">
        <v>563.75</v>
      </c>
      <c r="I79" s="7">
        <f>27059.76*45%</f>
        <v>12176.892</v>
      </c>
      <c r="J79" s="32">
        <f>J74</f>
        <v>2800</v>
      </c>
      <c r="K79" s="7">
        <f>I79/J79</f>
        <v>4.3488899999999999</v>
      </c>
      <c r="L79" s="34"/>
      <c r="M79" s="34"/>
    </row>
    <row r="80" spans="1:13" ht="26.25" customHeight="1" x14ac:dyDescent="0.25">
      <c r="A80" s="65" t="s">
        <v>119</v>
      </c>
      <c r="B80" s="66"/>
      <c r="C80" s="66"/>
      <c r="D80" s="66"/>
      <c r="E80" s="67"/>
      <c r="F80" s="37" t="s">
        <v>121</v>
      </c>
      <c r="G80" s="7">
        <v>1</v>
      </c>
      <c r="H80" s="7">
        <v>80.540000000000006</v>
      </c>
      <c r="I80" s="7">
        <f>966.42*45%</f>
        <v>434.88900000000001</v>
      </c>
      <c r="J80" s="32">
        <v>2800</v>
      </c>
      <c r="K80" s="7">
        <f t="shared" ref="K80:K81" si="7">I80/J80</f>
        <v>0.1553175</v>
      </c>
      <c r="L80" s="34"/>
      <c r="M80" s="34"/>
    </row>
    <row r="81" spans="1:13" ht="28.5" customHeight="1" x14ac:dyDescent="0.25">
      <c r="A81" s="65" t="s">
        <v>120</v>
      </c>
      <c r="B81" s="66"/>
      <c r="C81" s="66"/>
      <c r="D81" s="66"/>
      <c r="E81" s="67"/>
      <c r="F81" s="37" t="s">
        <v>121</v>
      </c>
      <c r="G81" s="7">
        <v>1</v>
      </c>
      <c r="H81" s="7"/>
      <c r="I81" s="7">
        <f>6481.44*45%</f>
        <v>2916.6479999999997</v>
      </c>
      <c r="J81" s="32">
        <v>2800</v>
      </c>
      <c r="K81" s="7">
        <f t="shared" si="7"/>
        <v>1.0416599999999998</v>
      </c>
      <c r="L81" s="34"/>
      <c r="M81" s="34"/>
    </row>
    <row r="82" spans="1:13" ht="37.5" customHeight="1" x14ac:dyDescent="0.25">
      <c r="A82" s="65" t="s">
        <v>77</v>
      </c>
      <c r="B82" s="68"/>
      <c r="C82" s="68"/>
      <c r="D82" s="68"/>
      <c r="E82" s="69"/>
      <c r="F82" s="37" t="s">
        <v>121</v>
      </c>
      <c r="G82" s="7">
        <v>1</v>
      </c>
      <c r="H82" s="7">
        <v>1901.87</v>
      </c>
      <c r="I82" s="7">
        <f>22822.38*45%</f>
        <v>10270.071</v>
      </c>
      <c r="J82" s="32">
        <f>J79</f>
        <v>2800</v>
      </c>
      <c r="K82" s="7">
        <f>I82/J82</f>
        <v>3.6678825000000002</v>
      </c>
      <c r="L82" s="34"/>
      <c r="M82" s="34"/>
    </row>
    <row r="83" spans="1:13" x14ac:dyDescent="0.25">
      <c r="A83" s="56" t="s">
        <v>21</v>
      </c>
      <c r="B83" s="57"/>
      <c r="C83" s="57"/>
      <c r="D83" s="57"/>
      <c r="E83" s="57"/>
      <c r="F83" s="57"/>
      <c r="G83" s="57"/>
      <c r="H83" s="60"/>
      <c r="I83" s="5">
        <f t="shared" ref="I83" si="8">SUM(I79:I82)</f>
        <v>25798.5</v>
      </c>
      <c r="J83" s="5">
        <v>2800</v>
      </c>
      <c r="K83" s="5">
        <f>I83/J83</f>
        <v>9.2137499999999992</v>
      </c>
      <c r="L83" s="6"/>
      <c r="M83" s="34">
        <f>I83+'Услуга №2 '!I107+'Работа №1'!I83+'Работа №2'!I106+'Работа №3'!I111</f>
        <v>57330</v>
      </c>
    </row>
    <row r="84" spans="1:13" x14ac:dyDescent="0.25">
      <c r="A84" s="35"/>
      <c r="B84" s="35"/>
      <c r="C84" s="35"/>
      <c r="D84" s="35"/>
      <c r="E84" s="35"/>
      <c r="F84" s="35"/>
      <c r="G84" s="35"/>
      <c r="H84" s="35"/>
      <c r="I84" s="6"/>
      <c r="J84" s="6"/>
      <c r="K84" s="6"/>
      <c r="L84" s="6"/>
      <c r="M84" s="34"/>
    </row>
    <row r="85" spans="1:13" x14ac:dyDescent="0.25">
      <c r="A85" s="61" t="s">
        <v>37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6" spans="1:13" ht="60.75" customHeight="1" x14ac:dyDescent="0.25">
      <c r="A86" s="62" t="s">
        <v>5</v>
      </c>
      <c r="B86" s="63"/>
      <c r="C86" s="63"/>
      <c r="D86" s="63"/>
      <c r="E86" s="64"/>
      <c r="F86" s="23" t="s">
        <v>6</v>
      </c>
      <c r="G86" s="23" t="s">
        <v>1</v>
      </c>
      <c r="H86" s="23" t="s">
        <v>66</v>
      </c>
      <c r="I86" s="23" t="s">
        <v>67</v>
      </c>
      <c r="J86" s="23" t="s">
        <v>68</v>
      </c>
      <c r="K86" s="24" t="s">
        <v>69</v>
      </c>
      <c r="L86" s="33"/>
    </row>
    <row r="87" spans="1:13" ht="15" hidden="1" customHeight="1" x14ac:dyDescent="0.25">
      <c r="A87" s="55" t="s">
        <v>3</v>
      </c>
      <c r="B87" s="55"/>
      <c r="C87" s="55"/>
      <c r="D87" s="55"/>
      <c r="E87" s="55"/>
      <c r="F87" s="38">
        <v>16626</v>
      </c>
      <c r="G87" s="7">
        <v>0.45</v>
      </c>
      <c r="H87" s="3">
        <f>F87*12*G87</f>
        <v>89780.400000000009</v>
      </c>
      <c r="I87" s="7">
        <f>H87*1.302</f>
        <v>116894.08080000001</v>
      </c>
      <c r="J87" s="7">
        <f>J82</f>
        <v>2800</v>
      </c>
      <c r="K87" s="7">
        <f>I87/J87</f>
        <v>41.747886000000001</v>
      </c>
      <c r="L87" s="34"/>
    </row>
    <row r="88" spans="1:13" ht="15" hidden="1" customHeight="1" x14ac:dyDescent="0.25">
      <c r="A88" s="55" t="s">
        <v>81</v>
      </c>
      <c r="B88" s="55"/>
      <c r="C88" s="55"/>
      <c r="D88" s="55"/>
      <c r="E88" s="55"/>
      <c r="F88" s="7">
        <v>11538</v>
      </c>
      <c r="G88" s="7">
        <v>0.45</v>
      </c>
      <c r="H88" s="3">
        <f t="shared" ref="H88:H102" si="9">F88*12*G88</f>
        <v>62305.200000000004</v>
      </c>
      <c r="I88" s="7">
        <f t="shared" ref="I88:I102" si="10">H88*1.302</f>
        <v>81121.370400000014</v>
      </c>
      <c r="J88" s="7">
        <f>J87</f>
        <v>2800</v>
      </c>
      <c r="K88" s="7">
        <f>I88/J88</f>
        <v>28.971918000000006</v>
      </c>
      <c r="L88" s="34"/>
    </row>
    <row r="89" spans="1:13" ht="15" hidden="1" customHeight="1" x14ac:dyDescent="0.25">
      <c r="A89" s="55" t="s">
        <v>42</v>
      </c>
      <c r="B89" s="55"/>
      <c r="C89" s="55"/>
      <c r="D89" s="55"/>
      <c r="E89" s="55"/>
      <c r="F89" s="7">
        <v>11538</v>
      </c>
      <c r="G89" s="7">
        <v>0.45</v>
      </c>
      <c r="H89" s="3">
        <f t="shared" si="9"/>
        <v>62305.200000000004</v>
      </c>
      <c r="I89" s="7">
        <f t="shared" si="10"/>
        <v>81121.370400000014</v>
      </c>
      <c r="J89" s="7">
        <f>J88</f>
        <v>2800</v>
      </c>
      <c r="K89" s="7">
        <f>I89/J89</f>
        <v>28.971918000000006</v>
      </c>
      <c r="L89" s="34"/>
    </row>
    <row r="90" spans="1:13" ht="15" hidden="1" customHeight="1" x14ac:dyDescent="0.25">
      <c r="A90" s="55" t="s">
        <v>44</v>
      </c>
      <c r="B90" s="55"/>
      <c r="C90" s="55"/>
      <c r="D90" s="55"/>
      <c r="E90" s="55"/>
      <c r="F90" s="7">
        <v>11538</v>
      </c>
      <c r="G90" s="7">
        <v>0.45</v>
      </c>
      <c r="H90" s="3">
        <f t="shared" si="9"/>
        <v>62305.200000000004</v>
      </c>
      <c r="I90" s="7">
        <f t="shared" si="10"/>
        <v>81121.370400000014</v>
      </c>
      <c r="J90" s="7">
        <f>J88</f>
        <v>2800</v>
      </c>
      <c r="K90" s="7">
        <f t="shared" ref="K90:K102" si="11">I90/J90</f>
        <v>28.971918000000006</v>
      </c>
      <c r="L90" s="34"/>
    </row>
    <row r="91" spans="1:13" ht="15.75" hidden="1" customHeight="1" x14ac:dyDescent="0.25">
      <c r="A91" s="55" t="s">
        <v>80</v>
      </c>
      <c r="B91" s="55"/>
      <c r="C91" s="55"/>
      <c r="D91" s="55"/>
      <c r="E91" s="55"/>
      <c r="F91" s="7">
        <v>11538</v>
      </c>
      <c r="G91" s="7">
        <v>0.45</v>
      </c>
      <c r="H91" s="3">
        <f t="shared" si="9"/>
        <v>62305.200000000004</v>
      </c>
      <c r="I91" s="7">
        <f t="shared" si="10"/>
        <v>81121.370400000014</v>
      </c>
      <c r="J91" s="7">
        <f>J89</f>
        <v>2800</v>
      </c>
      <c r="K91" s="7">
        <f t="shared" si="11"/>
        <v>28.971918000000006</v>
      </c>
      <c r="L91" s="34"/>
    </row>
    <row r="92" spans="1:13" ht="14.25" hidden="1" customHeight="1" x14ac:dyDescent="0.25">
      <c r="A92" s="55" t="s">
        <v>38</v>
      </c>
      <c r="B92" s="55"/>
      <c r="C92" s="55"/>
      <c r="D92" s="55"/>
      <c r="E92" s="55"/>
      <c r="F92" s="38">
        <v>6556</v>
      </c>
      <c r="G92" s="7">
        <v>2.25</v>
      </c>
      <c r="H92" s="3">
        <f t="shared" si="9"/>
        <v>177012</v>
      </c>
      <c r="I92" s="7">
        <f t="shared" si="10"/>
        <v>230469.62400000001</v>
      </c>
      <c r="J92" s="7">
        <f>J90</f>
        <v>2800</v>
      </c>
      <c r="K92" s="7">
        <f t="shared" si="11"/>
        <v>82.310580000000002</v>
      </c>
      <c r="L92" s="34"/>
    </row>
    <row r="93" spans="1:13" ht="15" hidden="1" customHeight="1" x14ac:dyDescent="0.25">
      <c r="A93" s="55" t="s">
        <v>83</v>
      </c>
      <c r="B93" s="55"/>
      <c r="C93" s="55"/>
      <c r="D93" s="55"/>
      <c r="E93" s="55"/>
      <c r="F93" s="38">
        <v>6556</v>
      </c>
      <c r="G93" s="7">
        <v>0.45</v>
      </c>
      <c r="H93" s="3">
        <f t="shared" si="9"/>
        <v>35402.400000000001</v>
      </c>
      <c r="I93" s="7">
        <f t="shared" si="10"/>
        <v>46093.924800000001</v>
      </c>
      <c r="J93" s="7">
        <f t="shared" ref="J93:J102" si="12">J91</f>
        <v>2800</v>
      </c>
      <c r="K93" s="7">
        <f t="shared" si="11"/>
        <v>16.462116000000002</v>
      </c>
      <c r="L93" s="34"/>
    </row>
    <row r="94" spans="1:13" ht="15" hidden="1" customHeight="1" x14ac:dyDescent="0.25">
      <c r="A94" s="55" t="s">
        <v>45</v>
      </c>
      <c r="B94" s="55"/>
      <c r="C94" s="55"/>
      <c r="D94" s="55"/>
      <c r="E94" s="55"/>
      <c r="F94" s="38">
        <v>6556</v>
      </c>
      <c r="G94" s="7">
        <v>0.45</v>
      </c>
      <c r="H94" s="3">
        <f t="shared" si="9"/>
        <v>35402.400000000001</v>
      </c>
      <c r="I94" s="7">
        <f t="shared" si="10"/>
        <v>46093.924800000001</v>
      </c>
      <c r="J94" s="7">
        <f t="shared" si="12"/>
        <v>2800</v>
      </c>
      <c r="K94" s="7">
        <f t="shared" si="11"/>
        <v>16.462116000000002</v>
      </c>
      <c r="L94" s="34"/>
    </row>
    <row r="95" spans="1:13" ht="15" hidden="1" customHeight="1" x14ac:dyDescent="0.25">
      <c r="A95" s="55" t="s">
        <v>48</v>
      </c>
      <c r="B95" s="55"/>
      <c r="C95" s="55"/>
      <c r="D95" s="55"/>
      <c r="E95" s="55"/>
      <c r="F95" s="38">
        <v>5669</v>
      </c>
      <c r="G95" s="7">
        <v>0.23</v>
      </c>
      <c r="H95" s="3">
        <f t="shared" si="9"/>
        <v>15646.44</v>
      </c>
      <c r="I95" s="7">
        <f t="shared" si="10"/>
        <v>20371.66488</v>
      </c>
      <c r="J95" s="7">
        <f t="shared" si="12"/>
        <v>2800</v>
      </c>
      <c r="K95" s="7">
        <f t="shared" si="11"/>
        <v>7.2755945999999998</v>
      </c>
      <c r="L95" s="34"/>
    </row>
    <row r="96" spans="1:13" ht="15.75" hidden="1" customHeight="1" x14ac:dyDescent="0.25">
      <c r="A96" s="55" t="s">
        <v>89</v>
      </c>
      <c r="B96" s="55"/>
      <c r="C96" s="55"/>
      <c r="D96" s="55"/>
      <c r="E96" s="55"/>
      <c r="F96" s="38">
        <v>11538</v>
      </c>
      <c r="G96" s="7">
        <v>3.15</v>
      </c>
      <c r="H96" s="3">
        <f t="shared" si="9"/>
        <v>436136.39999999997</v>
      </c>
      <c r="I96" s="7">
        <f t="shared" si="10"/>
        <v>567849.59279999998</v>
      </c>
      <c r="J96" s="7">
        <f t="shared" si="12"/>
        <v>2800</v>
      </c>
      <c r="K96" s="7">
        <f t="shared" si="11"/>
        <v>202.803426</v>
      </c>
      <c r="L96" s="34"/>
    </row>
    <row r="97" spans="1:13" ht="15.75" hidden="1" customHeight="1" x14ac:dyDescent="0.25">
      <c r="A97" s="55" t="s">
        <v>50</v>
      </c>
      <c r="B97" s="55"/>
      <c r="C97" s="55"/>
      <c r="D97" s="55"/>
      <c r="E97" s="55"/>
      <c r="F97" s="38">
        <v>8837</v>
      </c>
      <c r="G97" s="7">
        <v>3.6</v>
      </c>
      <c r="H97" s="3">
        <f t="shared" si="9"/>
        <v>381758.4</v>
      </c>
      <c r="I97" s="7">
        <f t="shared" si="10"/>
        <v>497049.43680000002</v>
      </c>
      <c r="J97" s="7">
        <f t="shared" si="12"/>
        <v>2800</v>
      </c>
      <c r="K97" s="7">
        <f t="shared" si="11"/>
        <v>177.51765600000002</v>
      </c>
      <c r="L97" s="34"/>
    </row>
    <row r="98" spans="1:13" ht="15.75" hidden="1" customHeight="1" x14ac:dyDescent="0.25">
      <c r="A98" s="55" t="s">
        <v>91</v>
      </c>
      <c r="B98" s="55"/>
      <c r="C98" s="55"/>
      <c r="D98" s="55"/>
      <c r="E98" s="55"/>
      <c r="F98" s="38">
        <v>11538</v>
      </c>
      <c r="G98" s="7">
        <v>0.45</v>
      </c>
      <c r="H98" s="3">
        <f t="shared" si="9"/>
        <v>62305.200000000004</v>
      </c>
      <c r="I98" s="7">
        <f t="shared" si="10"/>
        <v>81121.370400000014</v>
      </c>
      <c r="J98" s="7">
        <f t="shared" si="12"/>
        <v>2800</v>
      </c>
      <c r="K98" s="7">
        <f t="shared" si="11"/>
        <v>28.971918000000006</v>
      </c>
      <c r="L98" s="34"/>
    </row>
    <row r="99" spans="1:13" ht="15.75" hidden="1" customHeight="1" x14ac:dyDescent="0.25">
      <c r="A99" s="55" t="s">
        <v>92</v>
      </c>
      <c r="B99" s="55"/>
      <c r="C99" s="55"/>
      <c r="D99" s="55"/>
      <c r="E99" s="55"/>
      <c r="F99" s="38">
        <v>11538</v>
      </c>
      <c r="G99" s="7">
        <v>0.45</v>
      </c>
      <c r="H99" s="3">
        <f t="shared" si="9"/>
        <v>62305.200000000004</v>
      </c>
      <c r="I99" s="7">
        <f t="shared" si="10"/>
        <v>81121.370400000014</v>
      </c>
      <c r="J99" s="7">
        <f t="shared" si="12"/>
        <v>2800</v>
      </c>
      <c r="K99" s="7">
        <f t="shared" si="11"/>
        <v>28.971918000000006</v>
      </c>
      <c r="L99" s="34"/>
    </row>
    <row r="100" spans="1:13" ht="13.5" hidden="1" customHeight="1" x14ac:dyDescent="0.25">
      <c r="A100" s="55" t="s">
        <v>93</v>
      </c>
      <c r="B100" s="55"/>
      <c r="C100" s="55"/>
      <c r="D100" s="55"/>
      <c r="E100" s="55"/>
      <c r="F100" s="38">
        <v>11538</v>
      </c>
      <c r="G100" s="7">
        <v>0.45</v>
      </c>
      <c r="H100" s="3">
        <f>F100*12*G100</f>
        <v>62305.200000000004</v>
      </c>
      <c r="I100" s="7">
        <f t="shared" si="10"/>
        <v>81121.370400000014</v>
      </c>
      <c r="J100" s="7">
        <f t="shared" si="12"/>
        <v>2800</v>
      </c>
      <c r="K100" s="7">
        <f t="shared" si="11"/>
        <v>28.971918000000006</v>
      </c>
      <c r="L100" s="34"/>
    </row>
    <row r="101" spans="1:13" ht="17.25" hidden="1" customHeight="1" x14ac:dyDescent="0.25">
      <c r="A101" s="55" t="s">
        <v>52</v>
      </c>
      <c r="B101" s="55"/>
      <c r="C101" s="55"/>
      <c r="D101" s="55"/>
      <c r="E101" s="55"/>
      <c r="F101" s="38">
        <v>8837</v>
      </c>
      <c r="G101" s="7">
        <v>4.28</v>
      </c>
      <c r="H101" s="3">
        <f t="shared" si="9"/>
        <v>453868.32</v>
      </c>
      <c r="I101" s="7">
        <f t="shared" si="10"/>
        <v>590936.55264000001</v>
      </c>
      <c r="J101" s="7">
        <f t="shared" si="12"/>
        <v>2800</v>
      </c>
      <c r="K101" s="7">
        <f t="shared" si="11"/>
        <v>211.0487688</v>
      </c>
      <c r="L101" s="34"/>
    </row>
    <row r="102" spans="1:13" ht="17.25" hidden="1" customHeight="1" x14ac:dyDescent="0.25">
      <c r="A102" s="55" t="s">
        <v>94</v>
      </c>
      <c r="B102" s="55"/>
      <c r="C102" s="55"/>
      <c r="D102" s="55"/>
      <c r="E102" s="55"/>
      <c r="F102" s="38">
        <v>11538</v>
      </c>
      <c r="G102" s="7">
        <v>0.45</v>
      </c>
      <c r="H102" s="3">
        <f t="shared" si="9"/>
        <v>62305.200000000004</v>
      </c>
      <c r="I102" s="7">
        <f t="shared" si="10"/>
        <v>81121.370400000014</v>
      </c>
      <c r="J102" s="7">
        <f t="shared" si="12"/>
        <v>2800</v>
      </c>
      <c r="K102" s="7">
        <f t="shared" si="11"/>
        <v>28.971918000000006</v>
      </c>
      <c r="L102" s="34"/>
    </row>
    <row r="103" spans="1:13" s="9" customFormat="1" ht="20.25" customHeight="1" x14ac:dyDescent="0.25">
      <c r="A103" s="39" t="s">
        <v>22</v>
      </c>
      <c r="B103" s="40"/>
      <c r="C103" s="40"/>
      <c r="D103" s="40"/>
      <c r="E103" s="40"/>
      <c r="F103" s="2">
        <v>6265.66</v>
      </c>
      <c r="G103" s="2">
        <f>SUM(G87:G102)</f>
        <v>18.459999999999997</v>
      </c>
      <c r="H103" s="41">
        <f>F103*G103*12</f>
        <v>1387969.0031999997</v>
      </c>
      <c r="I103" s="5">
        <f>(H103*1.302)-1.22</f>
        <v>1807134.4221663997</v>
      </c>
      <c r="J103" s="5">
        <v>2800</v>
      </c>
      <c r="K103" s="5">
        <f>I103/J102</f>
        <v>645.40515077371413</v>
      </c>
      <c r="L103" s="34"/>
      <c r="M103" s="8">
        <f>I103+'Услуга №2 '!I115+'Работа №1'!I102+'Работа №2'!I113+'Работа №3'!I116</f>
        <v>2262153.0256743999</v>
      </c>
    </row>
    <row r="104" spans="1:13" ht="12" customHeight="1" x14ac:dyDescent="0.25">
      <c r="F104" s="42"/>
      <c r="G104" s="42"/>
      <c r="H104" s="42"/>
      <c r="I104" s="42"/>
      <c r="J104" s="42"/>
      <c r="K104" s="42"/>
      <c r="L104" s="42"/>
    </row>
    <row r="105" spans="1:13" s="9" customFormat="1" x14ac:dyDescent="0.25">
      <c r="A105" s="58" t="s">
        <v>78</v>
      </c>
      <c r="B105" s="58"/>
      <c r="C105" s="58"/>
      <c r="D105" s="58"/>
      <c r="E105" s="58"/>
      <c r="F105" s="58"/>
      <c r="G105" s="58"/>
      <c r="H105" s="58"/>
      <c r="I105" s="58"/>
      <c r="J105" s="58"/>
      <c r="K105" s="58"/>
      <c r="L105" s="59"/>
      <c r="M105" s="8"/>
    </row>
    <row r="106" spans="1:13" s="9" customFormat="1" ht="44.25" customHeight="1" x14ac:dyDescent="0.25">
      <c r="A106" s="79" t="s">
        <v>54</v>
      </c>
      <c r="B106" s="79"/>
      <c r="C106" s="79"/>
      <c r="D106" s="79"/>
      <c r="E106" s="79"/>
      <c r="F106" s="23" t="s">
        <v>7</v>
      </c>
      <c r="G106" s="23" t="s">
        <v>65</v>
      </c>
      <c r="H106" s="23" t="s">
        <v>64</v>
      </c>
      <c r="I106" s="23" t="s">
        <v>73</v>
      </c>
      <c r="J106" s="23" t="s">
        <v>68</v>
      </c>
      <c r="K106" s="27" t="s">
        <v>69</v>
      </c>
      <c r="L106" s="28"/>
      <c r="M106" s="8"/>
    </row>
    <row r="107" spans="1:13" s="9" customFormat="1" ht="23.25" customHeight="1" x14ac:dyDescent="0.25">
      <c r="A107" s="65" t="s">
        <v>122</v>
      </c>
      <c r="B107" s="68"/>
      <c r="C107" s="68"/>
      <c r="D107" s="68"/>
      <c r="E107" s="69"/>
      <c r="F107" s="23"/>
      <c r="G107" s="43"/>
      <c r="H107" s="43"/>
      <c r="I107" s="43">
        <f>124060*45%</f>
        <v>55827</v>
      </c>
      <c r="J107" s="43">
        <v>2800</v>
      </c>
      <c r="K107" s="32">
        <f>I107/J107</f>
        <v>19.938214285714285</v>
      </c>
      <c r="L107" s="28"/>
      <c r="M107" s="8"/>
    </row>
    <row r="108" spans="1:13" s="9" customFormat="1" ht="30.75" customHeight="1" x14ac:dyDescent="0.25">
      <c r="A108" s="71" t="s">
        <v>123</v>
      </c>
      <c r="B108" s="72"/>
      <c r="C108" s="72"/>
      <c r="D108" s="72"/>
      <c r="E108" s="73"/>
      <c r="F108" s="23"/>
      <c r="G108" s="43"/>
      <c r="H108" s="43"/>
      <c r="I108" s="43">
        <f>200000*45%</f>
        <v>90000</v>
      </c>
      <c r="J108" s="43">
        <v>2800</v>
      </c>
      <c r="K108" s="32">
        <f t="shared" ref="K108" si="13">I108/J108</f>
        <v>32.142857142857146</v>
      </c>
      <c r="L108" s="28"/>
      <c r="M108" s="8"/>
    </row>
    <row r="109" spans="1:13" s="9" customFormat="1" x14ac:dyDescent="0.25">
      <c r="A109" s="56" t="s">
        <v>79</v>
      </c>
      <c r="B109" s="57"/>
      <c r="C109" s="57"/>
      <c r="D109" s="57"/>
      <c r="E109" s="57"/>
      <c r="F109" s="57"/>
      <c r="G109" s="57"/>
      <c r="H109" s="57"/>
      <c r="I109" s="5">
        <f>SUM(I107:I108)</f>
        <v>145827</v>
      </c>
      <c r="J109" s="5">
        <v>2800</v>
      </c>
      <c r="K109" s="5">
        <f>I109/J109</f>
        <v>52.081071428571427</v>
      </c>
      <c r="L109" s="30"/>
      <c r="M109" s="8">
        <f>I109+'Услуга №2 '!I121+'Работа №1'!I108+'Работа №2'!I119+'Работа №3'!I122</f>
        <v>324059.99999999994</v>
      </c>
    </row>
    <row r="110" spans="1:13" ht="12" customHeight="1" x14ac:dyDescent="0.25">
      <c r="F110" s="42"/>
      <c r="G110" s="42"/>
      <c r="H110" s="42"/>
      <c r="I110" s="42"/>
      <c r="J110" s="42"/>
      <c r="K110" s="42"/>
      <c r="L110" s="42"/>
    </row>
    <row r="111" spans="1:13" s="9" customFormat="1" x14ac:dyDescent="0.25">
      <c r="A111" s="58" t="s">
        <v>124</v>
      </c>
      <c r="B111" s="58"/>
      <c r="C111" s="58"/>
      <c r="D111" s="58"/>
      <c r="E111" s="58"/>
      <c r="F111" s="58"/>
      <c r="G111" s="58"/>
      <c r="H111" s="58"/>
      <c r="I111" s="58"/>
      <c r="J111" s="58"/>
      <c r="K111" s="58"/>
      <c r="L111" s="59"/>
      <c r="M111" s="8"/>
    </row>
    <row r="112" spans="1:13" s="9" customFormat="1" ht="44.25" customHeight="1" x14ac:dyDescent="0.25">
      <c r="A112" s="79" t="s">
        <v>54</v>
      </c>
      <c r="B112" s="79"/>
      <c r="C112" s="79"/>
      <c r="D112" s="79"/>
      <c r="E112" s="79"/>
      <c r="F112" s="23" t="s">
        <v>7</v>
      </c>
      <c r="G112" s="23" t="s">
        <v>65</v>
      </c>
      <c r="H112" s="23" t="s">
        <v>64</v>
      </c>
      <c r="I112" s="23" t="s">
        <v>73</v>
      </c>
      <c r="J112" s="23" t="s">
        <v>68</v>
      </c>
      <c r="K112" s="27" t="s">
        <v>69</v>
      </c>
      <c r="L112" s="28"/>
      <c r="M112" s="8"/>
    </row>
    <row r="113" spans="1:13" s="9" customFormat="1" ht="23.25" customHeight="1" x14ac:dyDescent="0.25">
      <c r="A113" s="65" t="s">
        <v>125</v>
      </c>
      <c r="B113" s="68"/>
      <c r="C113" s="68"/>
      <c r="D113" s="68"/>
      <c r="E113" s="69"/>
      <c r="F113" s="23"/>
      <c r="G113" s="43"/>
      <c r="H113" s="43"/>
      <c r="I113" s="43">
        <f>138850*45%</f>
        <v>62482.5</v>
      </c>
      <c r="J113" s="43">
        <v>2800</v>
      </c>
      <c r="K113" s="32">
        <f>I113/J113</f>
        <v>22.315178571428572</v>
      </c>
      <c r="L113" s="28"/>
      <c r="M113" s="8"/>
    </row>
    <row r="114" spans="1:13" s="9" customFormat="1" x14ac:dyDescent="0.25">
      <c r="A114" s="56" t="s">
        <v>126</v>
      </c>
      <c r="B114" s="57"/>
      <c r="C114" s="57"/>
      <c r="D114" s="57"/>
      <c r="E114" s="57"/>
      <c r="F114" s="57"/>
      <c r="G114" s="57"/>
      <c r="H114" s="57"/>
      <c r="I114" s="5">
        <f>SUM(I113:I113)</f>
        <v>62482.5</v>
      </c>
      <c r="J114" s="5">
        <v>2800</v>
      </c>
      <c r="K114" s="5">
        <f>I114/J114</f>
        <v>22.315178571428572</v>
      </c>
      <c r="L114" s="30"/>
      <c r="M114" s="8">
        <f>I114+'Услуга №2 '!I126+'Работа №1'!I113+'Работа №2'!I124+'Работа №3'!I127</f>
        <v>138850</v>
      </c>
    </row>
    <row r="115" spans="1:13" s="9" customFormat="1" x14ac:dyDescent="0.25">
      <c r="A115" s="44"/>
      <c r="B115" s="44"/>
      <c r="C115" s="44"/>
      <c r="D115" s="44"/>
      <c r="E115" s="44"/>
      <c r="F115" s="44"/>
      <c r="G115" s="44"/>
      <c r="H115" s="44"/>
      <c r="I115" s="15"/>
      <c r="J115" s="15"/>
      <c r="K115" s="15"/>
      <c r="L115" s="34"/>
      <c r="M115" s="8"/>
    </row>
    <row r="116" spans="1:13" ht="12.75" customHeight="1" x14ac:dyDescent="0.25">
      <c r="A116" s="58" t="s">
        <v>23</v>
      </c>
      <c r="B116" s="58"/>
      <c r="C116" s="58"/>
      <c r="D116" s="58"/>
      <c r="E116" s="58"/>
      <c r="F116" s="58"/>
      <c r="G116" s="58"/>
      <c r="H116" s="58"/>
      <c r="I116" s="58"/>
      <c r="J116" s="58"/>
      <c r="K116" s="58"/>
      <c r="L116" s="58"/>
    </row>
    <row r="117" spans="1:13" ht="15" customHeight="1" x14ac:dyDescent="0.25">
      <c r="A117" s="80" t="s">
        <v>24</v>
      </c>
      <c r="B117" s="80"/>
      <c r="C117" s="80"/>
      <c r="D117" s="62" t="s">
        <v>25</v>
      </c>
      <c r="E117" s="63"/>
      <c r="F117" s="63"/>
      <c r="G117" s="63"/>
      <c r="H117" s="63"/>
      <c r="I117" s="63"/>
      <c r="J117" s="64"/>
      <c r="K117" s="80" t="s">
        <v>36</v>
      </c>
      <c r="L117" s="80"/>
    </row>
    <row r="118" spans="1:13" ht="30" x14ac:dyDescent="0.25">
      <c r="A118" s="7" t="s">
        <v>26</v>
      </c>
      <c r="B118" s="25" t="s">
        <v>27</v>
      </c>
      <c r="C118" s="7" t="s">
        <v>28</v>
      </c>
      <c r="D118" s="7" t="s">
        <v>29</v>
      </c>
      <c r="E118" s="7" t="s">
        <v>30</v>
      </c>
      <c r="F118" s="7" t="s">
        <v>31</v>
      </c>
      <c r="G118" s="7" t="s">
        <v>32</v>
      </c>
      <c r="H118" s="7" t="s">
        <v>33</v>
      </c>
      <c r="I118" s="7" t="s">
        <v>34</v>
      </c>
      <c r="J118" s="7" t="s">
        <v>35</v>
      </c>
      <c r="K118" s="80"/>
      <c r="L118" s="80"/>
    </row>
    <row r="119" spans="1:13" x14ac:dyDescent="0.25">
      <c r="A119" s="7">
        <f>K50</f>
        <v>1944.0406203119999</v>
      </c>
      <c r="B119" s="7"/>
      <c r="C119" s="7"/>
      <c r="D119" s="7">
        <f>K59</f>
        <v>194.44031035714289</v>
      </c>
      <c r="E119" s="7">
        <f>K68</f>
        <v>84.905164285714292</v>
      </c>
      <c r="F119" s="7"/>
      <c r="G119" s="7">
        <f>K83</f>
        <v>9.2137499999999992</v>
      </c>
      <c r="H119" s="7"/>
      <c r="I119" s="7">
        <f>K103</f>
        <v>645.40515077371413</v>
      </c>
      <c r="J119" s="7">
        <f>K109+K114+K75</f>
        <v>85.290412500000002</v>
      </c>
      <c r="K119" s="77">
        <f>SUM(A119:J119)</f>
        <v>2963.295408228571</v>
      </c>
      <c r="L119" s="78"/>
    </row>
    <row r="120" spans="1:13" ht="13.5" customHeight="1" x14ac:dyDescent="0.25"/>
    <row r="121" spans="1:13" ht="15.75" x14ac:dyDescent="0.25">
      <c r="A121" s="16" t="s">
        <v>60</v>
      </c>
      <c r="B121" s="16"/>
      <c r="C121" s="16"/>
      <c r="D121" s="16"/>
      <c r="E121" s="16"/>
      <c r="F121" s="16" t="s">
        <v>61</v>
      </c>
    </row>
    <row r="122" spans="1:13" ht="15.75" customHeight="1" x14ac:dyDescent="0.25">
      <c r="I122" s="11">
        <f>I109+I83+I75+I68+I59+I50+I114+I103+0.01</f>
        <v>8297227.1530399993</v>
      </c>
      <c r="J122" s="10"/>
      <c r="K122" s="11">
        <f>K119*J113+0.01</f>
        <v>8297227.1530399984</v>
      </c>
      <c r="L122" s="12"/>
    </row>
    <row r="123" spans="1:13" ht="10.5" customHeight="1" x14ac:dyDescent="0.25"/>
    <row r="124" spans="1:13" hidden="1" x14ac:dyDescent="0.25"/>
    <row r="125" spans="1:13" hidden="1" x14ac:dyDescent="0.25"/>
    <row r="126" spans="1:13" ht="13.5" customHeight="1" x14ac:dyDescent="0.25">
      <c r="A126" s="45" t="s">
        <v>127</v>
      </c>
      <c r="B126" s="45"/>
      <c r="C126" s="45"/>
    </row>
    <row r="127" spans="1:13" x14ac:dyDescent="0.25">
      <c r="A127" s="45" t="s">
        <v>62</v>
      </c>
      <c r="B127" s="45"/>
      <c r="C127" s="45"/>
    </row>
  </sheetData>
  <mergeCells count="117">
    <mergeCell ref="A7:L7"/>
    <mergeCell ref="A8:L8"/>
    <mergeCell ref="A9:L9"/>
    <mergeCell ref="A82:E82"/>
    <mergeCell ref="A32:E32"/>
    <mergeCell ref="G32:K32"/>
    <mergeCell ref="A36:E36"/>
    <mergeCell ref="A37:E37"/>
    <mergeCell ref="A33:E33"/>
    <mergeCell ref="G33:K33"/>
    <mergeCell ref="A38:E38"/>
    <mergeCell ref="A39:E39"/>
    <mergeCell ref="A40:E40"/>
    <mergeCell ref="A44:E44"/>
    <mergeCell ref="A45:E45"/>
    <mergeCell ref="A49:E49"/>
    <mergeCell ref="A77:L77"/>
    <mergeCell ref="A78:E78"/>
    <mergeCell ref="A56:E56"/>
    <mergeCell ref="A57:E57"/>
    <mergeCell ref="A50:E50"/>
    <mergeCell ref="A58:E58"/>
    <mergeCell ref="A63:E63"/>
    <mergeCell ref="A64:E64"/>
    <mergeCell ref="K117:L118"/>
    <mergeCell ref="A117:C117"/>
    <mergeCell ref="D117:J117"/>
    <mergeCell ref="A94:E94"/>
    <mergeCell ref="A95:E95"/>
    <mergeCell ref="A96:E96"/>
    <mergeCell ref="A100:E100"/>
    <mergeCell ref="A101:E101"/>
    <mergeCell ref="A97:E97"/>
    <mergeCell ref="A98:E98"/>
    <mergeCell ref="A99:E99"/>
    <mergeCell ref="A116:L116"/>
    <mergeCell ref="A106:E106"/>
    <mergeCell ref="A109:H109"/>
    <mergeCell ref="A102:E102"/>
    <mergeCell ref="A107:E107"/>
    <mergeCell ref="A108:E108"/>
    <mergeCell ref="A111:L111"/>
    <mergeCell ref="A112:E112"/>
    <mergeCell ref="A113:E113"/>
    <mergeCell ref="A114:H114"/>
    <mergeCell ref="G26:K26"/>
    <mergeCell ref="A27:E27"/>
    <mergeCell ref="A31:E31"/>
    <mergeCell ref="G31:K31"/>
    <mergeCell ref="A46:E46"/>
    <mergeCell ref="A4:F4"/>
    <mergeCell ref="A5:D5"/>
    <mergeCell ref="K119:L119"/>
    <mergeCell ref="A53:E53"/>
    <mergeCell ref="A54:E54"/>
    <mergeCell ref="A55:E55"/>
    <mergeCell ref="A41:E41"/>
    <mergeCell ref="A42:E42"/>
    <mergeCell ref="A43:E43"/>
    <mergeCell ref="A16:E16"/>
    <mergeCell ref="G16:K16"/>
    <mergeCell ref="A17:E17"/>
    <mergeCell ref="G17:K17"/>
    <mergeCell ref="A18:E18"/>
    <mergeCell ref="G18:K18"/>
    <mergeCell ref="A22:E22"/>
    <mergeCell ref="G22:K22"/>
    <mergeCell ref="A23:E23"/>
    <mergeCell ref="G23:K23"/>
    <mergeCell ref="A90:E90"/>
    <mergeCell ref="A91:E91"/>
    <mergeCell ref="A92:E92"/>
    <mergeCell ref="A93:E93"/>
    <mergeCell ref="A74:E74"/>
    <mergeCell ref="A62:E62"/>
    <mergeCell ref="A47:E47"/>
    <mergeCell ref="A48:E48"/>
    <mergeCell ref="A52:L52"/>
    <mergeCell ref="A80:E80"/>
    <mergeCell ref="A81:E81"/>
    <mergeCell ref="A65:E65"/>
    <mergeCell ref="A66:E66"/>
    <mergeCell ref="A67:E67"/>
    <mergeCell ref="A88:E88"/>
    <mergeCell ref="A89:E89"/>
    <mergeCell ref="A85:L85"/>
    <mergeCell ref="A86:E86"/>
    <mergeCell ref="A72:E72"/>
    <mergeCell ref="A87:E87"/>
    <mergeCell ref="A83:H83"/>
    <mergeCell ref="A79:E79"/>
    <mergeCell ref="A61:L61"/>
    <mergeCell ref="A75:H75"/>
    <mergeCell ref="A19:E19"/>
    <mergeCell ref="G19:K19"/>
    <mergeCell ref="A20:E20"/>
    <mergeCell ref="G20:K20"/>
    <mergeCell ref="A21:E21"/>
    <mergeCell ref="A59:H59"/>
    <mergeCell ref="A105:L105"/>
    <mergeCell ref="G21:K21"/>
    <mergeCell ref="G27:K27"/>
    <mergeCell ref="A24:E24"/>
    <mergeCell ref="G24:K24"/>
    <mergeCell ref="A28:E28"/>
    <mergeCell ref="G28:K28"/>
    <mergeCell ref="A29:E29"/>
    <mergeCell ref="G29:K29"/>
    <mergeCell ref="A30:E30"/>
    <mergeCell ref="G30:K30"/>
    <mergeCell ref="A25:E25"/>
    <mergeCell ref="G25:K25"/>
    <mergeCell ref="A26:E26"/>
    <mergeCell ref="A68:H68"/>
    <mergeCell ref="A70:L70"/>
    <mergeCell ref="A71:E71"/>
    <mergeCell ref="A73:E73"/>
  </mergeCells>
  <pageMargins left="0.35433070866141736" right="0.35433070866141736" top="0.35433070866141736" bottom="0.35433070866141736" header="0.31496062992125984" footer="0.31496062992125984"/>
  <pageSetup paperSize="9" scale="78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9"/>
  <sheetViews>
    <sheetView topLeftCell="A118" zoomScale="90" zoomScaleNormal="90" workbookViewId="0">
      <selection activeCell="H138" sqref="H138"/>
    </sheetView>
  </sheetViews>
  <sheetFormatPr defaultRowHeight="15" x14ac:dyDescent="0.25"/>
  <cols>
    <col min="1" max="3" width="9.140625" style="9" customWidth="1"/>
    <col min="4" max="4" width="10.28515625" style="9" customWidth="1"/>
    <col min="5" max="5" width="16.85546875" style="9" customWidth="1"/>
    <col min="6" max="6" width="11.28515625" style="9" customWidth="1"/>
    <col min="7" max="7" width="14.28515625" style="9" customWidth="1"/>
    <col min="8" max="8" width="17.42578125" style="9" customWidth="1"/>
    <col min="9" max="9" width="13.7109375" style="9" customWidth="1"/>
    <col min="10" max="10" width="13.5703125" style="9" customWidth="1"/>
    <col min="11" max="11" width="14" style="9" customWidth="1"/>
    <col min="12" max="12" width="7.7109375" style="9" customWidth="1"/>
    <col min="13" max="13" width="13.5703125" style="9" customWidth="1"/>
    <col min="14" max="16384" width="9.140625" style="9"/>
  </cols>
  <sheetData>
    <row r="1" spans="1:12" s="21" customFormat="1" x14ac:dyDescent="0.25">
      <c r="A1" s="46" t="s">
        <v>57</v>
      </c>
      <c r="B1" s="46"/>
      <c r="C1" s="46"/>
      <c r="D1" s="1"/>
    </row>
    <row r="2" spans="1:12" s="21" customFormat="1" x14ac:dyDescent="0.25">
      <c r="A2" s="47" t="s">
        <v>58</v>
      </c>
      <c r="B2" s="47"/>
      <c r="C2" s="47"/>
      <c r="D2" s="1"/>
    </row>
    <row r="3" spans="1:12" s="21" customFormat="1" x14ac:dyDescent="0.25">
      <c r="A3" s="48"/>
      <c r="B3" s="48"/>
      <c r="C3" s="48"/>
      <c r="D3" s="1"/>
    </row>
    <row r="4" spans="1:12" s="21" customFormat="1" x14ac:dyDescent="0.25">
      <c r="A4" s="86" t="s">
        <v>59</v>
      </c>
      <c r="B4" s="86"/>
      <c r="C4" s="86"/>
      <c r="D4" s="87"/>
      <c r="E4" s="87"/>
      <c r="F4" s="87"/>
    </row>
    <row r="5" spans="1:12" s="21" customFormat="1" x14ac:dyDescent="0.25">
      <c r="A5" s="88" t="s">
        <v>107</v>
      </c>
      <c r="B5" s="88"/>
      <c r="C5" s="88"/>
      <c r="D5" s="87"/>
    </row>
    <row r="6" spans="1:12" s="21" customFormat="1" x14ac:dyDescent="0.25"/>
    <row r="7" spans="1:12" s="21" customFormat="1" hidden="1" x14ac:dyDescent="0.25"/>
    <row r="8" spans="1:12" s="21" customFormat="1" x14ac:dyDescent="0.25">
      <c r="A8" s="81" t="s">
        <v>63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21" customFormat="1" x14ac:dyDescent="0.25">
      <c r="A9" s="81" t="s">
        <v>106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s="21" customFormat="1" x14ac:dyDescent="0.25">
      <c r="A10" s="81" t="s">
        <v>108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</row>
    <row r="11" spans="1:12" s="21" customFormat="1" x14ac:dyDescent="0.25"/>
    <row r="12" spans="1:12" s="21" customFormat="1" x14ac:dyDescent="0.25">
      <c r="A12" s="49" t="s">
        <v>95</v>
      </c>
    </row>
    <row r="13" spans="1:12" s="21" customFormat="1" x14ac:dyDescent="0.25">
      <c r="A13" s="49" t="s">
        <v>130</v>
      </c>
    </row>
    <row r="14" spans="1:12" s="21" customFormat="1" x14ac:dyDescent="0.25">
      <c r="A14" s="49" t="s">
        <v>134</v>
      </c>
    </row>
    <row r="15" spans="1:12" s="21" customFormat="1" x14ac:dyDescent="0.25">
      <c r="A15" s="49" t="s">
        <v>132</v>
      </c>
    </row>
    <row r="16" spans="1:12" s="21" customFormat="1" x14ac:dyDescent="0.25">
      <c r="A16" s="22" t="s">
        <v>111</v>
      </c>
      <c r="B16" s="8"/>
      <c r="C16" s="8"/>
      <c r="D16" s="8"/>
      <c r="E16" s="8"/>
    </row>
    <row r="17" spans="1:12" s="8" customFormat="1" ht="33" customHeight="1" x14ac:dyDescent="0.25">
      <c r="A17" s="80" t="s">
        <v>0</v>
      </c>
      <c r="B17" s="80"/>
      <c r="C17" s="80"/>
      <c r="D17" s="80"/>
      <c r="E17" s="80"/>
      <c r="F17" s="23" t="s">
        <v>1</v>
      </c>
      <c r="G17" s="80" t="s">
        <v>2</v>
      </c>
      <c r="H17" s="80"/>
      <c r="I17" s="80"/>
      <c r="J17" s="80"/>
      <c r="K17" s="80"/>
      <c r="L17" s="23" t="s">
        <v>1</v>
      </c>
    </row>
    <row r="18" spans="1:12" s="8" customFormat="1" ht="15" customHeight="1" x14ac:dyDescent="0.25">
      <c r="A18" s="55" t="s">
        <v>41</v>
      </c>
      <c r="B18" s="55"/>
      <c r="C18" s="55"/>
      <c r="D18" s="55"/>
      <c r="E18" s="55"/>
      <c r="F18" s="7">
        <v>0.48</v>
      </c>
      <c r="G18" s="55" t="s">
        <v>3</v>
      </c>
      <c r="H18" s="55"/>
      <c r="I18" s="55"/>
      <c r="J18" s="55"/>
      <c r="K18" s="55"/>
      <c r="L18" s="7">
        <v>0.48</v>
      </c>
    </row>
    <row r="19" spans="1:12" s="8" customFormat="1" ht="15" customHeight="1" x14ac:dyDescent="0.25">
      <c r="A19" s="55" t="s">
        <v>81</v>
      </c>
      <c r="B19" s="55"/>
      <c r="C19" s="55"/>
      <c r="D19" s="55"/>
      <c r="E19" s="55"/>
      <c r="F19" s="7">
        <v>0.48</v>
      </c>
      <c r="G19" s="55" t="s">
        <v>42</v>
      </c>
      <c r="H19" s="55"/>
      <c r="I19" s="55"/>
      <c r="J19" s="55"/>
      <c r="K19" s="55"/>
      <c r="L19" s="7">
        <v>0.48</v>
      </c>
    </row>
    <row r="20" spans="1:12" s="8" customFormat="1" ht="15" customHeight="1" x14ac:dyDescent="0.25">
      <c r="A20" s="55" t="s">
        <v>44</v>
      </c>
      <c r="B20" s="55"/>
      <c r="C20" s="55"/>
      <c r="D20" s="55"/>
      <c r="E20" s="55"/>
      <c r="F20" s="7">
        <v>0.48</v>
      </c>
      <c r="G20" s="55" t="s">
        <v>48</v>
      </c>
      <c r="H20" s="55"/>
      <c r="I20" s="55"/>
      <c r="J20" s="55"/>
      <c r="K20" s="55"/>
      <c r="L20" s="7">
        <v>0.24</v>
      </c>
    </row>
    <row r="21" spans="1:12" s="8" customFormat="1" ht="15" customHeight="1" x14ac:dyDescent="0.25">
      <c r="A21" s="55" t="s">
        <v>43</v>
      </c>
      <c r="B21" s="55"/>
      <c r="C21" s="55"/>
      <c r="D21" s="55"/>
      <c r="E21" s="55"/>
      <c r="F21" s="7">
        <v>0.48</v>
      </c>
      <c r="G21" s="55"/>
      <c r="H21" s="55"/>
      <c r="I21" s="55"/>
      <c r="J21" s="55"/>
      <c r="K21" s="55"/>
      <c r="L21" s="7"/>
    </row>
    <row r="22" spans="1:12" s="8" customFormat="1" ht="15" customHeight="1" x14ac:dyDescent="0.25">
      <c r="A22" s="55" t="s">
        <v>80</v>
      </c>
      <c r="B22" s="55"/>
      <c r="C22" s="55"/>
      <c r="D22" s="55"/>
      <c r="E22" s="55"/>
      <c r="F22" s="7">
        <v>0.48</v>
      </c>
      <c r="G22" s="55"/>
      <c r="H22" s="55"/>
      <c r="I22" s="55"/>
      <c r="J22" s="55"/>
      <c r="K22" s="55"/>
      <c r="L22" s="7"/>
    </row>
    <row r="23" spans="1:12" s="8" customFormat="1" ht="15" customHeight="1" x14ac:dyDescent="0.25">
      <c r="A23" s="55" t="s">
        <v>38</v>
      </c>
      <c r="B23" s="55"/>
      <c r="C23" s="55"/>
      <c r="D23" s="55"/>
      <c r="E23" s="55"/>
      <c r="F23" s="7">
        <v>2.4</v>
      </c>
      <c r="G23" s="55"/>
      <c r="H23" s="55"/>
      <c r="I23" s="55"/>
      <c r="J23" s="55"/>
      <c r="K23" s="55"/>
      <c r="L23" s="7"/>
    </row>
    <row r="24" spans="1:12" s="8" customFormat="1" ht="15" customHeight="1" x14ac:dyDescent="0.25">
      <c r="A24" s="55" t="s">
        <v>83</v>
      </c>
      <c r="B24" s="55"/>
      <c r="C24" s="55"/>
      <c r="D24" s="55"/>
      <c r="E24" s="55"/>
      <c r="F24" s="7">
        <v>0.48</v>
      </c>
      <c r="G24" s="55"/>
      <c r="H24" s="55"/>
      <c r="I24" s="55"/>
      <c r="J24" s="55"/>
      <c r="K24" s="55"/>
      <c r="L24" s="7"/>
    </row>
    <row r="25" spans="1:12" s="8" customFormat="1" ht="15" customHeight="1" x14ac:dyDescent="0.25">
      <c r="A25" s="55" t="s">
        <v>45</v>
      </c>
      <c r="B25" s="55"/>
      <c r="C25" s="55"/>
      <c r="D25" s="55"/>
      <c r="E25" s="55"/>
      <c r="F25" s="7">
        <v>0.48</v>
      </c>
      <c r="G25" s="55"/>
      <c r="H25" s="55"/>
      <c r="I25" s="55"/>
      <c r="J25" s="55"/>
      <c r="K25" s="55"/>
      <c r="L25" s="7"/>
    </row>
    <row r="26" spans="1:12" s="8" customFormat="1" ht="15" customHeight="1" x14ac:dyDescent="0.25">
      <c r="A26" s="55" t="s">
        <v>82</v>
      </c>
      <c r="B26" s="55"/>
      <c r="C26" s="55"/>
      <c r="D26" s="55"/>
      <c r="E26" s="55"/>
      <c r="F26" s="7">
        <v>0.48</v>
      </c>
      <c r="G26" s="55"/>
      <c r="H26" s="55"/>
      <c r="I26" s="55"/>
      <c r="J26" s="55"/>
      <c r="K26" s="55"/>
      <c r="L26" s="7"/>
    </row>
    <row r="27" spans="1:12" s="8" customFormat="1" ht="15" customHeight="1" x14ac:dyDescent="0.25">
      <c r="A27" s="55" t="s">
        <v>46</v>
      </c>
      <c r="B27" s="55"/>
      <c r="C27" s="55"/>
      <c r="D27" s="55"/>
      <c r="E27" s="55"/>
      <c r="F27" s="7">
        <v>0.48</v>
      </c>
      <c r="G27" s="55"/>
      <c r="H27" s="55"/>
      <c r="I27" s="55"/>
      <c r="J27" s="55"/>
      <c r="K27" s="55"/>
      <c r="L27" s="7"/>
    </row>
    <row r="28" spans="1:12" s="8" customFormat="1" ht="15" customHeight="1" x14ac:dyDescent="0.25">
      <c r="A28" s="55" t="s">
        <v>47</v>
      </c>
      <c r="B28" s="55"/>
      <c r="C28" s="55"/>
      <c r="D28" s="55"/>
      <c r="E28" s="55"/>
      <c r="F28" s="7">
        <v>0.48</v>
      </c>
      <c r="G28" s="55"/>
      <c r="H28" s="55"/>
      <c r="I28" s="55"/>
      <c r="J28" s="55"/>
      <c r="K28" s="55"/>
      <c r="L28" s="7"/>
    </row>
    <row r="29" spans="1:12" s="8" customFormat="1" ht="15" customHeight="1" x14ac:dyDescent="0.25">
      <c r="A29" s="55" t="s">
        <v>84</v>
      </c>
      <c r="B29" s="55"/>
      <c r="C29" s="55"/>
      <c r="D29" s="55"/>
      <c r="E29" s="55"/>
      <c r="F29" s="7">
        <v>0.48</v>
      </c>
      <c r="G29" s="55"/>
      <c r="H29" s="55"/>
      <c r="I29" s="55"/>
      <c r="J29" s="55"/>
      <c r="K29" s="55"/>
      <c r="L29" s="7"/>
    </row>
    <row r="30" spans="1:12" s="8" customFormat="1" ht="15" customHeight="1" x14ac:dyDescent="0.25">
      <c r="A30" s="55" t="s">
        <v>85</v>
      </c>
      <c r="B30" s="55"/>
      <c r="C30" s="55"/>
      <c r="D30" s="55"/>
      <c r="E30" s="55"/>
      <c r="F30" s="7">
        <v>0.48</v>
      </c>
      <c r="G30" s="55"/>
      <c r="H30" s="55"/>
      <c r="I30" s="55"/>
      <c r="J30" s="55"/>
      <c r="K30" s="55"/>
      <c r="L30" s="7"/>
    </row>
    <row r="31" spans="1:12" s="8" customFormat="1" ht="15" customHeight="1" x14ac:dyDescent="0.25">
      <c r="A31" s="55" t="s">
        <v>86</v>
      </c>
      <c r="B31" s="55"/>
      <c r="C31" s="55"/>
      <c r="D31" s="55"/>
      <c r="E31" s="55"/>
      <c r="F31" s="7">
        <v>0.48</v>
      </c>
      <c r="G31" s="55"/>
      <c r="H31" s="55"/>
      <c r="I31" s="55"/>
      <c r="J31" s="55"/>
      <c r="K31" s="55"/>
      <c r="L31" s="7"/>
    </row>
    <row r="32" spans="1:12" s="8" customFormat="1" ht="15" customHeight="1" x14ac:dyDescent="0.25">
      <c r="A32" s="55" t="s">
        <v>87</v>
      </c>
      <c r="B32" s="55"/>
      <c r="C32" s="55"/>
      <c r="D32" s="55"/>
      <c r="E32" s="55"/>
      <c r="F32" s="7">
        <v>0.48</v>
      </c>
      <c r="G32" s="55"/>
      <c r="H32" s="55"/>
      <c r="I32" s="55"/>
      <c r="J32" s="55"/>
      <c r="K32" s="55"/>
      <c r="L32" s="7"/>
    </row>
    <row r="33" spans="1:12" s="8" customFormat="1" ht="15" customHeight="1" x14ac:dyDescent="0.25">
      <c r="A33" s="55" t="s">
        <v>88</v>
      </c>
      <c r="B33" s="55"/>
      <c r="C33" s="55"/>
      <c r="D33" s="55"/>
      <c r="E33" s="55"/>
      <c r="F33" s="7">
        <v>0.72</v>
      </c>
      <c r="G33" s="55"/>
      <c r="H33" s="55"/>
      <c r="I33" s="55"/>
      <c r="J33" s="55"/>
      <c r="K33" s="55"/>
      <c r="L33" s="7"/>
    </row>
    <row r="34" spans="1:12" s="8" customFormat="1" ht="15" customHeight="1" x14ac:dyDescent="0.25">
      <c r="A34" s="55" t="s">
        <v>90</v>
      </c>
      <c r="B34" s="55"/>
      <c r="C34" s="55"/>
      <c r="D34" s="55"/>
      <c r="E34" s="55"/>
      <c r="F34" s="7">
        <v>0.48</v>
      </c>
      <c r="G34" s="55"/>
      <c r="H34" s="55"/>
      <c r="I34" s="55"/>
      <c r="J34" s="55"/>
      <c r="K34" s="55"/>
      <c r="L34" s="7"/>
    </row>
    <row r="35" spans="1:12" s="8" customFormat="1" ht="15" customHeight="1" x14ac:dyDescent="0.25">
      <c r="A35" s="55" t="s">
        <v>51</v>
      </c>
      <c r="B35" s="55"/>
      <c r="C35" s="55"/>
      <c r="D35" s="55"/>
      <c r="E35" s="55"/>
      <c r="F35" s="7">
        <v>0.48</v>
      </c>
      <c r="G35" s="55"/>
      <c r="H35" s="55"/>
      <c r="I35" s="55"/>
      <c r="J35" s="55"/>
      <c r="K35" s="55"/>
      <c r="L35" s="7"/>
    </row>
    <row r="36" spans="1:12" s="8" customFormat="1" ht="15" customHeight="1" x14ac:dyDescent="0.25">
      <c r="A36" s="55" t="s">
        <v>49</v>
      </c>
      <c r="B36" s="55"/>
      <c r="C36" s="55"/>
      <c r="D36" s="55"/>
      <c r="E36" s="55"/>
      <c r="F36" s="7">
        <v>0.48</v>
      </c>
      <c r="G36" s="55"/>
      <c r="H36" s="55"/>
      <c r="I36" s="55"/>
      <c r="J36" s="55"/>
      <c r="K36" s="55"/>
      <c r="L36" s="7"/>
    </row>
    <row r="37" spans="1:12" s="8" customFormat="1" ht="15" customHeight="1" x14ac:dyDescent="0.25">
      <c r="A37" s="55" t="s">
        <v>89</v>
      </c>
      <c r="B37" s="55"/>
      <c r="C37" s="55"/>
      <c r="D37" s="55"/>
      <c r="E37" s="55"/>
      <c r="F37" s="7">
        <v>3.36</v>
      </c>
      <c r="G37" s="55"/>
      <c r="H37" s="55"/>
      <c r="I37" s="55"/>
      <c r="J37" s="55"/>
      <c r="K37" s="55"/>
      <c r="L37" s="7"/>
    </row>
    <row r="38" spans="1:12" s="8" customFormat="1" ht="15" customHeight="1" x14ac:dyDescent="0.25">
      <c r="A38" s="55" t="s">
        <v>50</v>
      </c>
      <c r="B38" s="55"/>
      <c r="C38" s="55"/>
      <c r="D38" s="55"/>
      <c r="E38" s="55"/>
      <c r="F38" s="7">
        <v>3.84</v>
      </c>
      <c r="G38" s="55"/>
      <c r="H38" s="55"/>
      <c r="I38" s="55"/>
      <c r="J38" s="55"/>
      <c r="K38" s="55"/>
      <c r="L38" s="7"/>
    </row>
    <row r="39" spans="1:12" s="8" customFormat="1" ht="15" customHeight="1" x14ac:dyDescent="0.25">
      <c r="A39" s="55" t="s">
        <v>91</v>
      </c>
      <c r="B39" s="55"/>
      <c r="C39" s="55"/>
      <c r="D39" s="55"/>
      <c r="E39" s="55"/>
      <c r="F39" s="7">
        <v>0.48</v>
      </c>
      <c r="G39" s="55"/>
      <c r="H39" s="55"/>
      <c r="I39" s="55"/>
      <c r="J39" s="55"/>
      <c r="K39" s="55"/>
      <c r="L39" s="7"/>
    </row>
    <row r="40" spans="1:12" s="8" customFormat="1" ht="15" customHeight="1" x14ac:dyDescent="0.25">
      <c r="A40" s="55" t="s">
        <v>92</v>
      </c>
      <c r="B40" s="55"/>
      <c r="C40" s="55"/>
      <c r="D40" s="55"/>
      <c r="E40" s="55"/>
      <c r="F40" s="7">
        <v>0.48</v>
      </c>
      <c r="G40" s="55"/>
      <c r="H40" s="55"/>
      <c r="I40" s="55"/>
      <c r="J40" s="55"/>
      <c r="K40" s="55"/>
      <c r="L40" s="7"/>
    </row>
    <row r="41" spans="1:12" s="8" customFormat="1" ht="15" customHeight="1" x14ac:dyDescent="0.25">
      <c r="A41" s="55" t="s">
        <v>93</v>
      </c>
      <c r="B41" s="55"/>
      <c r="C41" s="55"/>
      <c r="D41" s="55"/>
      <c r="E41" s="55"/>
      <c r="F41" s="7">
        <v>0.48</v>
      </c>
      <c r="G41" s="55"/>
      <c r="H41" s="55"/>
      <c r="I41" s="55"/>
      <c r="J41" s="55"/>
      <c r="K41" s="55"/>
      <c r="L41" s="7"/>
    </row>
    <row r="42" spans="1:12" s="8" customFormat="1" ht="15" customHeight="1" x14ac:dyDescent="0.25">
      <c r="A42" s="55" t="s">
        <v>52</v>
      </c>
      <c r="B42" s="55"/>
      <c r="C42" s="55"/>
      <c r="D42" s="55"/>
      <c r="E42" s="55"/>
      <c r="F42" s="7">
        <v>4.5599999999999996</v>
      </c>
      <c r="G42" s="55"/>
      <c r="H42" s="55"/>
      <c r="I42" s="55"/>
      <c r="J42" s="55"/>
      <c r="K42" s="55"/>
      <c r="L42" s="7"/>
    </row>
    <row r="43" spans="1:12" s="8" customFormat="1" ht="15" customHeight="1" x14ac:dyDescent="0.25">
      <c r="A43" s="55" t="s">
        <v>94</v>
      </c>
      <c r="B43" s="55"/>
      <c r="C43" s="55"/>
      <c r="D43" s="55"/>
      <c r="E43" s="55"/>
      <c r="F43" s="7">
        <v>0.48</v>
      </c>
      <c r="G43" s="55"/>
      <c r="H43" s="55"/>
      <c r="I43" s="55"/>
      <c r="J43" s="55"/>
      <c r="K43" s="55"/>
      <c r="L43" s="7"/>
    </row>
    <row r="44" spans="1:12" s="8" customFormat="1" ht="15" customHeight="1" x14ac:dyDescent="0.25">
      <c r="A44" s="55" t="s">
        <v>4</v>
      </c>
      <c r="B44" s="55"/>
      <c r="C44" s="55"/>
      <c r="D44" s="55"/>
      <c r="E44" s="55"/>
      <c r="F44" s="7">
        <f>SUM(F18:F43)</f>
        <v>24.960000000000004</v>
      </c>
      <c r="G44" s="55" t="s">
        <v>4</v>
      </c>
      <c r="H44" s="55"/>
      <c r="I44" s="55"/>
      <c r="J44" s="55"/>
      <c r="K44" s="55"/>
      <c r="L44" s="7">
        <f>SUM(L18:L43)</f>
        <v>1.2</v>
      </c>
    </row>
    <row r="45" spans="1:12" s="8" customFormat="1" x14ac:dyDescent="0.25"/>
    <row r="46" spans="1:12" s="8" customFormat="1" x14ac:dyDescent="0.25">
      <c r="A46" s="22" t="s">
        <v>71</v>
      </c>
      <c r="F46" s="8">
        <v>3010</v>
      </c>
    </row>
    <row r="47" spans="1:12" s="8" customFormat="1" ht="75" x14ac:dyDescent="0.25">
      <c r="A47" s="62" t="s">
        <v>5</v>
      </c>
      <c r="B47" s="63"/>
      <c r="C47" s="63"/>
      <c r="D47" s="63"/>
      <c r="E47" s="64"/>
      <c r="F47" s="23" t="s">
        <v>6</v>
      </c>
      <c r="G47" s="23" t="s">
        <v>1</v>
      </c>
      <c r="H47" s="23" t="s">
        <v>66</v>
      </c>
      <c r="I47" s="23" t="s">
        <v>67</v>
      </c>
      <c r="J47" s="23" t="s">
        <v>68</v>
      </c>
      <c r="K47" s="24" t="s">
        <v>69</v>
      </c>
      <c r="L47" s="33"/>
    </row>
    <row r="48" spans="1:12" s="8" customFormat="1" ht="15" hidden="1" customHeight="1" x14ac:dyDescent="0.25">
      <c r="A48" s="55" t="s">
        <v>41</v>
      </c>
      <c r="B48" s="55"/>
      <c r="C48" s="55"/>
      <c r="D48" s="55"/>
      <c r="E48" s="55"/>
      <c r="F48" s="7">
        <f>'Услуга №1'!F37</f>
        <v>14963</v>
      </c>
      <c r="G48" s="7">
        <v>0.48</v>
      </c>
      <c r="H48" s="7">
        <f>F48*G48*12</f>
        <v>86186.880000000005</v>
      </c>
      <c r="I48" s="7">
        <f>H48*1.302</f>
        <v>112215.31776000001</v>
      </c>
      <c r="J48" s="7">
        <f>F46</f>
        <v>3010</v>
      </c>
      <c r="K48" s="7">
        <f>I48/J48</f>
        <v>37.28083646511628</v>
      </c>
      <c r="L48" s="34"/>
    </row>
    <row r="49" spans="1:12" s="8" customFormat="1" ht="15" hidden="1" customHeight="1" x14ac:dyDescent="0.25">
      <c r="A49" s="55" t="s">
        <v>81</v>
      </c>
      <c r="B49" s="55"/>
      <c r="C49" s="55"/>
      <c r="D49" s="55"/>
      <c r="E49" s="55"/>
      <c r="F49" s="7">
        <f>'Услуга №1'!F88</f>
        <v>11538</v>
      </c>
      <c r="G49" s="7">
        <v>0.48</v>
      </c>
      <c r="H49" s="7">
        <f t="shared" ref="H49:H73" si="0">F49*G49*12</f>
        <v>66458.880000000005</v>
      </c>
      <c r="I49" s="7">
        <f t="shared" ref="I49:I73" si="1">H49*1.302</f>
        <v>86529.461760000006</v>
      </c>
      <c r="J49" s="7">
        <f>J48</f>
        <v>3010</v>
      </c>
      <c r="K49" s="7">
        <f t="shared" ref="K49:K73" si="2">I49/J49</f>
        <v>28.747329488372095</v>
      </c>
      <c r="L49" s="34"/>
    </row>
    <row r="50" spans="1:12" s="8" customFormat="1" ht="15" hidden="1" customHeight="1" x14ac:dyDescent="0.25">
      <c r="A50" s="55" t="s">
        <v>44</v>
      </c>
      <c r="B50" s="55"/>
      <c r="C50" s="55"/>
      <c r="D50" s="55"/>
      <c r="E50" s="55"/>
      <c r="F50" s="7">
        <f>'Услуга №1'!F90</f>
        <v>11538</v>
      </c>
      <c r="G50" s="7">
        <v>0.48</v>
      </c>
      <c r="H50" s="7">
        <f t="shared" si="0"/>
        <v>66458.880000000005</v>
      </c>
      <c r="I50" s="7">
        <f t="shared" si="1"/>
        <v>86529.461760000006</v>
      </c>
      <c r="J50" s="7">
        <f t="shared" ref="J50:J74" si="3">J49</f>
        <v>3010</v>
      </c>
      <c r="K50" s="7">
        <f t="shared" si="2"/>
        <v>28.747329488372095</v>
      </c>
      <c r="L50" s="34"/>
    </row>
    <row r="51" spans="1:12" s="8" customFormat="1" ht="15" hidden="1" customHeight="1" x14ac:dyDescent="0.25">
      <c r="A51" s="55" t="s">
        <v>43</v>
      </c>
      <c r="B51" s="55"/>
      <c r="C51" s="55"/>
      <c r="D51" s="55"/>
      <c r="E51" s="55"/>
      <c r="F51" s="7">
        <f>'Услуга №1'!F38</f>
        <v>11538</v>
      </c>
      <c r="G51" s="7">
        <v>0.48</v>
      </c>
      <c r="H51" s="7">
        <f t="shared" si="0"/>
        <v>66458.880000000005</v>
      </c>
      <c r="I51" s="7">
        <f t="shared" si="1"/>
        <v>86529.461760000006</v>
      </c>
      <c r="J51" s="7">
        <f t="shared" si="3"/>
        <v>3010</v>
      </c>
      <c r="K51" s="7">
        <f t="shared" si="2"/>
        <v>28.747329488372095</v>
      </c>
      <c r="L51" s="34"/>
    </row>
    <row r="52" spans="1:12" s="8" customFormat="1" ht="15.75" hidden="1" customHeight="1" x14ac:dyDescent="0.25">
      <c r="A52" s="55" t="s">
        <v>80</v>
      </c>
      <c r="B52" s="55"/>
      <c r="C52" s="55"/>
      <c r="D52" s="55"/>
      <c r="E52" s="55"/>
      <c r="F52" s="7">
        <f>'Услуга №1'!F91</f>
        <v>11538</v>
      </c>
      <c r="G52" s="7">
        <v>0.48</v>
      </c>
      <c r="H52" s="7">
        <f t="shared" si="0"/>
        <v>66458.880000000005</v>
      </c>
      <c r="I52" s="7">
        <f t="shared" si="1"/>
        <v>86529.461760000006</v>
      </c>
      <c r="J52" s="7">
        <f t="shared" si="3"/>
        <v>3010</v>
      </c>
      <c r="K52" s="7">
        <f t="shared" si="2"/>
        <v>28.747329488372095</v>
      </c>
      <c r="L52" s="34"/>
    </row>
    <row r="53" spans="1:12" s="8" customFormat="1" ht="15" hidden="1" customHeight="1" x14ac:dyDescent="0.25">
      <c r="A53" s="55" t="s">
        <v>38</v>
      </c>
      <c r="B53" s="55"/>
      <c r="C53" s="55"/>
      <c r="D53" s="55"/>
      <c r="E53" s="55"/>
      <c r="F53" s="38">
        <f>'Услуга №1'!F92</f>
        <v>6556</v>
      </c>
      <c r="G53" s="7">
        <v>0.24</v>
      </c>
      <c r="H53" s="7">
        <f t="shared" si="0"/>
        <v>18881.28</v>
      </c>
      <c r="I53" s="7">
        <f t="shared" si="1"/>
        <v>24583.42656</v>
      </c>
      <c r="J53" s="7">
        <f t="shared" si="3"/>
        <v>3010</v>
      </c>
      <c r="K53" s="7">
        <f t="shared" si="2"/>
        <v>8.16725134883721</v>
      </c>
      <c r="L53" s="34"/>
    </row>
    <row r="54" spans="1:12" s="8" customFormat="1" ht="15" hidden="1" customHeight="1" x14ac:dyDescent="0.25">
      <c r="A54" s="55" t="s">
        <v>83</v>
      </c>
      <c r="B54" s="55"/>
      <c r="C54" s="55"/>
      <c r="D54" s="55"/>
      <c r="E54" s="55"/>
      <c r="F54" s="38">
        <f>'Услуга №1'!F93</f>
        <v>6556</v>
      </c>
      <c r="G54" s="7">
        <v>0.48</v>
      </c>
      <c r="H54" s="7">
        <f t="shared" si="0"/>
        <v>37762.559999999998</v>
      </c>
      <c r="I54" s="7">
        <f t="shared" si="1"/>
        <v>49166.85312</v>
      </c>
      <c r="J54" s="7">
        <f t="shared" si="3"/>
        <v>3010</v>
      </c>
      <c r="K54" s="7">
        <f t="shared" si="2"/>
        <v>16.33450269767442</v>
      </c>
      <c r="L54" s="34"/>
    </row>
    <row r="55" spans="1:12" s="8" customFormat="1" ht="15" hidden="1" customHeight="1" x14ac:dyDescent="0.25">
      <c r="A55" s="55" t="s">
        <v>45</v>
      </c>
      <c r="B55" s="55"/>
      <c r="C55" s="55"/>
      <c r="D55" s="55"/>
      <c r="E55" s="55"/>
      <c r="F55" s="38">
        <f>'Услуга №1'!F94</f>
        <v>6556</v>
      </c>
      <c r="G55" s="7">
        <v>0.48</v>
      </c>
      <c r="H55" s="7">
        <f t="shared" si="0"/>
        <v>37762.559999999998</v>
      </c>
      <c r="I55" s="7">
        <f t="shared" si="1"/>
        <v>49166.85312</v>
      </c>
      <c r="J55" s="7">
        <f t="shared" si="3"/>
        <v>3010</v>
      </c>
      <c r="K55" s="7">
        <f t="shared" si="2"/>
        <v>16.33450269767442</v>
      </c>
      <c r="L55" s="34"/>
    </row>
    <row r="56" spans="1:12" s="8" customFormat="1" ht="15" hidden="1" customHeight="1" x14ac:dyDescent="0.25">
      <c r="A56" s="55" t="s">
        <v>82</v>
      </c>
      <c r="B56" s="55"/>
      <c r="C56" s="55"/>
      <c r="D56" s="55"/>
      <c r="E56" s="55"/>
      <c r="F56" s="7">
        <f>'Услуга №1'!F39</f>
        <v>8837</v>
      </c>
      <c r="G56" s="7">
        <v>0.48</v>
      </c>
      <c r="H56" s="7">
        <f t="shared" si="0"/>
        <v>50901.120000000003</v>
      </c>
      <c r="I56" s="7">
        <f t="shared" si="1"/>
        <v>66273.25824000001</v>
      </c>
      <c r="J56" s="7">
        <f t="shared" si="3"/>
        <v>3010</v>
      </c>
      <c r="K56" s="7">
        <f t="shared" si="2"/>
        <v>22.017693767441862</v>
      </c>
      <c r="L56" s="34"/>
    </row>
    <row r="57" spans="1:12" s="8" customFormat="1" ht="15" hidden="1" customHeight="1" x14ac:dyDescent="0.25">
      <c r="A57" s="55" t="s">
        <v>46</v>
      </c>
      <c r="B57" s="55"/>
      <c r="C57" s="55"/>
      <c r="D57" s="55"/>
      <c r="E57" s="55"/>
      <c r="F57" s="7">
        <f>'Услуга №1'!F40</f>
        <v>6556</v>
      </c>
      <c r="G57" s="7">
        <v>0.48</v>
      </c>
      <c r="H57" s="7">
        <f t="shared" si="0"/>
        <v>37762.559999999998</v>
      </c>
      <c r="I57" s="7">
        <f t="shared" si="1"/>
        <v>49166.85312</v>
      </c>
      <c r="J57" s="7">
        <f t="shared" si="3"/>
        <v>3010</v>
      </c>
      <c r="K57" s="7">
        <f t="shared" si="2"/>
        <v>16.33450269767442</v>
      </c>
      <c r="L57" s="34"/>
    </row>
    <row r="58" spans="1:12" s="8" customFormat="1" ht="18" hidden="1" customHeight="1" x14ac:dyDescent="0.25">
      <c r="A58" s="55" t="s">
        <v>47</v>
      </c>
      <c r="B58" s="55"/>
      <c r="C58" s="55"/>
      <c r="D58" s="55"/>
      <c r="E58" s="55"/>
      <c r="F58" s="7">
        <f>'Услуга №1'!F41</f>
        <v>11538</v>
      </c>
      <c r="G58" s="7">
        <v>0.48</v>
      </c>
      <c r="H58" s="7">
        <f t="shared" si="0"/>
        <v>66458.880000000005</v>
      </c>
      <c r="I58" s="7">
        <f t="shared" si="1"/>
        <v>86529.461760000006</v>
      </c>
      <c r="J58" s="7">
        <f t="shared" si="3"/>
        <v>3010</v>
      </c>
      <c r="K58" s="7">
        <f t="shared" si="2"/>
        <v>28.747329488372095</v>
      </c>
      <c r="L58" s="34"/>
    </row>
    <row r="59" spans="1:12" s="8" customFormat="1" ht="15" hidden="1" customHeight="1" x14ac:dyDescent="0.25">
      <c r="A59" s="55" t="s">
        <v>84</v>
      </c>
      <c r="B59" s="55"/>
      <c r="C59" s="55"/>
      <c r="D59" s="55"/>
      <c r="E59" s="55"/>
      <c r="F59" s="7">
        <f>'Услуга №1'!F42</f>
        <v>8837</v>
      </c>
      <c r="G59" s="7">
        <v>0.48</v>
      </c>
      <c r="H59" s="7">
        <f t="shared" si="0"/>
        <v>50901.120000000003</v>
      </c>
      <c r="I59" s="7">
        <f t="shared" si="1"/>
        <v>66273.25824000001</v>
      </c>
      <c r="J59" s="7">
        <f t="shared" si="3"/>
        <v>3010</v>
      </c>
      <c r="K59" s="7">
        <f t="shared" si="2"/>
        <v>22.017693767441862</v>
      </c>
      <c r="L59" s="34"/>
    </row>
    <row r="60" spans="1:12" s="8" customFormat="1" ht="15" hidden="1" customHeight="1" x14ac:dyDescent="0.25">
      <c r="A60" s="55" t="s">
        <v>85</v>
      </c>
      <c r="B60" s="55"/>
      <c r="C60" s="55"/>
      <c r="D60" s="55"/>
      <c r="E60" s="55"/>
      <c r="F60" s="7">
        <f>'Услуга №1'!F43</f>
        <v>3993</v>
      </c>
      <c r="G60" s="7">
        <v>0.48</v>
      </c>
      <c r="H60" s="7">
        <f t="shared" si="0"/>
        <v>22999.68</v>
      </c>
      <c r="I60" s="7">
        <f t="shared" si="1"/>
        <v>29945.583360000001</v>
      </c>
      <c r="J60" s="7">
        <f t="shared" si="3"/>
        <v>3010</v>
      </c>
      <c r="K60" s="7">
        <f t="shared" si="2"/>
        <v>9.9486987906976747</v>
      </c>
      <c r="L60" s="34"/>
    </row>
    <row r="61" spans="1:12" s="8" customFormat="1" ht="17.25" hidden="1" customHeight="1" x14ac:dyDescent="0.25">
      <c r="A61" s="55" t="s">
        <v>86</v>
      </c>
      <c r="B61" s="55"/>
      <c r="C61" s="55"/>
      <c r="D61" s="55"/>
      <c r="E61" s="55"/>
      <c r="F61" s="7">
        <f>'Услуга №1'!F44</f>
        <v>4496</v>
      </c>
      <c r="G61" s="7">
        <v>0.48</v>
      </c>
      <c r="H61" s="7">
        <f t="shared" si="0"/>
        <v>25896.959999999999</v>
      </c>
      <c r="I61" s="7">
        <f t="shared" si="1"/>
        <v>33717.841919999999</v>
      </c>
      <c r="J61" s="7">
        <f t="shared" si="3"/>
        <v>3010</v>
      </c>
      <c r="K61" s="7">
        <f t="shared" si="2"/>
        <v>11.201940837209301</v>
      </c>
      <c r="L61" s="34"/>
    </row>
    <row r="62" spans="1:12" s="8" customFormat="1" ht="17.25" hidden="1" customHeight="1" x14ac:dyDescent="0.25">
      <c r="A62" s="55" t="s">
        <v>87</v>
      </c>
      <c r="B62" s="55"/>
      <c r="C62" s="55"/>
      <c r="D62" s="55"/>
      <c r="E62" s="55"/>
      <c r="F62" s="7">
        <f>'Услуга №1'!F45</f>
        <v>8837</v>
      </c>
      <c r="G62" s="7">
        <v>0.48</v>
      </c>
      <c r="H62" s="7">
        <f t="shared" si="0"/>
        <v>50901.120000000003</v>
      </c>
      <c r="I62" s="7">
        <f t="shared" si="1"/>
        <v>66273.25824000001</v>
      </c>
      <c r="J62" s="7">
        <f t="shared" si="3"/>
        <v>3010</v>
      </c>
      <c r="K62" s="7">
        <f t="shared" si="2"/>
        <v>22.017693767441862</v>
      </c>
      <c r="L62" s="34"/>
    </row>
    <row r="63" spans="1:12" s="8" customFormat="1" ht="15" hidden="1" customHeight="1" x14ac:dyDescent="0.25">
      <c r="A63" s="55" t="s">
        <v>88</v>
      </c>
      <c r="B63" s="55"/>
      <c r="C63" s="55"/>
      <c r="D63" s="55"/>
      <c r="E63" s="55"/>
      <c r="F63" s="7">
        <f>'Услуга №1'!F46</f>
        <v>13255.5</v>
      </c>
      <c r="G63" s="7">
        <v>0.72</v>
      </c>
      <c r="H63" s="7">
        <f t="shared" si="0"/>
        <v>114527.51999999999</v>
      </c>
      <c r="I63" s="7">
        <f t="shared" si="1"/>
        <v>149114.83103999999</v>
      </c>
      <c r="J63" s="7">
        <f t="shared" si="3"/>
        <v>3010</v>
      </c>
      <c r="K63" s="7">
        <f t="shared" si="2"/>
        <v>49.539810976744185</v>
      </c>
      <c r="L63" s="34"/>
    </row>
    <row r="64" spans="1:12" s="8" customFormat="1" ht="15" hidden="1" customHeight="1" x14ac:dyDescent="0.25">
      <c r="A64" s="55" t="s">
        <v>90</v>
      </c>
      <c r="B64" s="55"/>
      <c r="C64" s="55"/>
      <c r="D64" s="55"/>
      <c r="E64" s="55"/>
      <c r="F64" s="7">
        <f>'Услуга №1'!F47</f>
        <v>11538</v>
      </c>
      <c r="G64" s="7">
        <v>0.48</v>
      </c>
      <c r="H64" s="7">
        <f t="shared" si="0"/>
        <v>66458.880000000005</v>
      </c>
      <c r="I64" s="7">
        <f t="shared" si="1"/>
        <v>86529.461760000006</v>
      </c>
      <c r="J64" s="7">
        <f t="shared" si="3"/>
        <v>3010</v>
      </c>
      <c r="K64" s="7">
        <f t="shared" si="2"/>
        <v>28.747329488372095</v>
      </c>
      <c r="L64" s="34"/>
    </row>
    <row r="65" spans="1:13" s="8" customFormat="1" ht="15" hidden="1" customHeight="1" x14ac:dyDescent="0.25">
      <c r="A65" s="55" t="s">
        <v>51</v>
      </c>
      <c r="B65" s="55"/>
      <c r="C65" s="55"/>
      <c r="D65" s="55"/>
      <c r="E65" s="55"/>
      <c r="F65" s="7">
        <f>'Услуга №1'!F48</f>
        <v>11538</v>
      </c>
      <c r="G65" s="7">
        <v>0.48</v>
      </c>
      <c r="H65" s="7">
        <f t="shared" si="0"/>
        <v>66458.880000000005</v>
      </c>
      <c r="I65" s="7">
        <f t="shared" si="1"/>
        <v>86529.461760000006</v>
      </c>
      <c r="J65" s="7">
        <f t="shared" si="3"/>
        <v>3010</v>
      </c>
      <c r="K65" s="7">
        <f t="shared" si="2"/>
        <v>28.747329488372095</v>
      </c>
      <c r="L65" s="34"/>
    </row>
    <row r="66" spans="1:13" s="8" customFormat="1" ht="15.75" hidden="1" customHeight="1" x14ac:dyDescent="0.25">
      <c r="A66" s="55" t="s">
        <v>49</v>
      </c>
      <c r="B66" s="55"/>
      <c r="C66" s="55"/>
      <c r="D66" s="55"/>
      <c r="E66" s="55"/>
      <c r="F66" s="7">
        <f>'Услуга №1'!F49</f>
        <v>8837</v>
      </c>
      <c r="G66" s="7">
        <v>0.48</v>
      </c>
      <c r="H66" s="7">
        <f t="shared" si="0"/>
        <v>50901.120000000003</v>
      </c>
      <c r="I66" s="7">
        <f t="shared" si="1"/>
        <v>66273.25824000001</v>
      </c>
      <c r="J66" s="7">
        <f t="shared" si="3"/>
        <v>3010</v>
      </c>
      <c r="K66" s="7">
        <f t="shared" si="2"/>
        <v>22.017693767441862</v>
      </c>
      <c r="L66" s="34"/>
    </row>
    <row r="67" spans="1:13" s="8" customFormat="1" ht="15" hidden="1" customHeight="1" x14ac:dyDescent="0.25">
      <c r="A67" s="55" t="s">
        <v>89</v>
      </c>
      <c r="B67" s="55"/>
      <c r="C67" s="55"/>
      <c r="D67" s="55"/>
      <c r="E67" s="55"/>
      <c r="F67" s="38">
        <f>'Услуга №1'!F96</f>
        <v>11538</v>
      </c>
      <c r="G67" s="7">
        <v>3.36</v>
      </c>
      <c r="H67" s="7">
        <f t="shared" si="0"/>
        <v>465212.16000000003</v>
      </c>
      <c r="I67" s="7">
        <f t="shared" si="1"/>
        <v>605706.23232000007</v>
      </c>
      <c r="J67" s="7">
        <f t="shared" si="3"/>
        <v>3010</v>
      </c>
      <c r="K67" s="7">
        <f t="shared" si="2"/>
        <v>201.23130641860467</v>
      </c>
      <c r="L67" s="34"/>
    </row>
    <row r="68" spans="1:13" s="8" customFormat="1" ht="15" hidden="1" customHeight="1" x14ac:dyDescent="0.25">
      <c r="A68" s="55" t="s">
        <v>50</v>
      </c>
      <c r="B68" s="55"/>
      <c r="C68" s="55"/>
      <c r="D68" s="55"/>
      <c r="E68" s="55"/>
      <c r="F68" s="38">
        <f>'Услуга №1'!F97</f>
        <v>8837</v>
      </c>
      <c r="G68" s="7">
        <v>3.84</v>
      </c>
      <c r="H68" s="7">
        <f t="shared" si="0"/>
        <v>407208.96000000002</v>
      </c>
      <c r="I68" s="7">
        <f t="shared" si="1"/>
        <v>530186.06592000008</v>
      </c>
      <c r="J68" s="7">
        <f t="shared" si="3"/>
        <v>3010</v>
      </c>
      <c r="K68" s="7">
        <f t="shared" si="2"/>
        <v>176.1415501395349</v>
      </c>
      <c r="L68" s="34"/>
    </row>
    <row r="69" spans="1:13" s="8" customFormat="1" ht="15" hidden="1" customHeight="1" x14ac:dyDescent="0.25">
      <c r="A69" s="55" t="s">
        <v>91</v>
      </c>
      <c r="B69" s="55"/>
      <c r="C69" s="55"/>
      <c r="D69" s="55"/>
      <c r="E69" s="55"/>
      <c r="F69" s="38">
        <f>'Услуга №1'!F98</f>
        <v>11538</v>
      </c>
      <c r="G69" s="7">
        <v>0.48</v>
      </c>
      <c r="H69" s="7">
        <f t="shared" si="0"/>
        <v>66458.880000000005</v>
      </c>
      <c r="I69" s="7">
        <f t="shared" si="1"/>
        <v>86529.461760000006</v>
      </c>
      <c r="J69" s="7">
        <f t="shared" si="3"/>
        <v>3010</v>
      </c>
      <c r="K69" s="7">
        <f t="shared" si="2"/>
        <v>28.747329488372095</v>
      </c>
      <c r="L69" s="34"/>
    </row>
    <row r="70" spans="1:13" s="8" customFormat="1" ht="15" hidden="1" customHeight="1" x14ac:dyDescent="0.25">
      <c r="A70" s="55" t="s">
        <v>92</v>
      </c>
      <c r="B70" s="55"/>
      <c r="C70" s="55"/>
      <c r="D70" s="55"/>
      <c r="E70" s="55"/>
      <c r="F70" s="38">
        <f>'Услуга №1'!F99</f>
        <v>11538</v>
      </c>
      <c r="G70" s="7">
        <v>0.48</v>
      </c>
      <c r="H70" s="7">
        <f t="shared" si="0"/>
        <v>66458.880000000005</v>
      </c>
      <c r="I70" s="7">
        <f t="shared" si="1"/>
        <v>86529.461760000006</v>
      </c>
      <c r="J70" s="7">
        <f t="shared" si="3"/>
        <v>3010</v>
      </c>
      <c r="K70" s="7">
        <f t="shared" si="2"/>
        <v>28.747329488372095</v>
      </c>
      <c r="L70" s="34"/>
    </row>
    <row r="71" spans="1:13" s="8" customFormat="1" ht="15" hidden="1" customHeight="1" x14ac:dyDescent="0.25">
      <c r="A71" s="55" t="s">
        <v>93</v>
      </c>
      <c r="B71" s="55"/>
      <c r="C71" s="55"/>
      <c r="D71" s="55"/>
      <c r="E71" s="55"/>
      <c r="F71" s="38">
        <f>'Услуга №1'!F100</f>
        <v>11538</v>
      </c>
      <c r="G71" s="7">
        <v>0.48</v>
      </c>
      <c r="H71" s="7">
        <f>F71*G71*12</f>
        <v>66458.880000000005</v>
      </c>
      <c r="I71" s="7">
        <f t="shared" si="1"/>
        <v>86529.461760000006</v>
      </c>
      <c r="J71" s="7">
        <f t="shared" si="3"/>
        <v>3010</v>
      </c>
      <c r="K71" s="7">
        <f t="shared" si="2"/>
        <v>28.747329488372095</v>
      </c>
      <c r="L71" s="34"/>
    </row>
    <row r="72" spans="1:13" s="8" customFormat="1" ht="18" hidden="1" customHeight="1" x14ac:dyDescent="0.25">
      <c r="A72" s="55" t="s">
        <v>52</v>
      </c>
      <c r="B72" s="55"/>
      <c r="C72" s="55"/>
      <c r="D72" s="55"/>
      <c r="E72" s="55"/>
      <c r="F72" s="38">
        <f>'Услуга №1'!F101</f>
        <v>8837</v>
      </c>
      <c r="G72" s="7">
        <v>4.5599999999999996</v>
      </c>
      <c r="H72" s="7">
        <f t="shared" si="0"/>
        <v>483560.6399999999</v>
      </c>
      <c r="I72" s="7">
        <f t="shared" si="1"/>
        <v>629595.9532799999</v>
      </c>
      <c r="J72" s="7">
        <f t="shared" si="3"/>
        <v>3010</v>
      </c>
      <c r="K72" s="7">
        <f t="shared" si="2"/>
        <v>209.16809079069765</v>
      </c>
      <c r="L72" s="34"/>
    </row>
    <row r="73" spans="1:13" s="8" customFormat="1" ht="15" hidden="1" customHeight="1" x14ac:dyDescent="0.25">
      <c r="A73" s="55" t="s">
        <v>94</v>
      </c>
      <c r="B73" s="55"/>
      <c r="C73" s="55"/>
      <c r="D73" s="55"/>
      <c r="E73" s="55"/>
      <c r="F73" s="38">
        <f>'Услуга №1'!F102</f>
        <v>11538</v>
      </c>
      <c r="G73" s="7">
        <v>0.48</v>
      </c>
      <c r="H73" s="7">
        <f t="shared" si="0"/>
        <v>66458.880000000005</v>
      </c>
      <c r="I73" s="7">
        <f t="shared" si="1"/>
        <v>86529.461760000006</v>
      </c>
      <c r="J73" s="7">
        <f t="shared" si="3"/>
        <v>3010</v>
      </c>
      <c r="K73" s="7">
        <f t="shared" si="2"/>
        <v>28.747329488372095</v>
      </c>
      <c r="L73" s="34"/>
    </row>
    <row r="74" spans="1:13" ht="18.75" customHeight="1" x14ac:dyDescent="0.25">
      <c r="A74" s="39" t="s">
        <v>72</v>
      </c>
      <c r="B74" s="40"/>
      <c r="C74" s="40"/>
      <c r="D74" s="40"/>
      <c r="E74" s="40"/>
      <c r="F74" s="2">
        <v>18877.759999999998</v>
      </c>
      <c r="G74" s="2">
        <f>F44</f>
        <v>24.960000000000004</v>
      </c>
      <c r="H74" s="2">
        <f>(F74*G74)*12</f>
        <v>5654266.6752000004</v>
      </c>
      <c r="I74" s="2">
        <f>(H74*1.302)+0.01</f>
        <v>7361855.2211104007</v>
      </c>
      <c r="J74" s="51">
        <f t="shared" si="3"/>
        <v>3010</v>
      </c>
      <c r="K74" s="2">
        <f>I74/J74</f>
        <v>2445.7990767808642</v>
      </c>
      <c r="L74" s="34"/>
      <c r="M74" s="8"/>
    </row>
    <row r="75" spans="1:13" s="8" customFormat="1" ht="13.5" customHeight="1" x14ac:dyDescent="0.25"/>
    <row r="76" spans="1:13" s="8" customFormat="1" ht="14.25" customHeight="1" x14ac:dyDescent="0.25">
      <c r="A76" s="61" t="s">
        <v>8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</row>
    <row r="77" spans="1:13" s="8" customFormat="1" ht="45" x14ac:dyDescent="0.25">
      <c r="A77" s="79" t="s">
        <v>9</v>
      </c>
      <c r="B77" s="79"/>
      <c r="C77" s="79"/>
      <c r="D77" s="79"/>
      <c r="E77" s="79"/>
      <c r="F77" s="23" t="s">
        <v>7</v>
      </c>
      <c r="G77" s="23" t="s">
        <v>65</v>
      </c>
      <c r="H77" s="23" t="s">
        <v>64</v>
      </c>
      <c r="I77" s="23" t="s">
        <v>73</v>
      </c>
      <c r="J77" s="23" t="s">
        <v>68</v>
      </c>
      <c r="K77" s="27" t="s">
        <v>69</v>
      </c>
      <c r="L77" s="28"/>
    </row>
    <row r="78" spans="1:13" s="8" customFormat="1" x14ac:dyDescent="0.25">
      <c r="A78" s="65" t="s">
        <v>39</v>
      </c>
      <c r="B78" s="68"/>
      <c r="C78" s="68"/>
      <c r="D78" s="68"/>
      <c r="E78" s="69"/>
      <c r="F78" s="25" t="s">
        <v>40</v>
      </c>
      <c r="G78" s="25">
        <v>75300</v>
      </c>
      <c r="H78" s="25">
        <f>'Услуга №1'!H54</f>
        <v>4.9000000000000004</v>
      </c>
      <c r="I78" s="25">
        <f>342214.7*48%</f>
        <v>164263.05600000001</v>
      </c>
      <c r="J78" s="7">
        <f>J71</f>
        <v>3010</v>
      </c>
      <c r="K78" s="29">
        <f>I78/J78</f>
        <v>54.572443853820602</v>
      </c>
      <c r="L78" s="28"/>
    </row>
    <row r="79" spans="1:13" s="8" customFormat="1" x14ac:dyDescent="0.25">
      <c r="A79" s="70" t="s">
        <v>10</v>
      </c>
      <c r="B79" s="70"/>
      <c r="C79" s="70"/>
      <c r="D79" s="70"/>
      <c r="E79" s="70"/>
      <c r="F79" s="7" t="s">
        <v>13</v>
      </c>
      <c r="G79" s="7">
        <v>465</v>
      </c>
      <c r="H79" s="25">
        <f>'Услуга №1'!H55</f>
        <v>1690.46</v>
      </c>
      <c r="I79" s="25">
        <f>786064.9*48%</f>
        <v>377311.152</v>
      </c>
      <c r="J79" s="7">
        <f>J78</f>
        <v>3010</v>
      </c>
      <c r="K79" s="29">
        <f t="shared" ref="K79:K82" si="4">I79/J79</f>
        <v>125.35254219269103</v>
      </c>
      <c r="L79" s="30"/>
    </row>
    <row r="80" spans="1:13" s="8" customFormat="1" x14ac:dyDescent="0.25">
      <c r="A80" s="70" t="s">
        <v>11</v>
      </c>
      <c r="B80" s="70"/>
      <c r="C80" s="70"/>
      <c r="D80" s="70"/>
      <c r="E80" s="70"/>
      <c r="F80" s="7" t="s">
        <v>14</v>
      </c>
      <c r="G80" s="7">
        <v>410</v>
      </c>
      <c r="H80" s="25">
        <f>'Услуга №1'!H56</f>
        <v>40.96</v>
      </c>
      <c r="I80" s="25">
        <f>16794.04*48%</f>
        <v>8061.1392000000005</v>
      </c>
      <c r="J80" s="7">
        <f t="shared" ref="J80:J83" si="5">J79</f>
        <v>3010</v>
      </c>
      <c r="K80" s="29">
        <f t="shared" si="4"/>
        <v>2.6781193355481729</v>
      </c>
      <c r="L80" s="30"/>
    </row>
    <row r="81" spans="1:13" s="8" customFormat="1" x14ac:dyDescent="0.25">
      <c r="A81" s="70" t="s">
        <v>12</v>
      </c>
      <c r="B81" s="70"/>
      <c r="C81" s="70"/>
      <c r="D81" s="70"/>
      <c r="E81" s="70"/>
      <c r="F81" s="7" t="s">
        <v>14</v>
      </c>
      <c r="G81" s="7">
        <v>410</v>
      </c>
      <c r="H81" s="25">
        <f>'Услуга №1'!H57</f>
        <v>59.65</v>
      </c>
      <c r="I81" s="25">
        <f>24456.94*48%</f>
        <v>11739.331199999999</v>
      </c>
      <c r="J81" s="7">
        <f t="shared" si="5"/>
        <v>3010</v>
      </c>
      <c r="K81" s="29">
        <f t="shared" si="4"/>
        <v>3.9001100332225911</v>
      </c>
      <c r="L81" s="30"/>
    </row>
    <row r="82" spans="1:13" s="8" customFormat="1" x14ac:dyDescent="0.25">
      <c r="A82" s="65" t="s">
        <v>16</v>
      </c>
      <c r="B82" s="66"/>
      <c r="C82" s="66"/>
      <c r="D82" s="66"/>
      <c r="E82" s="66"/>
      <c r="F82" s="7" t="s">
        <v>14</v>
      </c>
      <c r="G82" s="7">
        <v>12</v>
      </c>
      <c r="H82" s="31">
        <v>3360.02</v>
      </c>
      <c r="I82" s="25">
        <f>40320.24*48%</f>
        <v>19353.715199999999</v>
      </c>
      <c r="J82" s="7">
        <f t="shared" si="5"/>
        <v>3010</v>
      </c>
      <c r="K82" s="29">
        <f t="shared" si="4"/>
        <v>6.4298057142857141</v>
      </c>
      <c r="L82" s="30"/>
    </row>
    <row r="83" spans="1:13" s="8" customFormat="1" x14ac:dyDescent="0.25">
      <c r="A83" s="56" t="s">
        <v>53</v>
      </c>
      <c r="B83" s="57"/>
      <c r="C83" s="57"/>
      <c r="D83" s="57"/>
      <c r="E83" s="57"/>
      <c r="F83" s="57"/>
      <c r="G83" s="57"/>
      <c r="H83" s="57"/>
      <c r="I83" s="2">
        <f>SUM(I78:I82)</f>
        <v>580728.39359999995</v>
      </c>
      <c r="J83" s="51">
        <f t="shared" si="5"/>
        <v>3010</v>
      </c>
      <c r="K83" s="2">
        <f>I83/J82</f>
        <v>192.93302112956809</v>
      </c>
      <c r="L83" s="30"/>
    </row>
    <row r="84" spans="1:13" s="8" customFormat="1" ht="12" customHeight="1" x14ac:dyDescent="0.25"/>
    <row r="85" spans="1:13" s="8" customFormat="1" x14ac:dyDescent="0.25">
      <c r="A85" s="61" t="s">
        <v>15</v>
      </c>
      <c r="B85" s="61"/>
      <c r="C85" s="61"/>
      <c r="D85" s="61"/>
      <c r="E85" s="61"/>
      <c r="F85" s="61"/>
      <c r="G85" s="61"/>
      <c r="H85" s="61"/>
      <c r="I85" s="61"/>
      <c r="J85" s="61"/>
      <c r="K85" s="61"/>
      <c r="L85" s="61"/>
    </row>
    <row r="86" spans="1:13" s="8" customFormat="1" ht="45" x14ac:dyDescent="0.25">
      <c r="A86" s="62" t="s">
        <v>19</v>
      </c>
      <c r="B86" s="63"/>
      <c r="C86" s="63"/>
      <c r="D86" s="63"/>
      <c r="E86" s="64"/>
      <c r="F86" s="23" t="s">
        <v>7</v>
      </c>
      <c r="G86" s="23" t="s">
        <v>65</v>
      </c>
      <c r="H86" s="23" t="s">
        <v>64</v>
      </c>
      <c r="I86" s="23" t="s">
        <v>73</v>
      </c>
      <c r="J86" s="23" t="s">
        <v>68</v>
      </c>
      <c r="K86" s="27" t="s">
        <v>69</v>
      </c>
      <c r="L86" s="28"/>
    </row>
    <row r="87" spans="1:13" s="8" customFormat="1" x14ac:dyDescent="0.25">
      <c r="A87" s="70" t="s">
        <v>56</v>
      </c>
      <c r="B87" s="70"/>
      <c r="C87" s="70"/>
      <c r="D87" s="70"/>
      <c r="E87" s="70"/>
      <c r="F87" s="7" t="s">
        <v>17</v>
      </c>
      <c r="G87" s="7">
        <v>6200</v>
      </c>
      <c r="H87" s="7"/>
      <c r="I87" s="7">
        <f>74400*48%</f>
        <v>35712</v>
      </c>
      <c r="J87" s="7">
        <f>F46</f>
        <v>3010</v>
      </c>
      <c r="K87" s="32">
        <f t="shared" ref="K87:K91" si="6">I87/J87</f>
        <v>11.864451827242524</v>
      </c>
      <c r="L87" s="30"/>
    </row>
    <row r="88" spans="1:13" s="8" customFormat="1" ht="15" customHeight="1" x14ac:dyDescent="0.25">
      <c r="A88" s="55" t="s">
        <v>55</v>
      </c>
      <c r="B88" s="55"/>
      <c r="C88" s="55"/>
      <c r="D88" s="55"/>
      <c r="E88" s="55"/>
      <c r="F88" s="7" t="s">
        <v>17</v>
      </c>
      <c r="G88" s="7">
        <v>773.4</v>
      </c>
      <c r="H88" s="7"/>
      <c r="I88" s="7">
        <f>9280.8*48%</f>
        <v>4454.7839999999997</v>
      </c>
      <c r="J88" s="7">
        <f>J87</f>
        <v>3010</v>
      </c>
      <c r="K88" s="32">
        <f t="shared" si="6"/>
        <v>1.479994684385382</v>
      </c>
      <c r="L88" s="30"/>
    </row>
    <row r="89" spans="1:13" s="8" customFormat="1" ht="16.5" customHeight="1" x14ac:dyDescent="0.25">
      <c r="A89" s="70" t="s">
        <v>113</v>
      </c>
      <c r="B89" s="70"/>
      <c r="C89" s="70"/>
      <c r="D89" s="70"/>
      <c r="E89" s="70"/>
      <c r="F89" s="7" t="s">
        <v>17</v>
      </c>
      <c r="G89" s="7">
        <v>2000</v>
      </c>
      <c r="H89" s="7"/>
      <c r="I89" s="7">
        <f>24000*48%</f>
        <v>11520</v>
      </c>
      <c r="J89" s="7">
        <f>J88</f>
        <v>3010</v>
      </c>
      <c r="K89" s="32">
        <f t="shared" si="6"/>
        <v>3.8272425249169437</v>
      </c>
      <c r="L89" s="30"/>
    </row>
    <row r="90" spans="1:13" s="8" customFormat="1" ht="16.5" customHeight="1" x14ac:dyDescent="0.25">
      <c r="A90" s="55" t="s">
        <v>100</v>
      </c>
      <c r="B90" s="55"/>
      <c r="C90" s="55"/>
      <c r="D90" s="55"/>
      <c r="E90" s="55"/>
      <c r="F90" s="7" t="s">
        <v>17</v>
      </c>
      <c r="G90" s="7">
        <v>2100</v>
      </c>
      <c r="H90" s="7"/>
      <c r="I90" s="7">
        <f>25200*48%</f>
        <v>12096</v>
      </c>
      <c r="J90" s="7">
        <f>J88</f>
        <v>3010</v>
      </c>
      <c r="K90" s="32">
        <f t="shared" si="6"/>
        <v>4.0186046511627911</v>
      </c>
      <c r="L90" s="30"/>
    </row>
    <row r="91" spans="1:13" s="8" customFormat="1" ht="15" customHeight="1" x14ac:dyDescent="0.25">
      <c r="A91" s="55" t="s">
        <v>114</v>
      </c>
      <c r="B91" s="55"/>
      <c r="C91" s="55"/>
      <c r="D91" s="55"/>
      <c r="E91" s="55"/>
      <c r="F91" s="7" t="s">
        <v>17</v>
      </c>
      <c r="G91" s="7"/>
      <c r="H91" s="7"/>
      <c r="I91" s="7">
        <f>395418*48%</f>
        <v>189800.63999999998</v>
      </c>
      <c r="J91" s="7">
        <f>J88</f>
        <v>3010</v>
      </c>
      <c r="K91" s="32">
        <f t="shared" si="6"/>
        <v>63.056691029900328</v>
      </c>
      <c r="L91" s="30"/>
    </row>
    <row r="92" spans="1:13" ht="18.75" customHeight="1" x14ac:dyDescent="0.25">
      <c r="A92" s="39" t="s">
        <v>18</v>
      </c>
      <c r="B92" s="40"/>
      <c r="C92" s="40"/>
      <c r="D92" s="40"/>
      <c r="E92" s="40"/>
      <c r="F92" s="50"/>
      <c r="G92" s="50"/>
      <c r="H92" s="50"/>
      <c r="I92" s="2">
        <f>SUM(I87:I91)</f>
        <v>253583.424</v>
      </c>
      <c r="J92" s="51">
        <f>J89</f>
        <v>3010</v>
      </c>
      <c r="K92" s="4">
        <f>I92/J92</f>
        <v>84.246984717607972</v>
      </c>
      <c r="L92" s="30"/>
      <c r="M92" s="8"/>
    </row>
    <row r="93" spans="1:13" s="8" customFormat="1" ht="12.75" customHeight="1" x14ac:dyDescent="0.25"/>
    <row r="94" spans="1:13" s="8" customFormat="1" x14ac:dyDescent="0.25">
      <c r="A94" s="61" t="s">
        <v>74</v>
      </c>
      <c r="B94" s="61"/>
      <c r="C94" s="61"/>
      <c r="D94" s="61"/>
      <c r="E94" s="61"/>
      <c r="F94" s="61"/>
      <c r="G94" s="61"/>
      <c r="H94" s="61"/>
      <c r="I94" s="61"/>
      <c r="J94" s="61"/>
      <c r="K94" s="61"/>
      <c r="L94" s="61"/>
    </row>
    <row r="95" spans="1:13" s="8" customFormat="1" ht="60" customHeight="1" x14ac:dyDescent="0.25">
      <c r="A95" s="62" t="s">
        <v>19</v>
      </c>
      <c r="B95" s="63"/>
      <c r="C95" s="63"/>
      <c r="D95" s="63"/>
      <c r="E95" s="64"/>
      <c r="F95" s="23" t="s">
        <v>7</v>
      </c>
      <c r="G95" s="23" t="s">
        <v>65</v>
      </c>
      <c r="H95" s="23" t="s">
        <v>64</v>
      </c>
      <c r="I95" s="23" t="s">
        <v>73</v>
      </c>
      <c r="J95" s="23" t="s">
        <v>68</v>
      </c>
      <c r="K95" s="24" t="s">
        <v>69</v>
      </c>
      <c r="L95" s="33"/>
    </row>
    <row r="96" spans="1:13" s="8" customFormat="1" ht="34.5" customHeight="1" x14ac:dyDescent="0.25">
      <c r="A96" s="71" t="s">
        <v>115</v>
      </c>
      <c r="B96" s="72"/>
      <c r="C96" s="72"/>
      <c r="D96" s="72"/>
      <c r="E96" s="73"/>
      <c r="F96" s="7" t="s">
        <v>17</v>
      </c>
      <c r="G96" s="7">
        <v>11</v>
      </c>
      <c r="H96" s="7">
        <v>4116.8999999999996</v>
      </c>
      <c r="I96" s="7">
        <f>45285.9*48%</f>
        <v>21737.232</v>
      </c>
      <c r="J96" s="7">
        <f>J91</f>
        <v>3010</v>
      </c>
      <c r="K96" s="7">
        <f t="shared" ref="K96:K97" si="7">I96/J96</f>
        <v>7.2216717607973422</v>
      </c>
      <c r="L96" s="34"/>
    </row>
    <row r="97" spans="1:13" s="8" customFormat="1" ht="18.75" customHeight="1" x14ac:dyDescent="0.25">
      <c r="A97" s="65" t="s">
        <v>116</v>
      </c>
      <c r="B97" s="66"/>
      <c r="C97" s="66"/>
      <c r="D97" s="66"/>
      <c r="E97" s="67"/>
      <c r="F97" s="7" t="s">
        <v>17</v>
      </c>
      <c r="G97" s="7"/>
      <c r="H97" s="7"/>
      <c r="I97" s="7">
        <f>12000*48%</f>
        <v>5760</v>
      </c>
      <c r="J97" s="7">
        <v>3010</v>
      </c>
      <c r="K97" s="7">
        <f t="shared" si="7"/>
        <v>1.9136212624584719</v>
      </c>
      <c r="L97" s="34"/>
    </row>
    <row r="98" spans="1:13" s="8" customFormat="1" ht="18.75" customHeight="1" x14ac:dyDescent="0.25">
      <c r="A98" s="65" t="s">
        <v>117</v>
      </c>
      <c r="B98" s="68"/>
      <c r="C98" s="68"/>
      <c r="D98" s="68"/>
      <c r="E98" s="69"/>
      <c r="F98" s="7" t="s">
        <v>17</v>
      </c>
      <c r="G98" s="7"/>
      <c r="H98" s="7"/>
      <c r="I98" s="7">
        <f>10500*48%</f>
        <v>5040</v>
      </c>
      <c r="J98" s="7">
        <f>J90</f>
        <v>3010</v>
      </c>
      <c r="K98" s="7">
        <f>I98/J98</f>
        <v>1.6744186046511629</v>
      </c>
      <c r="L98" s="34"/>
    </row>
    <row r="99" spans="1:13" s="8" customFormat="1" x14ac:dyDescent="0.25">
      <c r="A99" s="56" t="s">
        <v>75</v>
      </c>
      <c r="B99" s="57"/>
      <c r="C99" s="57"/>
      <c r="D99" s="57"/>
      <c r="E99" s="57"/>
      <c r="F99" s="57"/>
      <c r="G99" s="57"/>
      <c r="H99" s="57"/>
      <c r="I99" s="5">
        <f>SUM(I96:I98)</f>
        <v>32537.232</v>
      </c>
      <c r="J99" s="51">
        <f>J91</f>
        <v>3010</v>
      </c>
      <c r="K99" s="5">
        <f>I99/J99</f>
        <v>10.809711627906976</v>
      </c>
      <c r="L99" s="34"/>
    </row>
    <row r="100" spans="1:13" s="8" customFormat="1" x14ac:dyDescent="0.25">
      <c r="A100" s="35"/>
      <c r="B100" s="35"/>
      <c r="C100" s="35"/>
      <c r="D100" s="35"/>
      <c r="E100" s="35"/>
      <c r="F100" s="35"/>
      <c r="G100" s="35"/>
      <c r="H100" s="35"/>
      <c r="I100" s="6"/>
      <c r="J100" s="6"/>
      <c r="K100" s="6"/>
      <c r="L100" s="34"/>
    </row>
    <row r="101" spans="1:13" s="8" customFormat="1" x14ac:dyDescent="0.25">
      <c r="A101" s="61" t="s">
        <v>76</v>
      </c>
      <c r="B101" s="61"/>
      <c r="C101" s="61"/>
      <c r="D101" s="61"/>
      <c r="E101" s="61"/>
      <c r="F101" s="61"/>
      <c r="G101" s="61"/>
      <c r="H101" s="61"/>
      <c r="I101" s="61"/>
      <c r="J101" s="61"/>
      <c r="K101" s="61"/>
      <c r="L101" s="61"/>
    </row>
    <row r="102" spans="1:13" s="8" customFormat="1" ht="45.75" customHeight="1" x14ac:dyDescent="0.25">
      <c r="A102" s="62" t="s">
        <v>20</v>
      </c>
      <c r="B102" s="63"/>
      <c r="C102" s="63"/>
      <c r="D102" s="63"/>
      <c r="E102" s="64"/>
      <c r="F102" s="23" t="s">
        <v>7</v>
      </c>
      <c r="G102" s="23" t="s">
        <v>65</v>
      </c>
      <c r="H102" s="23" t="s">
        <v>64</v>
      </c>
      <c r="I102" s="23" t="s">
        <v>73</v>
      </c>
      <c r="J102" s="36" t="s">
        <v>68</v>
      </c>
      <c r="K102" s="24" t="s">
        <v>69</v>
      </c>
      <c r="L102" s="33"/>
      <c r="M102" s="33"/>
    </row>
    <row r="103" spans="1:13" s="8" customFormat="1" ht="23.25" customHeight="1" x14ac:dyDescent="0.25">
      <c r="A103" s="65" t="s">
        <v>118</v>
      </c>
      <c r="B103" s="68"/>
      <c r="C103" s="68"/>
      <c r="D103" s="68"/>
      <c r="E103" s="69"/>
      <c r="F103" s="37" t="s">
        <v>121</v>
      </c>
      <c r="G103" s="7">
        <v>4</v>
      </c>
      <c r="H103" s="7">
        <v>563.75</v>
      </c>
      <c r="I103" s="7">
        <f>27059.76*48%</f>
        <v>12988.684799999999</v>
      </c>
      <c r="J103" s="32">
        <f>F46</f>
        <v>3010</v>
      </c>
      <c r="K103" s="7">
        <f>I103/J103</f>
        <v>4.3151776744186048</v>
      </c>
      <c r="L103" s="34"/>
      <c r="M103" s="34"/>
    </row>
    <row r="104" spans="1:13" s="8" customFormat="1" ht="26.25" customHeight="1" x14ac:dyDescent="0.25">
      <c r="A104" s="65" t="s">
        <v>119</v>
      </c>
      <c r="B104" s="66"/>
      <c r="C104" s="66"/>
      <c r="D104" s="66"/>
      <c r="E104" s="67"/>
      <c r="F104" s="37" t="s">
        <v>121</v>
      </c>
      <c r="G104" s="7">
        <v>1</v>
      </c>
      <c r="H104" s="7">
        <v>80.540000000000006</v>
      </c>
      <c r="I104" s="7">
        <f>966.42*48%</f>
        <v>463.88159999999993</v>
      </c>
      <c r="J104" s="32">
        <v>3010</v>
      </c>
      <c r="K104" s="7">
        <f t="shared" ref="K104:K105" si="8">I104/J104</f>
        <v>0.15411348837209299</v>
      </c>
      <c r="L104" s="34"/>
      <c r="M104" s="34"/>
    </row>
    <row r="105" spans="1:13" s="8" customFormat="1" ht="28.5" customHeight="1" x14ac:dyDescent="0.25">
      <c r="A105" s="65" t="s">
        <v>120</v>
      </c>
      <c r="B105" s="66"/>
      <c r="C105" s="66"/>
      <c r="D105" s="66"/>
      <c r="E105" s="67"/>
      <c r="F105" s="37" t="s">
        <v>121</v>
      </c>
      <c r="G105" s="7">
        <v>1</v>
      </c>
      <c r="H105" s="7"/>
      <c r="I105" s="7">
        <f>6481.44*48%</f>
        <v>3111.0911999999998</v>
      </c>
      <c r="J105" s="32">
        <v>3010</v>
      </c>
      <c r="K105" s="7">
        <f t="shared" si="8"/>
        <v>1.0335851162790697</v>
      </c>
      <c r="L105" s="34"/>
      <c r="M105" s="34"/>
    </row>
    <row r="106" spans="1:13" s="8" customFormat="1" ht="30.75" customHeight="1" x14ac:dyDescent="0.25">
      <c r="A106" s="65" t="s">
        <v>77</v>
      </c>
      <c r="B106" s="68"/>
      <c r="C106" s="68"/>
      <c r="D106" s="68"/>
      <c r="E106" s="69"/>
      <c r="F106" s="37" t="s">
        <v>121</v>
      </c>
      <c r="G106" s="7">
        <v>1</v>
      </c>
      <c r="H106" s="7">
        <v>1901.87</v>
      </c>
      <c r="I106" s="7">
        <f>22822.38*48%</f>
        <v>10954.742399999999</v>
      </c>
      <c r="J106" s="32">
        <f>J103</f>
        <v>3010</v>
      </c>
      <c r="K106" s="7">
        <f>I106/J106</f>
        <v>3.6394493023255809</v>
      </c>
      <c r="L106" s="34"/>
      <c r="M106" s="34"/>
    </row>
    <row r="107" spans="1:13" s="8" customFormat="1" x14ac:dyDescent="0.25">
      <c r="A107" s="56" t="s">
        <v>21</v>
      </c>
      <c r="B107" s="57"/>
      <c r="C107" s="57"/>
      <c r="D107" s="57"/>
      <c r="E107" s="57"/>
      <c r="F107" s="57"/>
      <c r="G107" s="57"/>
      <c r="H107" s="60"/>
      <c r="I107" s="5">
        <f t="shared" ref="I107" si="9">SUM(I103:I106)</f>
        <v>27518.399999999998</v>
      </c>
      <c r="J107" s="52">
        <f>J104</f>
        <v>3010</v>
      </c>
      <c r="K107" s="5">
        <f>I107/J107</f>
        <v>9.1423255813953475</v>
      </c>
      <c r="L107" s="6"/>
      <c r="M107" s="34"/>
    </row>
    <row r="108" spans="1:13" s="8" customFormat="1" x14ac:dyDescent="0.25">
      <c r="A108" s="35"/>
      <c r="B108" s="35"/>
      <c r="C108" s="35"/>
      <c r="D108" s="35"/>
      <c r="E108" s="35"/>
      <c r="F108" s="35"/>
      <c r="G108" s="35"/>
      <c r="H108" s="35"/>
      <c r="I108" s="6"/>
      <c r="J108" s="6"/>
      <c r="K108" s="6"/>
      <c r="L108" s="6"/>
      <c r="M108" s="34"/>
    </row>
    <row r="109" spans="1:13" s="8" customFormat="1" x14ac:dyDescent="0.25">
      <c r="A109" s="35"/>
      <c r="B109" s="35"/>
      <c r="C109" s="35"/>
      <c r="D109" s="35"/>
      <c r="E109" s="35"/>
      <c r="F109" s="35"/>
      <c r="G109" s="35"/>
      <c r="H109" s="35"/>
      <c r="I109" s="6"/>
      <c r="J109" s="6"/>
      <c r="K109" s="6"/>
      <c r="L109" s="6"/>
      <c r="M109" s="34"/>
    </row>
    <row r="110" spans="1:13" s="8" customFormat="1" x14ac:dyDescent="0.25">
      <c r="A110" s="58" t="s">
        <v>37</v>
      </c>
      <c r="B110" s="58"/>
      <c r="C110" s="58"/>
      <c r="D110" s="58"/>
      <c r="E110" s="58"/>
      <c r="F110" s="58"/>
      <c r="G110" s="58"/>
      <c r="H110" s="58"/>
      <c r="I110" s="58"/>
      <c r="J110" s="58"/>
      <c r="K110" s="58"/>
      <c r="L110" s="59"/>
    </row>
    <row r="111" spans="1:13" s="8" customFormat="1" ht="75" x14ac:dyDescent="0.25">
      <c r="A111" s="62" t="s">
        <v>5</v>
      </c>
      <c r="B111" s="63"/>
      <c r="C111" s="63"/>
      <c r="D111" s="63"/>
      <c r="E111" s="64"/>
      <c r="F111" s="23" t="s">
        <v>6</v>
      </c>
      <c r="G111" s="23" t="s">
        <v>1</v>
      </c>
      <c r="H111" s="23" t="s">
        <v>66</v>
      </c>
      <c r="I111" s="23" t="s">
        <v>67</v>
      </c>
      <c r="J111" s="23" t="s">
        <v>68</v>
      </c>
      <c r="K111" s="24" t="s">
        <v>69</v>
      </c>
      <c r="L111" s="33"/>
    </row>
    <row r="112" spans="1:13" s="8" customFormat="1" ht="15" hidden="1" customHeight="1" x14ac:dyDescent="0.25">
      <c r="A112" s="55" t="s">
        <v>3</v>
      </c>
      <c r="B112" s="55"/>
      <c r="C112" s="55"/>
      <c r="D112" s="55"/>
      <c r="E112" s="55"/>
      <c r="F112" s="38">
        <f>'Услуга №1'!F87</f>
        <v>16626</v>
      </c>
      <c r="G112" s="7">
        <v>0.48</v>
      </c>
      <c r="H112" s="3">
        <f>F112*G112*12</f>
        <v>95765.759999999995</v>
      </c>
      <c r="I112" s="7">
        <f>H112*1.302</f>
        <v>124687.01952</v>
      </c>
      <c r="J112" s="7">
        <v>3000</v>
      </c>
      <c r="K112" s="7">
        <f>I112/J112</f>
        <v>41.56233984</v>
      </c>
      <c r="L112" s="34"/>
    </row>
    <row r="113" spans="1:13" s="8" customFormat="1" ht="15" hidden="1" customHeight="1" x14ac:dyDescent="0.25">
      <c r="A113" s="55" t="s">
        <v>42</v>
      </c>
      <c r="B113" s="55"/>
      <c r="C113" s="55"/>
      <c r="D113" s="55"/>
      <c r="E113" s="55"/>
      <c r="F113" s="7">
        <f>'Услуга №1'!F89</f>
        <v>11538</v>
      </c>
      <c r="G113" s="7">
        <v>0.48</v>
      </c>
      <c r="H113" s="3">
        <f t="shared" ref="H113:H114" si="10">F113*G113*12</f>
        <v>66458.880000000005</v>
      </c>
      <c r="I113" s="7">
        <f t="shared" ref="I113:I114" si="11">H113*1.302</f>
        <v>86529.461760000006</v>
      </c>
      <c r="J113" s="7">
        <f>J112</f>
        <v>3000</v>
      </c>
      <c r="K113" s="7">
        <f t="shared" ref="K113:K114" si="12">I113/J113</f>
        <v>28.843153920000002</v>
      </c>
      <c r="L113" s="34"/>
    </row>
    <row r="114" spans="1:13" s="8" customFormat="1" ht="15" hidden="1" customHeight="1" x14ac:dyDescent="0.25">
      <c r="A114" s="55" t="s">
        <v>48</v>
      </c>
      <c r="B114" s="55"/>
      <c r="C114" s="55"/>
      <c r="D114" s="55"/>
      <c r="E114" s="55"/>
      <c r="F114" s="38">
        <f>'Услуга №1'!F95</f>
        <v>5669</v>
      </c>
      <c r="G114" s="7">
        <v>0.24</v>
      </c>
      <c r="H114" s="3">
        <f t="shared" si="10"/>
        <v>16326.72</v>
      </c>
      <c r="I114" s="7">
        <f t="shared" si="11"/>
        <v>21257.389439999999</v>
      </c>
      <c r="J114" s="7">
        <f>J113</f>
        <v>3000</v>
      </c>
      <c r="K114" s="7">
        <f t="shared" si="12"/>
        <v>7.08579648</v>
      </c>
      <c r="L114" s="34"/>
    </row>
    <row r="115" spans="1:13" ht="20.25" customHeight="1" x14ac:dyDescent="0.25">
      <c r="A115" s="39" t="s">
        <v>22</v>
      </c>
      <c r="B115" s="40"/>
      <c r="C115" s="40"/>
      <c r="D115" s="40"/>
      <c r="E115" s="40"/>
      <c r="F115" s="2">
        <v>19839.04</v>
      </c>
      <c r="G115" s="2">
        <f>SUM(G112:G114)</f>
        <v>1.2</v>
      </c>
      <c r="H115" s="2">
        <f>F115*G115*12</f>
        <v>285682.17600000004</v>
      </c>
      <c r="I115" s="2">
        <f>H115*1.302</f>
        <v>371958.19315200008</v>
      </c>
      <c r="J115" s="51">
        <v>3010</v>
      </c>
      <c r="K115" s="2">
        <f>I115/J115</f>
        <v>123.57415054883724</v>
      </c>
      <c r="L115" s="34"/>
      <c r="M115" s="8"/>
    </row>
    <row r="116" spans="1:13" s="8" customFormat="1" ht="12" customHeight="1" x14ac:dyDescent="0.25">
      <c r="F116" s="42"/>
      <c r="G116" s="42"/>
      <c r="H116" s="42"/>
      <c r="I116" s="42"/>
      <c r="J116" s="42"/>
      <c r="K116" s="42"/>
      <c r="L116" s="42"/>
    </row>
    <row r="117" spans="1:13" x14ac:dyDescent="0.25">
      <c r="A117" s="58" t="s">
        <v>78</v>
      </c>
      <c r="B117" s="58"/>
      <c r="C117" s="58"/>
      <c r="D117" s="58"/>
      <c r="E117" s="58"/>
      <c r="F117" s="58"/>
      <c r="G117" s="58"/>
      <c r="H117" s="58"/>
      <c r="I117" s="58"/>
      <c r="J117" s="58"/>
      <c r="K117" s="58"/>
      <c r="L117" s="59"/>
      <c r="M117" s="8"/>
    </row>
    <row r="118" spans="1:13" ht="44.25" customHeight="1" x14ac:dyDescent="0.25">
      <c r="A118" s="79" t="s">
        <v>54</v>
      </c>
      <c r="B118" s="79"/>
      <c r="C118" s="79"/>
      <c r="D118" s="79"/>
      <c r="E118" s="79"/>
      <c r="F118" s="23" t="s">
        <v>7</v>
      </c>
      <c r="G118" s="23" t="s">
        <v>65</v>
      </c>
      <c r="H118" s="23" t="s">
        <v>64</v>
      </c>
      <c r="I118" s="23" t="s">
        <v>73</v>
      </c>
      <c r="J118" s="23" t="s">
        <v>68</v>
      </c>
      <c r="K118" s="27" t="s">
        <v>69</v>
      </c>
      <c r="L118" s="28"/>
      <c r="M118" s="8"/>
    </row>
    <row r="119" spans="1:13" ht="23.25" customHeight="1" x14ac:dyDescent="0.25">
      <c r="A119" s="65" t="s">
        <v>122</v>
      </c>
      <c r="B119" s="68"/>
      <c r="C119" s="68"/>
      <c r="D119" s="68"/>
      <c r="E119" s="69"/>
      <c r="F119" s="23"/>
      <c r="G119" s="43"/>
      <c r="H119" s="43"/>
      <c r="I119" s="43">
        <f>124060*48%</f>
        <v>59548.799999999996</v>
      </c>
      <c r="J119" s="43">
        <v>3010</v>
      </c>
      <c r="K119" s="32">
        <f>I119/J119</f>
        <v>19.783654485049833</v>
      </c>
      <c r="L119" s="28"/>
      <c r="M119" s="8"/>
    </row>
    <row r="120" spans="1:13" ht="30.75" customHeight="1" x14ac:dyDescent="0.25">
      <c r="A120" s="71" t="s">
        <v>123</v>
      </c>
      <c r="B120" s="72"/>
      <c r="C120" s="72"/>
      <c r="D120" s="72"/>
      <c r="E120" s="73"/>
      <c r="F120" s="23"/>
      <c r="G120" s="43"/>
      <c r="H120" s="43"/>
      <c r="I120" s="43">
        <f>200000*48%</f>
        <v>96000</v>
      </c>
      <c r="J120" s="43">
        <v>3010</v>
      </c>
      <c r="K120" s="32">
        <f t="shared" ref="K120" si="13">I120/J120</f>
        <v>31.893687707641195</v>
      </c>
      <c r="L120" s="28"/>
      <c r="M120" s="8"/>
    </row>
    <row r="121" spans="1:13" x14ac:dyDescent="0.25">
      <c r="A121" s="56" t="s">
        <v>79</v>
      </c>
      <c r="B121" s="57"/>
      <c r="C121" s="57"/>
      <c r="D121" s="57"/>
      <c r="E121" s="57"/>
      <c r="F121" s="57"/>
      <c r="G121" s="57"/>
      <c r="H121" s="57"/>
      <c r="I121" s="5">
        <f>SUM(I119:I120)</f>
        <v>155548.79999999999</v>
      </c>
      <c r="J121" s="5">
        <v>3000</v>
      </c>
      <c r="K121" s="5">
        <f>SUM(K119:K120)</f>
        <v>51.677342192691029</v>
      </c>
      <c r="L121" s="30"/>
      <c r="M121" s="8"/>
    </row>
    <row r="122" spans="1:13" x14ac:dyDescent="0.25">
      <c r="A122" s="44"/>
      <c r="B122" s="44"/>
      <c r="C122" s="44"/>
      <c r="D122" s="44"/>
      <c r="E122" s="44"/>
      <c r="F122" s="44"/>
      <c r="G122" s="44"/>
      <c r="H122" s="44"/>
      <c r="I122" s="15"/>
      <c r="J122" s="15"/>
      <c r="K122" s="15"/>
      <c r="L122" s="34"/>
      <c r="M122" s="8"/>
    </row>
    <row r="123" spans="1:13" x14ac:dyDescent="0.25">
      <c r="A123" s="58" t="s">
        <v>124</v>
      </c>
      <c r="B123" s="58"/>
      <c r="C123" s="58"/>
      <c r="D123" s="58"/>
      <c r="E123" s="58"/>
      <c r="F123" s="58"/>
      <c r="G123" s="58"/>
      <c r="H123" s="58"/>
      <c r="I123" s="58"/>
      <c r="J123" s="58"/>
      <c r="K123" s="58"/>
      <c r="L123" s="59"/>
      <c r="M123" s="8"/>
    </row>
    <row r="124" spans="1:13" ht="44.25" customHeight="1" x14ac:dyDescent="0.25">
      <c r="A124" s="79" t="s">
        <v>54</v>
      </c>
      <c r="B124" s="79"/>
      <c r="C124" s="79"/>
      <c r="D124" s="79"/>
      <c r="E124" s="79"/>
      <c r="F124" s="23" t="s">
        <v>7</v>
      </c>
      <c r="G124" s="23" t="s">
        <v>65</v>
      </c>
      <c r="H124" s="23" t="s">
        <v>64</v>
      </c>
      <c r="I124" s="23" t="s">
        <v>73</v>
      </c>
      <c r="J124" s="23" t="s">
        <v>68</v>
      </c>
      <c r="K124" s="27" t="s">
        <v>69</v>
      </c>
      <c r="L124" s="28"/>
      <c r="M124" s="8"/>
    </row>
    <row r="125" spans="1:13" ht="23.25" customHeight="1" x14ac:dyDescent="0.25">
      <c r="A125" s="65" t="s">
        <v>125</v>
      </c>
      <c r="B125" s="68"/>
      <c r="C125" s="68"/>
      <c r="D125" s="68"/>
      <c r="E125" s="69"/>
      <c r="F125" s="23"/>
      <c r="G125" s="43"/>
      <c r="H125" s="43"/>
      <c r="I125" s="43">
        <f>138850*48%</f>
        <v>66648</v>
      </c>
      <c r="J125" s="43">
        <v>3010</v>
      </c>
      <c r="K125" s="32">
        <f>I125/J125</f>
        <v>22.142192691029901</v>
      </c>
      <c r="L125" s="28"/>
      <c r="M125" s="8"/>
    </row>
    <row r="126" spans="1:13" x14ac:dyDescent="0.25">
      <c r="A126" s="56" t="s">
        <v>126</v>
      </c>
      <c r="B126" s="57"/>
      <c r="C126" s="57"/>
      <c r="D126" s="57"/>
      <c r="E126" s="57"/>
      <c r="F126" s="57"/>
      <c r="G126" s="57"/>
      <c r="H126" s="57"/>
      <c r="I126" s="5">
        <f>SUM(I125:I125)</f>
        <v>66648</v>
      </c>
      <c r="J126" s="5">
        <v>3010</v>
      </c>
      <c r="K126" s="5">
        <f>SUM(K125:K125)</f>
        <v>22.142192691029901</v>
      </c>
      <c r="L126" s="30"/>
      <c r="M126" s="8"/>
    </row>
    <row r="127" spans="1:13" x14ac:dyDescent="0.25">
      <c r="A127" s="44"/>
      <c r="B127" s="44"/>
      <c r="C127" s="44"/>
      <c r="D127" s="44"/>
      <c r="E127" s="44"/>
      <c r="F127" s="44"/>
      <c r="G127" s="44"/>
      <c r="H127" s="44"/>
      <c r="I127" s="15"/>
      <c r="J127" s="15"/>
      <c r="K127" s="15"/>
      <c r="L127" s="34"/>
      <c r="M127" s="8"/>
    </row>
    <row r="128" spans="1:13" s="8" customFormat="1" ht="12.75" customHeight="1" x14ac:dyDescent="0.25">
      <c r="A128" s="58" t="s">
        <v>23</v>
      </c>
      <c r="B128" s="58"/>
      <c r="C128" s="58"/>
      <c r="D128" s="58"/>
      <c r="E128" s="58"/>
      <c r="F128" s="58"/>
      <c r="G128" s="58"/>
      <c r="H128" s="58"/>
      <c r="I128" s="58"/>
      <c r="J128" s="58"/>
      <c r="K128" s="58"/>
      <c r="L128" s="58"/>
    </row>
    <row r="129" spans="1:12" s="8" customFormat="1" ht="15" customHeight="1" x14ac:dyDescent="0.25">
      <c r="A129" s="80" t="s">
        <v>24</v>
      </c>
      <c r="B129" s="80"/>
      <c r="C129" s="80"/>
      <c r="D129" s="62" t="s">
        <v>25</v>
      </c>
      <c r="E129" s="63"/>
      <c r="F129" s="63"/>
      <c r="G129" s="63"/>
      <c r="H129" s="63"/>
      <c r="I129" s="63"/>
      <c r="J129" s="64"/>
      <c r="K129" s="82" t="s">
        <v>36</v>
      </c>
      <c r="L129" s="83"/>
    </row>
    <row r="130" spans="1:12" s="8" customFormat="1" ht="30" x14ac:dyDescent="0.25">
      <c r="A130" s="7" t="s">
        <v>26</v>
      </c>
      <c r="B130" s="25" t="s">
        <v>27</v>
      </c>
      <c r="C130" s="7" t="s">
        <v>28</v>
      </c>
      <c r="D130" s="7" t="s">
        <v>29</v>
      </c>
      <c r="E130" s="7" t="s">
        <v>30</v>
      </c>
      <c r="F130" s="7" t="s">
        <v>31</v>
      </c>
      <c r="G130" s="7" t="s">
        <v>32</v>
      </c>
      <c r="H130" s="7" t="s">
        <v>33</v>
      </c>
      <c r="I130" s="7" t="s">
        <v>34</v>
      </c>
      <c r="J130" s="7" t="s">
        <v>35</v>
      </c>
      <c r="K130" s="84"/>
      <c r="L130" s="85"/>
    </row>
    <row r="131" spans="1:12" s="8" customFormat="1" x14ac:dyDescent="0.25">
      <c r="A131" s="7">
        <f>K74</f>
        <v>2445.7990767808642</v>
      </c>
      <c r="B131" s="7"/>
      <c r="C131" s="7"/>
      <c r="D131" s="7">
        <f>K83</f>
        <v>192.93302112956809</v>
      </c>
      <c r="E131" s="7">
        <f>K92</f>
        <v>84.246984717607972</v>
      </c>
      <c r="F131" s="7"/>
      <c r="G131" s="7">
        <f>K107</f>
        <v>9.1423255813953475</v>
      </c>
      <c r="H131" s="7">
        <f>K99</f>
        <v>10.809711627906976</v>
      </c>
      <c r="I131" s="7">
        <f>K115</f>
        <v>123.57415054883724</v>
      </c>
      <c r="J131" s="7">
        <f>K121+K126</f>
        <v>73.819534883720934</v>
      </c>
      <c r="K131" s="77">
        <f>SUM(A131:J131)</f>
        <v>2940.3248052699005</v>
      </c>
      <c r="L131" s="78"/>
    </row>
    <row r="132" spans="1:12" s="8" customFormat="1" x14ac:dyDescent="0.25"/>
    <row r="133" spans="1:12" s="8" customFormat="1" ht="15.75" x14ac:dyDescent="0.25">
      <c r="A133" s="16" t="s">
        <v>60</v>
      </c>
      <c r="B133" s="16"/>
      <c r="C133" s="16"/>
      <c r="D133" s="16"/>
      <c r="E133" s="16"/>
      <c r="F133" s="16" t="s">
        <v>61</v>
      </c>
      <c r="I133" s="11">
        <f>I74+I83+I92+I99+I107+I121+I126+I115-0.01</f>
        <v>8850377.6538624</v>
      </c>
      <c r="K133" s="11">
        <f>K131*J125-0.01</f>
        <v>8850377.6538624</v>
      </c>
    </row>
    <row r="134" spans="1:12" s="8" customFormat="1" x14ac:dyDescent="0.25"/>
    <row r="135" spans="1:12" s="8" customFormat="1" x14ac:dyDescent="0.25"/>
    <row r="136" spans="1:12" s="8" customFormat="1" x14ac:dyDescent="0.25"/>
    <row r="137" spans="1:12" s="8" customFormat="1" x14ac:dyDescent="0.25"/>
    <row r="138" spans="1:12" s="8" customFormat="1" x14ac:dyDescent="0.25">
      <c r="A138" s="45" t="s">
        <v>127</v>
      </c>
      <c r="B138" s="45"/>
      <c r="C138" s="45"/>
    </row>
    <row r="139" spans="1:12" s="8" customFormat="1" x14ac:dyDescent="0.25">
      <c r="A139" s="45" t="s">
        <v>62</v>
      </c>
      <c r="B139" s="45"/>
      <c r="C139" s="45"/>
    </row>
  </sheetData>
  <mergeCells count="135">
    <mergeCell ref="G26:K26"/>
    <mergeCell ref="A27:E27"/>
    <mergeCell ref="G29:K29"/>
    <mergeCell ref="A26:E26"/>
    <mergeCell ref="A21:E21"/>
    <mergeCell ref="G21:K21"/>
    <mergeCell ref="A22:E22"/>
    <mergeCell ref="A8:L8"/>
    <mergeCell ref="A9:L9"/>
    <mergeCell ref="A10:L10"/>
    <mergeCell ref="G31:K31"/>
    <mergeCell ref="A32:E32"/>
    <mergeCell ref="G32:K32"/>
    <mergeCell ref="G22:K22"/>
    <mergeCell ref="A71:E71"/>
    <mergeCell ref="A72:E72"/>
    <mergeCell ref="G36:K36"/>
    <mergeCell ref="A33:E33"/>
    <mergeCell ref="G33:K33"/>
    <mergeCell ref="A38:E38"/>
    <mergeCell ref="G38:K38"/>
    <mergeCell ref="A63:E63"/>
    <mergeCell ref="A64:E64"/>
    <mergeCell ref="A44:E44"/>
    <mergeCell ref="G44:K44"/>
    <mergeCell ref="A51:E51"/>
    <mergeCell ref="G35:K35"/>
    <mergeCell ref="A52:E52"/>
    <mergeCell ref="A34:E34"/>
    <mergeCell ref="G34:K34"/>
    <mergeCell ref="A29:E29"/>
    <mergeCell ref="A35:E35"/>
    <mergeCell ref="A37:E37"/>
    <mergeCell ref="A43:E43"/>
    <mergeCell ref="A94:L94"/>
    <mergeCell ref="A95:E95"/>
    <mergeCell ref="A4:F4"/>
    <mergeCell ref="A5:D5"/>
    <mergeCell ref="G27:K27"/>
    <mergeCell ref="A28:E28"/>
    <mergeCell ref="G28:K28"/>
    <mergeCell ref="A25:E25"/>
    <mergeCell ref="G25:K25"/>
    <mergeCell ref="A17:E17"/>
    <mergeCell ref="G17:K17"/>
    <mergeCell ref="A18:E18"/>
    <mergeCell ref="G18:K18"/>
    <mergeCell ref="A19:E19"/>
    <mergeCell ref="G19:K19"/>
    <mergeCell ref="A23:E23"/>
    <mergeCell ref="G23:K23"/>
    <mergeCell ref="A24:E24"/>
    <mergeCell ref="G24:K24"/>
    <mergeCell ref="A20:E20"/>
    <mergeCell ref="G20:K20"/>
    <mergeCell ref="A30:E30"/>
    <mergeCell ref="G30:K30"/>
    <mergeCell ref="A31:E31"/>
    <mergeCell ref="A128:L128"/>
    <mergeCell ref="A101:L101"/>
    <mergeCell ref="A110:L110"/>
    <mergeCell ref="A113:E113"/>
    <mergeCell ref="A114:E114"/>
    <mergeCell ref="A111:E111"/>
    <mergeCell ref="A112:E112"/>
    <mergeCell ref="A117:L117"/>
    <mergeCell ref="A105:E105"/>
    <mergeCell ref="A106:E106"/>
    <mergeCell ref="A107:H107"/>
    <mergeCell ref="A118:E118"/>
    <mergeCell ref="A119:E119"/>
    <mergeCell ref="A120:E120"/>
    <mergeCell ref="A121:H121"/>
    <mergeCell ref="A123:L123"/>
    <mergeCell ref="A124:E124"/>
    <mergeCell ref="A125:E125"/>
    <mergeCell ref="A126:H126"/>
    <mergeCell ref="A96:E96"/>
    <mergeCell ref="K131:L131"/>
    <mergeCell ref="A97:E97"/>
    <mergeCell ref="A54:E54"/>
    <mergeCell ref="A55:E55"/>
    <mergeCell ref="A69:E69"/>
    <mergeCell ref="A89:E89"/>
    <mergeCell ref="A90:E90"/>
    <mergeCell ref="A62:E62"/>
    <mergeCell ref="A60:E60"/>
    <mergeCell ref="A78:E78"/>
    <mergeCell ref="A79:E79"/>
    <mergeCell ref="A57:E57"/>
    <mergeCell ref="A58:E58"/>
    <mergeCell ref="A59:E59"/>
    <mergeCell ref="A76:L76"/>
    <mergeCell ref="A85:L85"/>
    <mergeCell ref="A91:E91"/>
    <mergeCell ref="A56:E56"/>
    <mergeCell ref="A61:E61"/>
    <mergeCell ref="A87:E87"/>
    <mergeCell ref="A129:C129"/>
    <mergeCell ref="D129:J129"/>
    <mergeCell ref="K129:L130"/>
    <mergeCell ref="A81:E81"/>
    <mergeCell ref="A39:E39"/>
    <mergeCell ref="A40:E40"/>
    <mergeCell ref="G37:K37"/>
    <mergeCell ref="G43:K43"/>
    <mergeCell ref="G39:K39"/>
    <mergeCell ref="G40:K40"/>
    <mergeCell ref="A41:E41"/>
    <mergeCell ref="G41:K41"/>
    <mergeCell ref="A42:E42"/>
    <mergeCell ref="A98:E98"/>
    <mergeCell ref="A99:H99"/>
    <mergeCell ref="A102:E102"/>
    <mergeCell ref="A103:E103"/>
    <mergeCell ref="A104:E104"/>
    <mergeCell ref="A36:E36"/>
    <mergeCell ref="A68:E68"/>
    <mergeCell ref="A49:E49"/>
    <mergeCell ref="A70:E70"/>
    <mergeCell ref="A86:E86"/>
    <mergeCell ref="A88:E88"/>
    <mergeCell ref="A53:E53"/>
    <mergeCell ref="G42:K42"/>
    <mergeCell ref="A66:E66"/>
    <mergeCell ref="A67:E67"/>
    <mergeCell ref="A73:E73"/>
    <mergeCell ref="A77:E77"/>
    <mergeCell ref="A47:E47"/>
    <mergeCell ref="A48:E48"/>
    <mergeCell ref="A50:E50"/>
    <mergeCell ref="A65:E65"/>
    <mergeCell ref="A83:H83"/>
    <mergeCell ref="A82:E82"/>
    <mergeCell ref="A80:E80"/>
  </mergeCells>
  <pageMargins left="0.35433070866141736" right="0.35433070866141736" top="0.35433070866141736" bottom="0.31496062992125984" header="0.31496062992125984" footer="0.31496062992125984"/>
  <pageSetup paperSize="9" scale="80" orientation="landscape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6"/>
  <sheetViews>
    <sheetView topLeftCell="A105" zoomScale="90" zoomScaleNormal="90" workbookViewId="0">
      <selection activeCell="K123" sqref="K123"/>
    </sheetView>
  </sheetViews>
  <sheetFormatPr defaultRowHeight="15" x14ac:dyDescent="0.25"/>
  <cols>
    <col min="1" max="3" width="9.140625" style="9" customWidth="1"/>
    <col min="4" max="4" width="10.28515625" style="9" customWidth="1"/>
    <col min="5" max="5" width="18.85546875" style="9" customWidth="1"/>
    <col min="6" max="6" width="10.85546875" style="9" customWidth="1"/>
    <col min="7" max="7" width="14.28515625" style="9" customWidth="1"/>
    <col min="8" max="8" width="17.42578125" style="9" customWidth="1"/>
    <col min="9" max="10" width="13.7109375" style="9" customWidth="1"/>
    <col min="11" max="11" width="13.28515625" style="9" customWidth="1"/>
    <col min="12" max="12" width="11.85546875" style="9" customWidth="1"/>
    <col min="13" max="13" width="13.5703125" style="9" customWidth="1"/>
    <col min="14" max="16384" width="9.140625" style="9"/>
  </cols>
  <sheetData>
    <row r="1" spans="1:12" s="21" customFormat="1" x14ac:dyDescent="0.25">
      <c r="A1" s="46" t="s">
        <v>57</v>
      </c>
      <c r="B1" s="46"/>
      <c r="C1" s="46"/>
      <c r="D1" s="1"/>
    </row>
    <row r="2" spans="1:12" s="21" customFormat="1" x14ac:dyDescent="0.25">
      <c r="A2" s="47" t="s">
        <v>58</v>
      </c>
      <c r="B2" s="47"/>
      <c r="C2" s="47"/>
      <c r="D2" s="1"/>
    </row>
    <row r="3" spans="1:12" s="21" customFormat="1" x14ac:dyDescent="0.25">
      <c r="A3" s="48"/>
      <c r="B3" s="48"/>
      <c r="C3" s="48"/>
      <c r="D3" s="1"/>
    </row>
    <row r="4" spans="1:12" s="21" customFormat="1" x14ac:dyDescent="0.25">
      <c r="A4" s="86" t="s">
        <v>59</v>
      </c>
      <c r="B4" s="86"/>
      <c r="C4" s="86"/>
      <c r="D4" s="87"/>
      <c r="E4" s="87"/>
      <c r="F4" s="87"/>
    </row>
    <row r="5" spans="1:12" s="21" customFormat="1" x14ac:dyDescent="0.25">
      <c r="A5" s="88" t="s">
        <v>107</v>
      </c>
      <c r="B5" s="88"/>
      <c r="C5" s="88"/>
      <c r="D5" s="87"/>
    </row>
    <row r="6" spans="1:12" s="21" customFormat="1" x14ac:dyDescent="0.25"/>
    <row r="7" spans="1:12" s="21" customFormat="1" x14ac:dyDescent="0.25"/>
    <row r="8" spans="1:12" s="21" customFormat="1" x14ac:dyDescent="0.25">
      <c r="A8" s="81" t="s">
        <v>63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21" customFormat="1" x14ac:dyDescent="0.25">
      <c r="A9" s="81" t="s">
        <v>106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s="21" customFormat="1" x14ac:dyDescent="0.25">
      <c r="A10" s="81" t="s">
        <v>108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</row>
    <row r="11" spans="1:12" s="21" customFormat="1" x14ac:dyDescent="0.25"/>
    <row r="12" spans="1:12" s="21" customFormat="1" x14ac:dyDescent="0.25">
      <c r="A12" s="49" t="s">
        <v>95</v>
      </c>
    </row>
    <row r="13" spans="1:12" s="21" customFormat="1" x14ac:dyDescent="0.25">
      <c r="A13" s="49" t="s">
        <v>103</v>
      </c>
    </row>
    <row r="14" spans="1:12" s="21" customFormat="1" x14ac:dyDescent="0.25">
      <c r="A14" s="49" t="s">
        <v>112</v>
      </c>
    </row>
    <row r="15" spans="1:12" s="21" customFormat="1" x14ac:dyDescent="0.25">
      <c r="A15" s="22" t="s">
        <v>111</v>
      </c>
      <c r="B15" s="8"/>
      <c r="C15" s="8"/>
      <c r="D15" s="8"/>
      <c r="E15" s="8"/>
    </row>
    <row r="16" spans="1:12" s="8" customFormat="1" ht="33" customHeight="1" x14ac:dyDescent="0.25">
      <c r="A16" s="80" t="s">
        <v>0</v>
      </c>
      <c r="B16" s="80"/>
      <c r="C16" s="80"/>
      <c r="D16" s="80"/>
      <c r="E16" s="80"/>
      <c r="F16" s="23" t="s">
        <v>1</v>
      </c>
      <c r="G16" s="80" t="s">
        <v>2</v>
      </c>
      <c r="H16" s="80"/>
      <c r="I16" s="80"/>
      <c r="J16" s="80"/>
      <c r="K16" s="80"/>
      <c r="L16" s="23" t="s">
        <v>1</v>
      </c>
    </row>
    <row r="17" spans="1:12" s="8" customFormat="1" ht="15" customHeight="1" x14ac:dyDescent="0.25">
      <c r="A17" s="55" t="s">
        <v>41</v>
      </c>
      <c r="B17" s="55"/>
      <c r="C17" s="55"/>
      <c r="D17" s="55"/>
      <c r="E17" s="55"/>
      <c r="F17" s="7">
        <v>0.01</v>
      </c>
      <c r="G17" s="55" t="s">
        <v>3</v>
      </c>
      <c r="H17" s="55"/>
      <c r="I17" s="55"/>
      <c r="J17" s="55"/>
      <c r="K17" s="55"/>
      <c r="L17" s="7">
        <v>0.01</v>
      </c>
    </row>
    <row r="18" spans="1:12" s="8" customFormat="1" ht="15" customHeight="1" x14ac:dyDescent="0.25">
      <c r="A18" s="70" t="s">
        <v>81</v>
      </c>
      <c r="B18" s="70"/>
      <c r="C18" s="70"/>
      <c r="D18" s="70"/>
      <c r="E18" s="70"/>
      <c r="F18" s="7">
        <v>0.01</v>
      </c>
      <c r="G18" s="65" t="s">
        <v>42</v>
      </c>
      <c r="H18" s="68"/>
      <c r="I18" s="68"/>
      <c r="J18" s="68"/>
      <c r="K18" s="69"/>
      <c r="L18" s="7">
        <v>0.01</v>
      </c>
    </row>
    <row r="19" spans="1:12" s="8" customFormat="1" ht="15" customHeight="1" x14ac:dyDescent="0.25">
      <c r="A19" s="55" t="s">
        <v>43</v>
      </c>
      <c r="B19" s="55"/>
      <c r="C19" s="55"/>
      <c r="D19" s="55"/>
      <c r="E19" s="55"/>
      <c r="F19" s="7">
        <v>0.01</v>
      </c>
      <c r="G19" s="55" t="s">
        <v>44</v>
      </c>
      <c r="H19" s="55"/>
      <c r="I19" s="55"/>
      <c r="J19" s="55"/>
      <c r="K19" s="55"/>
      <c r="L19" s="7">
        <v>0.01</v>
      </c>
    </row>
    <row r="20" spans="1:12" s="8" customFormat="1" ht="15" customHeight="1" x14ac:dyDescent="0.25">
      <c r="A20" s="70" t="s">
        <v>82</v>
      </c>
      <c r="B20" s="70"/>
      <c r="C20" s="70"/>
      <c r="D20" s="70"/>
      <c r="E20" s="70"/>
      <c r="F20" s="7">
        <v>0.01</v>
      </c>
      <c r="G20" s="55" t="s">
        <v>80</v>
      </c>
      <c r="H20" s="55"/>
      <c r="I20" s="55"/>
      <c r="J20" s="55"/>
      <c r="K20" s="55"/>
      <c r="L20" s="7">
        <v>0.01</v>
      </c>
    </row>
    <row r="21" spans="1:12" s="8" customFormat="1" ht="15" customHeight="1" x14ac:dyDescent="0.25">
      <c r="A21" s="65" t="s">
        <v>46</v>
      </c>
      <c r="B21" s="68"/>
      <c r="C21" s="68"/>
      <c r="D21" s="68"/>
      <c r="E21" s="69"/>
      <c r="F21" s="7">
        <v>0.01</v>
      </c>
      <c r="G21" s="55" t="s">
        <v>38</v>
      </c>
      <c r="H21" s="55"/>
      <c r="I21" s="55"/>
      <c r="J21" s="55"/>
      <c r="K21" s="55"/>
      <c r="L21" s="7">
        <v>0.05</v>
      </c>
    </row>
    <row r="22" spans="1:12" s="8" customFormat="1" ht="15" customHeight="1" x14ac:dyDescent="0.25">
      <c r="A22" s="55" t="s">
        <v>47</v>
      </c>
      <c r="B22" s="55"/>
      <c r="C22" s="55"/>
      <c r="D22" s="55"/>
      <c r="E22" s="55"/>
      <c r="F22" s="7">
        <v>0.01</v>
      </c>
      <c r="G22" s="55" t="s">
        <v>83</v>
      </c>
      <c r="H22" s="55"/>
      <c r="I22" s="55"/>
      <c r="J22" s="55"/>
      <c r="K22" s="55"/>
      <c r="L22" s="7">
        <v>0.01</v>
      </c>
    </row>
    <row r="23" spans="1:12" s="8" customFormat="1" ht="15" customHeight="1" x14ac:dyDescent="0.25">
      <c r="A23" s="55" t="s">
        <v>84</v>
      </c>
      <c r="B23" s="55"/>
      <c r="C23" s="55"/>
      <c r="D23" s="55"/>
      <c r="E23" s="55"/>
      <c r="F23" s="7">
        <v>0.01</v>
      </c>
      <c r="G23" s="71" t="s">
        <v>45</v>
      </c>
      <c r="H23" s="72"/>
      <c r="I23" s="72"/>
      <c r="J23" s="72"/>
      <c r="K23" s="73"/>
      <c r="L23" s="7">
        <v>0.01</v>
      </c>
    </row>
    <row r="24" spans="1:12" s="8" customFormat="1" ht="15" customHeight="1" x14ac:dyDescent="0.25">
      <c r="A24" s="55" t="s">
        <v>85</v>
      </c>
      <c r="B24" s="55"/>
      <c r="C24" s="55"/>
      <c r="D24" s="55"/>
      <c r="E24" s="55"/>
      <c r="F24" s="7">
        <v>0.01</v>
      </c>
      <c r="G24" s="55" t="s">
        <v>48</v>
      </c>
      <c r="H24" s="55"/>
      <c r="I24" s="55"/>
      <c r="J24" s="55"/>
      <c r="K24" s="55"/>
      <c r="L24" s="7">
        <v>0.01</v>
      </c>
    </row>
    <row r="25" spans="1:12" s="8" customFormat="1" ht="15" customHeight="1" x14ac:dyDescent="0.25">
      <c r="A25" s="55" t="s">
        <v>86</v>
      </c>
      <c r="B25" s="55"/>
      <c r="C25" s="55"/>
      <c r="D25" s="55"/>
      <c r="E25" s="55"/>
      <c r="F25" s="7">
        <v>0.01</v>
      </c>
      <c r="G25" s="55" t="s">
        <v>89</v>
      </c>
      <c r="H25" s="55"/>
      <c r="I25" s="55"/>
      <c r="J25" s="55"/>
      <c r="K25" s="55"/>
      <c r="L25" s="7">
        <v>7.0000000000000007E-2</v>
      </c>
    </row>
    <row r="26" spans="1:12" s="8" customFormat="1" ht="15" customHeight="1" x14ac:dyDescent="0.25">
      <c r="A26" s="55" t="s">
        <v>87</v>
      </c>
      <c r="B26" s="55"/>
      <c r="C26" s="55"/>
      <c r="D26" s="55"/>
      <c r="E26" s="55"/>
      <c r="F26" s="7">
        <v>0.01</v>
      </c>
      <c r="G26" s="70" t="s">
        <v>50</v>
      </c>
      <c r="H26" s="70"/>
      <c r="I26" s="70"/>
      <c r="J26" s="70"/>
      <c r="K26" s="70"/>
      <c r="L26" s="7">
        <v>0.08</v>
      </c>
    </row>
    <row r="27" spans="1:12" s="8" customFormat="1" ht="15" customHeight="1" x14ac:dyDescent="0.25">
      <c r="A27" s="55" t="s">
        <v>88</v>
      </c>
      <c r="B27" s="55"/>
      <c r="C27" s="55"/>
      <c r="D27" s="55"/>
      <c r="E27" s="55"/>
      <c r="F27" s="7">
        <v>0.02</v>
      </c>
      <c r="G27" s="55" t="s">
        <v>91</v>
      </c>
      <c r="H27" s="55"/>
      <c r="I27" s="55"/>
      <c r="J27" s="55"/>
      <c r="K27" s="55"/>
      <c r="L27" s="7">
        <v>0.01</v>
      </c>
    </row>
    <row r="28" spans="1:12" s="8" customFormat="1" ht="15" customHeight="1" x14ac:dyDescent="0.25">
      <c r="A28" s="55" t="s">
        <v>90</v>
      </c>
      <c r="B28" s="55"/>
      <c r="C28" s="55"/>
      <c r="D28" s="55"/>
      <c r="E28" s="55"/>
      <c r="F28" s="7">
        <v>0.01</v>
      </c>
      <c r="G28" s="55" t="s">
        <v>92</v>
      </c>
      <c r="H28" s="55"/>
      <c r="I28" s="55"/>
      <c r="J28" s="55"/>
      <c r="K28" s="55"/>
      <c r="L28" s="7">
        <v>0.01</v>
      </c>
    </row>
    <row r="29" spans="1:12" s="8" customFormat="1" ht="15" customHeight="1" x14ac:dyDescent="0.25">
      <c r="A29" s="55" t="s">
        <v>51</v>
      </c>
      <c r="B29" s="55"/>
      <c r="C29" s="55"/>
      <c r="D29" s="55"/>
      <c r="E29" s="55"/>
      <c r="F29" s="7">
        <v>0.01</v>
      </c>
      <c r="G29" s="70" t="s">
        <v>93</v>
      </c>
      <c r="H29" s="70"/>
      <c r="I29" s="70"/>
      <c r="J29" s="70"/>
      <c r="K29" s="70"/>
      <c r="L29" s="7">
        <v>0.01</v>
      </c>
    </row>
    <row r="30" spans="1:12" s="8" customFormat="1" ht="15" customHeight="1" x14ac:dyDescent="0.25">
      <c r="A30" s="55" t="s">
        <v>49</v>
      </c>
      <c r="B30" s="55"/>
      <c r="C30" s="55"/>
      <c r="D30" s="55"/>
      <c r="E30" s="55"/>
      <c r="F30" s="7">
        <v>0.01</v>
      </c>
      <c r="G30" s="65" t="s">
        <v>52</v>
      </c>
      <c r="H30" s="68"/>
      <c r="I30" s="68"/>
      <c r="J30" s="68"/>
      <c r="K30" s="69"/>
      <c r="L30" s="7">
        <v>0.1</v>
      </c>
    </row>
    <row r="31" spans="1:12" s="8" customFormat="1" ht="15" customHeight="1" x14ac:dyDescent="0.25">
      <c r="A31" s="55"/>
      <c r="B31" s="55"/>
      <c r="C31" s="55"/>
      <c r="D31" s="55"/>
      <c r="E31" s="55"/>
      <c r="F31" s="7"/>
      <c r="G31" s="55" t="s">
        <v>94</v>
      </c>
      <c r="H31" s="55"/>
      <c r="I31" s="55"/>
      <c r="J31" s="55"/>
      <c r="K31" s="55"/>
      <c r="L31" s="7">
        <v>0.01</v>
      </c>
    </row>
    <row r="32" spans="1:12" s="8" customFormat="1" x14ac:dyDescent="0.25">
      <c r="A32" s="79" t="s">
        <v>4</v>
      </c>
      <c r="B32" s="79"/>
      <c r="C32" s="79"/>
      <c r="D32" s="79"/>
      <c r="E32" s="79"/>
      <c r="F32" s="7">
        <f>SUM(F17:F31)</f>
        <v>0.15000000000000002</v>
      </c>
      <c r="G32" s="79" t="s">
        <v>4</v>
      </c>
      <c r="H32" s="79"/>
      <c r="I32" s="79"/>
      <c r="J32" s="79"/>
      <c r="K32" s="79"/>
      <c r="L32" s="7">
        <f>SUM(L17:L31)</f>
        <v>0.41000000000000003</v>
      </c>
    </row>
    <row r="33" spans="1:12" s="8" customFormat="1" x14ac:dyDescent="0.25"/>
    <row r="34" spans="1:12" s="8" customFormat="1" x14ac:dyDescent="0.25">
      <c r="A34" s="22" t="s">
        <v>98</v>
      </c>
      <c r="F34" s="8">
        <v>48</v>
      </c>
    </row>
    <row r="35" spans="1:12" s="8" customFormat="1" ht="75" x14ac:dyDescent="0.25">
      <c r="A35" s="62" t="s">
        <v>5</v>
      </c>
      <c r="B35" s="63"/>
      <c r="C35" s="63"/>
      <c r="D35" s="63"/>
      <c r="E35" s="64"/>
      <c r="F35" s="23" t="s">
        <v>6</v>
      </c>
      <c r="G35" s="23" t="s">
        <v>1</v>
      </c>
      <c r="H35" s="23" t="s">
        <v>66</v>
      </c>
      <c r="I35" s="23" t="s">
        <v>67</v>
      </c>
      <c r="J35" s="23" t="s">
        <v>68</v>
      </c>
      <c r="K35" s="24" t="s">
        <v>69</v>
      </c>
      <c r="L35" s="33"/>
    </row>
    <row r="36" spans="1:12" s="8" customFormat="1" ht="15" hidden="1" customHeight="1" x14ac:dyDescent="0.25">
      <c r="A36" s="55" t="s">
        <v>41</v>
      </c>
      <c r="B36" s="55"/>
      <c r="C36" s="55"/>
      <c r="D36" s="55"/>
      <c r="E36" s="55"/>
      <c r="F36" s="7">
        <f>'Услуга №1'!F37</f>
        <v>14963</v>
      </c>
      <c r="G36" s="7">
        <v>0.1</v>
      </c>
      <c r="H36" s="7">
        <f>F36*G36*12</f>
        <v>17955.600000000002</v>
      </c>
      <c r="I36" s="7">
        <f>H36*1.302</f>
        <v>23378.191200000005</v>
      </c>
      <c r="J36" s="7">
        <f>F34</f>
        <v>48</v>
      </c>
      <c r="K36" s="7">
        <f>I36/J36</f>
        <v>487.04565000000008</v>
      </c>
      <c r="L36" s="34"/>
    </row>
    <row r="37" spans="1:12" s="8" customFormat="1" ht="15" hidden="1" customHeight="1" x14ac:dyDescent="0.25">
      <c r="A37" s="70" t="s">
        <v>81</v>
      </c>
      <c r="B37" s="70"/>
      <c r="C37" s="70"/>
      <c r="D37" s="70"/>
      <c r="E37" s="70"/>
      <c r="F37" s="7">
        <f>'Услуга №1'!F88</f>
        <v>11538</v>
      </c>
      <c r="G37" s="7">
        <v>0.1</v>
      </c>
      <c r="H37" s="7">
        <f t="shared" ref="H37:H49" si="0">F37*G37*12</f>
        <v>13845.599999999999</v>
      </c>
      <c r="I37" s="7">
        <f t="shared" ref="I37:I49" si="1">H37*1.302</f>
        <v>18026.9712</v>
      </c>
      <c r="J37" s="7">
        <f>J36</f>
        <v>48</v>
      </c>
      <c r="K37" s="7">
        <f t="shared" ref="K37:K49" si="2">I37/J37</f>
        <v>375.56189999999998</v>
      </c>
      <c r="L37" s="34"/>
    </row>
    <row r="38" spans="1:12" s="8" customFormat="1" ht="15" hidden="1" customHeight="1" x14ac:dyDescent="0.25">
      <c r="A38" s="55" t="s">
        <v>43</v>
      </c>
      <c r="B38" s="55"/>
      <c r="C38" s="55"/>
      <c r="D38" s="55"/>
      <c r="E38" s="55"/>
      <c r="F38" s="7">
        <f>'Услуга №1'!F38</f>
        <v>11538</v>
      </c>
      <c r="G38" s="7">
        <v>0.1</v>
      </c>
      <c r="H38" s="7">
        <f t="shared" si="0"/>
        <v>13845.599999999999</v>
      </c>
      <c r="I38" s="7">
        <f t="shared" si="1"/>
        <v>18026.9712</v>
      </c>
      <c r="J38" s="7">
        <f t="shared" ref="J38:J50" si="3">J37</f>
        <v>48</v>
      </c>
      <c r="K38" s="7">
        <f t="shared" si="2"/>
        <v>375.56189999999998</v>
      </c>
      <c r="L38" s="34"/>
    </row>
    <row r="39" spans="1:12" s="8" customFormat="1" ht="15.75" hidden="1" customHeight="1" x14ac:dyDescent="0.25">
      <c r="A39" s="70" t="s">
        <v>82</v>
      </c>
      <c r="B39" s="70"/>
      <c r="C39" s="70"/>
      <c r="D39" s="70"/>
      <c r="E39" s="70"/>
      <c r="F39" s="7">
        <f>'Услуга №1'!F39</f>
        <v>8837</v>
      </c>
      <c r="G39" s="7">
        <v>0.1</v>
      </c>
      <c r="H39" s="7">
        <f t="shared" si="0"/>
        <v>10604.400000000001</v>
      </c>
      <c r="I39" s="7">
        <f t="shared" si="1"/>
        <v>13806.928800000002</v>
      </c>
      <c r="J39" s="7">
        <f t="shared" si="3"/>
        <v>48</v>
      </c>
      <c r="K39" s="7">
        <f t="shared" si="2"/>
        <v>287.64435000000003</v>
      </c>
      <c r="L39" s="34"/>
    </row>
    <row r="40" spans="1:12" s="8" customFormat="1" ht="15" hidden="1" customHeight="1" x14ac:dyDescent="0.25">
      <c r="A40" s="65" t="s">
        <v>46</v>
      </c>
      <c r="B40" s="68"/>
      <c r="C40" s="68"/>
      <c r="D40" s="68"/>
      <c r="E40" s="69"/>
      <c r="F40" s="7">
        <f>'Услуга №1'!F40</f>
        <v>6556</v>
      </c>
      <c r="G40" s="7">
        <v>0.1</v>
      </c>
      <c r="H40" s="7">
        <f t="shared" si="0"/>
        <v>7867.2000000000007</v>
      </c>
      <c r="I40" s="7">
        <f t="shared" si="1"/>
        <v>10243.094400000002</v>
      </c>
      <c r="J40" s="7">
        <f t="shared" si="3"/>
        <v>48</v>
      </c>
      <c r="K40" s="7">
        <f t="shared" si="2"/>
        <v>213.39780000000005</v>
      </c>
      <c r="L40" s="34"/>
    </row>
    <row r="41" spans="1:12" s="8" customFormat="1" ht="15" hidden="1" customHeight="1" x14ac:dyDescent="0.25">
      <c r="A41" s="55" t="s">
        <v>47</v>
      </c>
      <c r="B41" s="55"/>
      <c r="C41" s="55"/>
      <c r="D41" s="55"/>
      <c r="E41" s="55"/>
      <c r="F41" s="7">
        <f>'Услуга №1'!F41</f>
        <v>11538</v>
      </c>
      <c r="G41" s="7">
        <v>0.1</v>
      </c>
      <c r="H41" s="7">
        <f t="shared" si="0"/>
        <v>13845.599999999999</v>
      </c>
      <c r="I41" s="7">
        <f t="shared" si="1"/>
        <v>18026.9712</v>
      </c>
      <c r="J41" s="7">
        <f t="shared" si="3"/>
        <v>48</v>
      </c>
      <c r="K41" s="7">
        <f t="shared" si="2"/>
        <v>375.56189999999998</v>
      </c>
      <c r="L41" s="34"/>
    </row>
    <row r="42" spans="1:12" s="8" customFormat="1" ht="15" hidden="1" customHeight="1" x14ac:dyDescent="0.25">
      <c r="A42" s="55" t="s">
        <v>84</v>
      </c>
      <c r="B42" s="55"/>
      <c r="C42" s="55"/>
      <c r="D42" s="55"/>
      <c r="E42" s="55"/>
      <c r="F42" s="7">
        <f>'Услуга №1'!F42</f>
        <v>8837</v>
      </c>
      <c r="G42" s="7">
        <v>0.1</v>
      </c>
      <c r="H42" s="7">
        <f t="shared" si="0"/>
        <v>10604.400000000001</v>
      </c>
      <c r="I42" s="7">
        <f t="shared" si="1"/>
        <v>13806.928800000002</v>
      </c>
      <c r="J42" s="7">
        <f t="shared" si="3"/>
        <v>48</v>
      </c>
      <c r="K42" s="7">
        <f t="shared" si="2"/>
        <v>287.64435000000003</v>
      </c>
      <c r="L42" s="34"/>
    </row>
    <row r="43" spans="1:12" s="8" customFormat="1" ht="15" hidden="1" customHeight="1" x14ac:dyDescent="0.25">
      <c r="A43" s="55" t="s">
        <v>85</v>
      </c>
      <c r="B43" s="55"/>
      <c r="C43" s="55"/>
      <c r="D43" s="55"/>
      <c r="E43" s="55"/>
      <c r="F43" s="7">
        <f>'Услуга №1'!F43</f>
        <v>3993</v>
      </c>
      <c r="G43" s="7">
        <v>0.1</v>
      </c>
      <c r="H43" s="7">
        <f t="shared" si="0"/>
        <v>4791.6000000000004</v>
      </c>
      <c r="I43" s="7">
        <f t="shared" si="1"/>
        <v>6238.6632000000009</v>
      </c>
      <c r="J43" s="7">
        <f t="shared" si="3"/>
        <v>48</v>
      </c>
      <c r="K43" s="7">
        <f t="shared" si="2"/>
        <v>129.97215000000003</v>
      </c>
      <c r="L43" s="34"/>
    </row>
    <row r="44" spans="1:12" s="8" customFormat="1" ht="15" hidden="1" customHeight="1" x14ac:dyDescent="0.25">
      <c r="A44" s="55" t="s">
        <v>86</v>
      </c>
      <c r="B44" s="55"/>
      <c r="C44" s="55"/>
      <c r="D44" s="55"/>
      <c r="E44" s="55"/>
      <c r="F44" s="7">
        <f>'Услуга №1'!F44</f>
        <v>4496</v>
      </c>
      <c r="G44" s="7">
        <v>0.1</v>
      </c>
      <c r="H44" s="7">
        <f t="shared" si="0"/>
        <v>5395.2000000000007</v>
      </c>
      <c r="I44" s="7">
        <f t="shared" si="1"/>
        <v>7024.550400000001</v>
      </c>
      <c r="J44" s="7">
        <f t="shared" si="3"/>
        <v>48</v>
      </c>
      <c r="K44" s="7">
        <f t="shared" si="2"/>
        <v>146.34480000000002</v>
      </c>
      <c r="L44" s="34"/>
    </row>
    <row r="45" spans="1:12" s="8" customFormat="1" ht="18" hidden="1" customHeight="1" x14ac:dyDescent="0.25">
      <c r="A45" s="55" t="s">
        <v>87</v>
      </c>
      <c r="B45" s="55"/>
      <c r="C45" s="55"/>
      <c r="D45" s="55"/>
      <c r="E45" s="55"/>
      <c r="F45" s="7">
        <f>'Услуга №1'!F45</f>
        <v>8837</v>
      </c>
      <c r="G45" s="7">
        <v>0.1</v>
      </c>
      <c r="H45" s="7">
        <f t="shared" si="0"/>
        <v>10604.400000000001</v>
      </c>
      <c r="I45" s="7">
        <f t="shared" si="1"/>
        <v>13806.928800000002</v>
      </c>
      <c r="J45" s="7">
        <f t="shared" si="3"/>
        <v>48</v>
      </c>
      <c r="K45" s="7">
        <f t="shared" si="2"/>
        <v>287.64435000000003</v>
      </c>
      <c r="L45" s="34"/>
    </row>
    <row r="46" spans="1:12" s="8" customFormat="1" ht="15" hidden="1" customHeight="1" x14ac:dyDescent="0.25">
      <c r="A46" s="55" t="s">
        <v>88</v>
      </c>
      <c r="B46" s="55"/>
      <c r="C46" s="55"/>
      <c r="D46" s="55"/>
      <c r="E46" s="55"/>
      <c r="F46" s="7">
        <f>'Услуга №1'!F46</f>
        <v>13255.5</v>
      </c>
      <c r="G46" s="7">
        <v>0.2</v>
      </c>
      <c r="H46" s="7">
        <f t="shared" si="0"/>
        <v>31813.200000000004</v>
      </c>
      <c r="I46" s="7">
        <f t="shared" si="1"/>
        <v>41420.786400000005</v>
      </c>
      <c r="J46" s="7">
        <f t="shared" si="3"/>
        <v>48</v>
      </c>
      <c r="K46" s="7">
        <f t="shared" si="2"/>
        <v>862.93305000000009</v>
      </c>
      <c r="L46" s="34"/>
    </row>
    <row r="47" spans="1:12" s="8" customFormat="1" ht="15" hidden="1" customHeight="1" x14ac:dyDescent="0.25">
      <c r="A47" s="55" t="s">
        <v>90</v>
      </c>
      <c r="B47" s="55"/>
      <c r="C47" s="55"/>
      <c r="D47" s="55"/>
      <c r="E47" s="55"/>
      <c r="F47" s="7">
        <f>'Услуга №1'!F47</f>
        <v>11538</v>
      </c>
      <c r="G47" s="7">
        <v>0.1</v>
      </c>
      <c r="H47" s="7">
        <f t="shared" si="0"/>
        <v>13845.599999999999</v>
      </c>
      <c r="I47" s="7">
        <f t="shared" si="1"/>
        <v>18026.9712</v>
      </c>
      <c r="J47" s="7">
        <f t="shared" si="3"/>
        <v>48</v>
      </c>
      <c r="K47" s="7">
        <f t="shared" si="2"/>
        <v>375.56189999999998</v>
      </c>
      <c r="L47" s="34"/>
    </row>
    <row r="48" spans="1:12" s="8" customFormat="1" ht="17.25" hidden="1" customHeight="1" x14ac:dyDescent="0.25">
      <c r="A48" s="55" t="s">
        <v>51</v>
      </c>
      <c r="B48" s="55"/>
      <c r="C48" s="55"/>
      <c r="D48" s="55"/>
      <c r="E48" s="55"/>
      <c r="F48" s="7">
        <f>'Услуга №1'!F48</f>
        <v>11538</v>
      </c>
      <c r="G48" s="7">
        <v>0.1</v>
      </c>
      <c r="H48" s="7">
        <f t="shared" si="0"/>
        <v>13845.599999999999</v>
      </c>
      <c r="I48" s="7">
        <f t="shared" si="1"/>
        <v>18026.9712</v>
      </c>
      <c r="J48" s="7">
        <f t="shared" si="3"/>
        <v>48</v>
      </c>
      <c r="K48" s="7">
        <f t="shared" si="2"/>
        <v>375.56189999999998</v>
      </c>
      <c r="L48" s="34"/>
    </row>
    <row r="49" spans="1:13" s="8" customFormat="1" ht="17.25" hidden="1" customHeight="1" x14ac:dyDescent="0.25">
      <c r="A49" s="55" t="s">
        <v>49</v>
      </c>
      <c r="B49" s="55"/>
      <c r="C49" s="55"/>
      <c r="D49" s="55"/>
      <c r="E49" s="55"/>
      <c r="F49" s="7">
        <f>'Услуга №1'!F49</f>
        <v>8837</v>
      </c>
      <c r="G49" s="7">
        <v>0.1</v>
      </c>
      <c r="H49" s="7">
        <f t="shared" si="0"/>
        <v>10604.400000000001</v>
      </c>
      <c r="I49" s="7">
        <f t="shared" si="1"/>
        <v>13806.928800000002</v>
      </c>
      <c r="J49" s="7">
        <f t="shared" si="3"/>
        <v>48</v>
      </c>
      <c r="K49" s="7">
        <f t="shared" si="2"/>
        <v>287.64435000000003</v>
      </c>
      <c r="L49" s="34"/>
    </row>
    <row r="50" spans="1:13" ht="18.75" customHeight="1" x14ac:dyDescent="0.25">
      <c r="A50" s="39" t="s">
        <v>72</v>
      </c>
      <c r="B50" s="40"/>
      <c r="C50" s="40"/>
      <c r="D50" s="40"/>
      <c r="E50" s="40"/>
      <c r="F50" s="2">
        <v>51613.99</v>
      </c>
      <c r="G50" s="2">
        <f>F32</f>
        <v>0.15000000000000002</v>
      </c>
      <c r="H50" s="2">
        <f>(F50*G50)*12</f>
        <v>92905.182000000015</v>
      </c>
      <c r="I50" s="2">
        <f>(H50*1.302)-0.01</f>
        <v>120962.53696400003</v>
      </c>
      <c r="J50" s="51">
        <f t="shared" si="3"/>
        <v>48</v>
      </c>
      <c r="K50" s="2">
        <f>I50/F34</f>
        <v>2520.0528534166674</v>
      </c>
      <c r="L50" s="34"/>
      <c r="M50" s="8"/>
    </row>
    <row r="51" spans="1:13" s="8" customFormat="1" ht="13.5" customHeight="1" x14ac:dyDescent="0.25"/>
    <row r="52" spans="1:13" s="8" customFormat="1" ht="14.25" customHeight="1" x14ac:dyDescent="0.25">
      <c r="A52" s="61" t="s">
        <v>8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</row>
    <row r="53" spans="1:13" s="8" customFormat="1" ht="60" x14ac:dyDescent="0.25">
      <c r="A53" s="79" t="s">
        <v>9</v>
      </c>
      <c r="B53" s="79"/>
      <c r="C53" s="79"/>
      <c r="D53" s="79"/>
      <c r="E53" s="79"/>
      <c r="F53" s="23" t="s">
        <v>7</v>
      </c>
      <c r="G53" s="23" t="s">
        <v>65</v>
      </c>
      <c r="H53" s="23" t="s">
        <v>64</v>
      </c>
      <c r="I53" s="23" t="s">
        <v>73</v>
      </c>
      <c r="J53" s="23" t="s">
        <v>68</v>
      </c>
      <c r="K53" s="27" t="s">
        <v>69</v>
      </c>
      <c r="L53" s="28"/>
    </row>
    <row r="54" spans="1:13" s="8" customFormat="1" x14ac:dyDescent="0.25">
      <c r="A54" s="65" t="s">
        <v>39</v>
      </c>
      <c r="B54" s="68"/>
      <c r="C54" s="68"/>
      <c r="D54" s="68"/>
      <c r="E54" s="69"/>
      <c r="F54" s="25" t="s">
        <v>40</v>
      </c>
      <c r="G54" s="25">
        <v>75300</v>
      </c>
      <c r="H54" s="25">
        <f>'Услуга №1'!H54</f>
        <v>4.9000000000000004</v>
      </c>
      <c r="I54" s="25">
        <f>342214.7*1%</f>
        <v>3422.1470000000004</v>
      </c>
      <c r="J54" s="7">
        <f>J48</f>
        <v>48</v>
      </c>
      <c r="K54" s="29">
        <f>I54/J54</f>
        <v>71.29472916666667</v>
      </c>
      <c r="L54" s="28"/>
    </row>
    <row r="55" spans="1:13" s="8" customFormat="1" x14ac:dyDescent="0.25">
      <c r="A55" s="70" t="s">
        <v>10</v>
      </c>
      <c r="B55" s="70"/>
      <c r="C55" s="70"/>
      <c r="D55" s="70"/>
      <c r="E55" s="70"/>
      <c r="F55" s="7" t="s">
        <v>13</v>
      </c>
      <c r="G55" s="7">
        <v>465</v>
      </c>
      <c r="H55" s="25">
        <f>'Услуга №1'!H55</f>
        <v>1690.46</v>
      </c>
      <c r="I55" s="25">
        <f>786064.9*1%</f>
        <v>7860.6490000000003</v>
      </c>
      <c r="J55" s="7">
        <f>J54</f>
        <v>48</v>
      </c>
      <c r="K55" s="29">
        <f t="shared" ref="K55:K58" si="4">I55/J55</f>
        <v>163.76352083333333</v>
      </c>
      <c r="L55" s="30"/>
    </row>
    <row r="56" spans="1:13" s="8" customFormat="1" x14ac:dyDescent="0.25">
      <c r="A56" s="70" t="s">
        <v>11</v>
      </c>
      <c r="B56" s="70"/>
      <c r="C56" s="70"/>
      <c r="D56" s="70"/>
      <c r="E56" s="70"/>
      <c r="F56" s="7" t="s">
        <v>14</v>
      </c>
      <c r="G56" s="7">
        <v>410</v>
      </c>
      <c r="H56" s="25">
        <f>'Услуга №1'!H56</f>
        <v>40.96</v>
      </c>
      <c r="I56" s="25">
        <f>16794.04*1%</f>
        <v>167.94040000000001</v>
      </c>
      <c r="J56" s="7">
        <f>J55</f>
        <v>48</v>
      </c>
      <c r="K56" s="29">
        <f t="shared" si="4"/>
        <v>3.4987583333333334</v>
      </c>
      <c r="L56" s="30"/>
    </row>
    <row r="57" spans="1:13" s="8" customFormat="1" x14ac:dyDescent="0.25">
      <c r="A57" s="70" t="s">
        <v>12</v>
      </c>
      <c r="B57" s="70"/>
      <c r="C57" s="70"/>
      <c r="D57" s="70"/>
      <c r="E57" s="70"/>
      <c r="F57" s="7" t="s">
        <v>14</v>
      </c>
      <c r="G57" s="7">
        <v>410</v>
      </c>
      <c r="H57" s="25">
        <f>'Услуга №1'!H57</f>
        <v>59.65</v>
      </c>
      <c r="I57" s="25">
        <f>24456.94*1%</f>
        <v>244.5694</v>
      </c>
      <c r="J57" s="7">
        <f>J56</f>
        <v>48</v>
      </c>
      <c r="K57" s="29">
        <f t="shared" si="4"/>
        <v>5.0951958333333334</v>
      </c>
      <c r="L57" s="30"/>
    </row>
    <row r="58" spans="1:13" s="8" customFormat="1" x14ac:dyDescent="0.25">
      <c r="A58" s="65" t="s">
        <v>16</v>
      </c>
      <c r="B58" s="66"/>
      <c r="C58" s="66"/>
      <c r="D58" s="66"/>
      <c r="E58" s="66"/>
      <c r="F58" s="7" t="s">
        <v>14</v>
      </c>
      <c r="G58" s="7">
        <v>12</v>
      </c>
      <c r="H58" s="31">
        <v>3360.02</v>
      </c>
      <c r="I58" s="25">
        <f>40320.24*1%</f>
        <v>403.20240000000001</v>
      </c>
      <c r="J58" s="7">
        <f>J57</f>
        <v>48</v>
      </c>
      <c r="K58" s="29">
        <f t="shared" si="4"/>
        <v>8.4000500000000002</v>
      </c>
      <c r="L58" s="30"/>
    </row>
    <row r="59" spans="1:13" s="8" customFormat="1" x14ac:dyDescent="0.25">
      <c r="A59" s="56" t="s">
        <v>53</v>
      </c>
      <c r="B59" s="57"/>
      <c r="C59" s="57"/>
      <c r="D59" s="57"/>
      <c r="E59" s="57"/>
      <c r="F59" s="57"/>
      <c r="G59" s="57"/>
      <c r="H59" s="57"/>
      <c r="I59" s="2">
        <f>SUM(I54:I58)</f>
        <v>12098.5082</v>
      </c>
      <c r="J59" s="51">
        <f>J58</f>
        <v>48</v>
      </c>
      <c r="K59" s="2">
        <f>I59/J59</f>
        <v>252.05225416666667</v>
      </c>
      <c r="L59" s="30"/>
    </row>
    <row r="60" spans="1:13" s="8" customFormat="1" ht="12" customHeight="1" x14ac:dyDescent="0.25"/>
    <row r="61" spans="1:13" s="8" customFormat="1" x14ac:dyDescent="0.25">
      <c r="A61" s="61" t="s">
        <v>15</v>
      </c>
      <c r="B61" s="61"/>
      <c r="C61" s="61"/>
      <c r="D61" s="61"/>
      <c r="E61" s="61"/>
      <c r="F61" s="61"/>
      <c r="G61" s="61"/>
      <c r="H61" s="61"/>
      <c r="I61" s="61"/>
      <c r="J61" s="61"/>
      <c r="K61" s="61"/>
      <c r="L61" s="61"/>
    </row>
    <row r="62" spans="1:13" s="8" customFormat="1" ht="60" x14ac:dyDescent="0.25">
      <c r="A62" s="62" t="s">
        <v>19</v>
      </c>
      <c r="B62" s="63"/>
      <c r="C62" s="63"/>
      <c r="D62" s="63"/>
      <c r="E62" s="64"/>
      <c r="F62" s="23" t="s">
        <v>7</v>
      </c>
      <c r="G62" s="23" t="s">
        <v>65</v>
      </c>
      <c r="H62" s="23" t="s">
        <v>64</v>
      </c>
      <c r="I62" s="23" t="s">
        <v>73</v>
      </c>
      <c r="J62" s="23" t="s">
        <v>68</v>
      </c>
      <c r="K62" s="27" t="s">
        <v>69</v>
      </c>
      <c r="L62" s="28"/>
    </row>
    <row r="63" spans="1:13" s="8" customFormat="1" x14ac:dyDescent="0.25">
      <c r="A63" s="70" t="s">
        <v>56</v>
      </c>
      <c r="B63" s="70"/>
      <c r="C63" s="70"/>
      <c r="D63" s="70"/>
      <c r="E63" s="70"/>
      <c r="F63" s="7" t="s">
        <v>17</v>
      </c>
      <c r="G63" s="7">
        <v>6200</v>
      </c>
      <c r="H63" s="7"/>
      <c r="I63" s="7">
        <f>74400*1%</f>
        <v>744</v>
      </c>
      <c r="J63" s="7">
        <v>48</v>
      </c>
      <c r="K63" s="32">
        <f t="shared" ref="K63:K67" si="5">I63/J63</f>
        <v>15.5</v>
      </c>
      <c r="L63" s="30"/>
    </row>
    <row r="64" spans="1:13" s="8" customFormat="1" ht="15" customHeight="1" x14ac:dyDescent="0.25">
      <c r="A64" s="55" t="s">
        <v>55</v>
      </c>
      <c r="B64" s="55"/>
      <c r="C64" s="55"/>
      <c r="D64" s="55"/>
      <c r="E64" s="55"/>
      <c r="F64" s="7" t="s">
        <v>17</v>
      </c>
      <c r="G64" s="7">
        <v>773.4</v>
      </c>
      <c r="H64" s="7"/>
      <c r="I64" s="7">
        <f>9280.8*1%</f>
        <v>92.807999999999993</v>
      </c>
      <c r="J64" s="7">
        <f>J63</f>
        <v>48</v>
      </c>
      <c r="K64" s="32">
        <f t="shared" si="5"/>
        <v>1.9334999999999998</v>
      </c>
      <c r="L64" s="30"/>
    </row>
    <row r="65" spans="1:13" s="8" customFormat="1" ht="16.5" customHeight="1" x14ac:dyDescent="0.25">
      <c r="A65" s="70" t="s">
        <v>113</v>
      </c>
      <c r="B65" s="70"/>
      <c r="C65" s="70"/>
      <c r="D65" s="70"/>
      <c r="E65" s="70"/>
      <c r="F65" s="7" t="s">
        <v>17</v>
      </c>
      <c r="G65" s="7">
        <v>2000</v>
      </c>
      <c r="H65" s="7"/>
      <c r="I65" s="7">
        <f>24000*1%</f>
        <v>240</v>
      </c>
      <c r="J65" s="7">
        <f>J64</f>
        <v>48</v>
      </c>
      <c r="K65" s="32">
        <f t="shared" si="5"/>
        <v>5</v>
      </c>
      <c r="L65" s="30"/>
    </row>
    <row r="66" spans="1:13" s="8" customFormat="1" ht="16.5" customHeight="1" x14ac:dyDescent="0.25">
      <c r="A66" s="55" t="s">
        <v>100</v>
      </c>
      <c r="B66" s="55"/>
      <c r="C66" s="55"/>
      <c r="D66" s="55"/>
      <c r="E66" s="55"/>
      <c r="F66" s="7" t="s">
        <v>17</v>
      </c>
      <c r="G66" s="7">
        <v>2100</v>
      </c>
      <c r="H66" s="7"/>
      <c r="I66" s="7">
        <f>25200*1%</f>
        <v>252</v>
      </c>
      <c r="J66" s="7">
        <f>J64</f>
        <v>48</v>
      </c>
      <c r="K66" s="32">
        <f t="shared" si="5"/>
        <v>5.25</v>
      </c>
      <c r="L66" s="30"/>
    </row>
    <row r="67" spans="1:13" s="8" customFormat="1" ht="15" customHeight="1" x14ac:dyDescent="0.25">
      <c r="A67" s="55" t="s">
        <v>114</v>
      </c>
      <c r="B67" s="55"/>
      <c r="C67" s="55"/>
      <c r="D67" s="55"/>
      <c r="E67" s="55"/>
      <c r="F67" s="7" t="s">
        <v>17</v>
      </c>
      <c r="G67" s="7"/>
      <c r="H67" s="7"/>
      <c r="I67" s="7">
        <f>395418*1%</f>
        <v>3954.1800000000003</v>
      </c>
      <c r="J67" s="7">
        <f>J64</f>
        <v>48</v>
      </c>
      <c r="K67" s="32">
        <f t="shared" si="5"/>
        <v>82.378750000000011</v>
      </c>
      <c r="L67" s="30"/>
    </row>
    <row r="68" spans="1:13" ht="18.75" customHeight="1" x14ac:dyDescent="0.25">
      <c r="A68" s="56" t="s">
        <v>18</v>
      </c>
      <c r="B68" s="57"/>
      <c r="C68" s="57"/>
      <c r="D68" s="57"/>
      <c r="E68" s="57"/>
      <c r="F68" s="57"/>
      <c r="G68" s="57"/>
      <c r="H68" s="60"/>
      <c r="I68" s="2">
        <f>SUM(I63:I67)</f>
        <v>5282.9880000000003</v>
      </c>
      <c r="J68" s="51">
        <f>J65</f>
        <v>48</v>
      </c>
      <c r="K68" s="4">
        <f>I68/J68</f>
        <v>110.06225000000001</v>
      </c>
      <c r="L68" s="30"/>
      <c r="M68" s="8"/>
    </row>
    <row r="69" spans="1:13" s="8" customFormat="1" ht="12.75" customHeight="1" x14ac:dyDescent="0.25"/>
    <row r="70" spans="1:13" s="8" customFormat="1" x14ac:dyDescent="0.25">
      <c r="A70" s="61" t="s">
        <v>74</v>
      </c>
      <c r="B70" s="61"/>
      <c r="C70" s="61"/>
      <c r="D70" s="61"/>
      <c r="E70" s="61"/>
      <c r="F70" s="61"/>
      <c r="G70" s="61"/>
      <c r="H70" s="61"/>
      <c r="I70" s="61"/>
      <c r="J70" s="61"/>
      <c r="K70" s="61"/>
      <c r="L70" s="61"/>
    </row>
    <row r="71" spans="1:13" s="8" customFormat="1" ht="60" customHeight="1" x14ac:dyDescent="0.25">
      <c r="A71" s="62" t="s">
        <v>19</v>
      </c>
      <c r="B71" s="63"/>
      <c r="C71" s="63"/>
      <c r="D71" s="63"/>
      <c r="E71" s="64"/>
      <c r="F71" s="23" t="s">
        <v>7</v>
      </c>
      <c r="G71" s="23" t="s">
        <v>65</v>
      </c>
      <c r="H71" s="23" t="s">
        <v>64</v>
      </c>
      <c r="I71" s="23" t="s">
        <v>73</v>
      </c>
      <c r="J71" s="23" t="s">
        <v>68</v>
      </c>
      <c r="K71" s="24" t="s">
        <v>69</v>
      </c>
      <c r="L71" s="33"/>
    </row>
    <row r="72" spans="1:13" s="8" customFormat="1" ht="34.5" customHeight="1" x14ac:dyDescent="0.25">
      <c r="A72" s="71" t="s">
        <v>115</v>
      </c>
      <c r="B72" s="72"/>
      <c r="C72" s="72"/>
      <c r="D72" s="72"/>
      <c r="E72" s="73"/>
      <c r="F72" s="7" t="s">
        <v>17</v>
      </c>
      <c r="G72" s="7">
        <v>11</v>
      </c>
      <c r="H72" s="7">
        <v>4116.8999999999996</v>
      </c>
      <c r="I72" s="7">
        <f>45285.9*1%</f>
        <v>452.85900000000004</v>
      </c>
      <c r="J72" s="7">
        <f>J67</f>
        <v>48</v>
      </c>
      <c r="K72" s="7">
        <f t="shared" ref="K72:K73" si="6">I72/J72</f>
        <v>9.4345625000000002</v>
      </c>
      <c r="L72" s="34"/>
    </row>
    <row r="73" spans="1:13" s="8" customFormat="1" ht="18.75" customHeight="1" x14ac:dyDescent="0.25">
      <c r="A73" s="65" t="s">
        <v>116</v>
      </c>
      <c r="B73" s="66"/>
      <c r="C73" s="66"/>
      <c r="D73" s="66"/>
      <c r="E73" s="67"/>
      <c r="F73" s="7" t="s">
        <v>17</v>
      </c>
      <c r="G73" s="7"/>
      <c r="H73" s="7"/>
      <c r="I73" s="7">
        <f>12000*1%</f>
        <v>120</v>
      </c>
      <c r="J73" s="7">
        <v>48</v>
      </c>
      <c r="K73" s="7">
        <f t="shared" si="6"/>
        <v>2.5</v>
      </c>
      <c r="L73" s="34"/>
    </row>
    <row r="74" spans="1:13" s="8" customFormat="1" ht="18.75" customHeight="1" x14ac:dyDescent="0.25">
      <c r="A74" s="65" t="s">
        <v>117</v>
      </c>
      <c r="B74" s="68"/>
      <c r="C74" s="68"/>
      <c r="D74" s="68"/>
      <c r="E74" s="69"/>
      <c r="F74" s="7" t="s">
        <v>17</v>
      </c>
      <c r="G74" s="7"/>
      <c r="H74" s="7"/>
      <c r="I74" s="7">
        <f>10500*1%</f>
        <v>105</v>
      </c>
      <c r="J74" s="7">
        <f>J66</f>
        <v>48</v>
      </c>
      <c r="K74" s="7">
        <f>I74/J74</f>
        <v>2.1875</v>
      </c>
      <c r="L74" s="34"/>
    </row>
    <row r="75" spans="1:13" s="8" customFormat="1" x14ac:dyDescent="0.25">
      <c r="A75" s="56" t="s">
        <v>75</v>
      </c>
      <c r="B75" s="57"/>
      <c r="C75" s="57"/>
      <c r="D75" s="57"/>
      <c r="E75" s="57"/>
      <c r="F75" s="57"/>
      <c r="G75" s="57"/>
      <c r="H75" s="57"/>
      <c r="I75" s="5">
        <f>SUM(I72:I74)</f>
        <v>677.85900000000004</v>
      </c>
      <c r="J75" s="5">
        <v>48</v>
      </c>
      <c r="K75" s="5">
        <f>SUM(K72:K74)</f>
        <v>14.1220625</v>
      </c>
      <c r="L75" s="34"/>
    </row>
    <row r="76" spans="1:13" s="8" customFormat="1" x14ac:dyDescent="0.25">
      <c r="A76" s="61" t="s">
        <v>76</v>
      </c>
      <c r="B76" s="61"/>
      <c r="C76" s="61"/>
      <c r="D76" s="61"/>
      <c r="E76" s="61"/>
      <c r="F76" s="61"/>
      <c r="G76" s="61"/>
      <c r="H76" s="61"/>
      <c r="I76" s="61"/>
      <c r="J76" s="61"/>
      <c r="K76" s="61"/>
      <c r="L76" s="61"/>
    </row>
    <row r="77" spans="1:13" s="8" customFormat="1" x14ac:dyDescent="0.25">
      <c r="A77" s="35"/>
      <c r="B77" s="35"/>
      <c r="C77" s="35"/>
      <c r="D77" s="35"/>
      <c r="E77" s="35"/>
      <c r="F77" s="35"/>
      <c r="G77" s="35"/>
      <c r="H77" s="35"/>
      <c r="I77" s="6"/>
      <c r="J77" s="6"/>
      <c r="K77" s="6"/>
      <c r="L77" s="6"/>
      <c r="M77" s="34"/>
    </row>
    <row r="78" spans="1:13" s="8" customFormat="1" ht="55.5" customHeight="1" x14ac:dyDescent="0.25">
      <c r="A78" s="62" t="s">
        <v>20</v>
      </c>
      <c r="B78" s="63"/>
      <c r="C78" s="63"/>
      <c r="D78" s="63"/>
      <c r="E78" s="64"/>
      <c r="F78" s="23" t="s">
        <v>7</v>
      </c>
      <c r="G78" s="23" t="s">
        <v>65</v>
      </c>
      <c r="H78" s="23" t="s">
        <v>64</v>
      </c>
      <c r="I78" s="23" t="s">
        <v>73</v>
      </c>
      <c r="J78" s="36" t="s">
        <v>68</v>
      </c>
      <c r="K78" s="24" t="s">
        <v>69</v>
      </c>
      <c r="L78" s="33"/>
      <c r="M78" s="33"/>
    </row>
    <row r="79" spans="1:13" s="8" customFormat="1" ht="23.25" customHeight="1" x14ac:dyDescent="0.25">
      <c r="A79" s="65" t="s">
        <v>118</v>
      </c>
      <c r="B79" s="68"/>
      <c r="C79" s="68"/>
      <c r="D79" s="68"/>
      <c r="E79" s="69"/>
      <c r="F79" s="37" t="s">
        <v>121</v>
      </c>
      <c r="G79" s="7">
        <v>4</v>
      </c>
      <c r="H79" s="7">
        <v>563.75</v>
      </c>
      <c r="I79" s="7">
        <f>27059.76*1%</f>
        <v>270.5976</v>
      </c>
      <c r="J79" s="32">
        <v>48</v>
      </c>
      <c r="K79" s="7">
        <f>I79/J79</f>
        <v>5.6374500000000003</v>
      </c>
      <c r="L79" s="34"/>
      <c r="M79" s="34"/>
    </row>
    <row r="80" spans="1:13" s="8" customFormat="1" ht="26.25" customHeight="1" x14ac:dyDescent="0.25">
      <c r="A80" s="65" t="s">
        <v>119</v>
      </c>
      <c r="B80" s="66"/>
      <c r="C80" s="66"/>
      <c r="D80" s="66"/>
      <c r="E80" s="67"/>
      <c r="F80" s="37" t="s">
        <v>121</v>
      </c>
      <c r="G80" s="7">
        <v>1</v>
      </c>
      <c r="H80" s="7">
        <v>80.540000000000006</v>
      </c>
      <c r="I80" s="7">
        <f>966.42*1%</f>
        <v>9.6641999999999992</v>
      </c>
      <c r="J80" s="32">
        <v>48</v>
      </c>
      <c r="K80" s="7">
        <f t="shared" ref="K80:K81" si="7">I80/J80</f>
        <v>0.20133749999999997</v>
      </c>
      <c r="L80" s="34"/>
      <c r="M80" s="34"/>
    </row>
    <row r="81" spans="1:13" s="8" customFormat="1" ht="28.5" customHeight="1" x14ac:dyDescent="0.25">
      <c r="A81" s="65" t="s">
        <v>120</v>
      </c>
      <c r="B81" s="66"/>
      <c r="C81" s="66"/>
      <c r="D81" s="66"/>
      <c r="E81" s="67"/>
      <c r="F81" s="37" t="s">
        <v>121</v>
      </c>
      <c r="G81" s="7">
        <v>1</v>
      </c>
      <c r="H81" s="7"/>
      <c r="I81" s="7">
        <f>6481.44*1%</f>
        <v>64.814399999999992</v>
      </c>
      <c r="J81" s="32">
        <v>48</v>
      </c>
      <c r="K81" s="7">
        <f t="shared" si="7"/>
        <v>1.3502999999999998</v>
      </c>
      <c r="L81" s="34"/>
      <c r="M81" s="34"/>
    </row>
    <row r="82" spans="1:13" s="8" customFormat="1" ht="30.75" customHeight="1" x14ac:dyDescent="0.25">
      <c r="A82" s="65" t="s">
        <v>77</v>
      </c>
      <c r="B82" s="68"/>
      <c r="C82" s="68"/>
      <c r="D82" s="68"/>
      <c r="E82" s="69"/>
      <c r="F82" s="37" t="s">
        <v>121</v>
      </c>
      <c r="G82" s="7">
        <v>1</v>
      </c>
      <c r="H82" s="7">
        <v>1901.87</v>
      </c>
      <c r="I82" s="7">
        <f>22822.38*1%</f>
        <v>228.22380000000001</v>
      </c>
      <c r="J82" s="32">
        <f>J79</f>
        <v>48</v>
      </c>
      <c r="K82" s="7">
        <f>I82/J82</f>
        <v>4.7546625000000002</v>
      </c>
      <c r="L82" s="34"/>
      <c r="M82" s="34"/>
    </row>
    <row r="83" spans="1:13" s="8" customFormat="1" x14ac:dyDescent="0.25">
      <c r="A83" s="56" t="s">
        <v>21</v>
      </c>
      <c r="B83" s="57"/>
      <c r="C83" s="57"/>
      <c r="D83" s="57"/>
      <c r="E83" s="57"/>
      <c r="F83" s="57"/>
      <c r="G83" s="57"/>
      <c r="H83" s="60"/>
      <c r="I83" s="5">
        <f t="shared" ref="I83" si="8">SUM(I79:I82)</f>
        <v>573.29999999999995</v>
      </c>
      <c r="J83" s="5">
        <v>48</v>
      </c>
      <c r="K83" s="5">
        <f>SUM(K79:K82)</f>
        <v>11.943750000000001</v>
      </c>
      <c r="L83" s="6"/>
      <c r="M83" s="34"/>
    </row>
    <row r="84" spans="1:13" s="8" customFormat="1" x14ac:dyDescent="0.25">
      <c r="A84" s="44"/>
      <c r="B84" s="44"/>
      <c r="C84" s="44"/>
      <c r="D84" s="44"/>
      <c r="E84" s="44"/>
      <c r="F84" s="44"/>
      <c r="G84" s="44"/>
      <c r="H84" s="44"/>
      <c r="I84" s="15"/>
      <c r="J84" s="15"/>
      <c r="K84" s="15"/>
      <c r="L84" s="6"/>
      <c r="M84" s="34"/>
    </row>
    <row r="85" spans="1:13" s="8" customFormat="1" x14ac:dyDescent="0.25">
      <c r="A85" s="58" t="s">
        <v>37</v>
      </c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9"/>
    </row>
    <row r="86" spans="1:13" s="8" customFormat="1" ht="75" x14ac:dyDescent="0.25">
      <c r="A86" s="62" t="s">
        <v>5</v>
      </c>
      <c r="B86" s="63"/>
      <c r="C86" s="63"/>
      <c r="D86" s="63"/>
      <c r="E86" s="64"/>
      <c r="F86" s="23" t="s">
        <v>6</v>
      </c>
      <c r="G86" s="23" t="s">
        <v>1</v>
      </c>
      <c r="H86" s="23" t="s">
        <v>66</v>
      </c>
      <c r="I86" s="23" t="s">
        <v>67</v>
      </c>
      <c r="J86" s="23" t="s">
        <v>68</v>
      </c>
      <c r="K86" s="24" t="s">
        <v>69</v>
      </c>
      <c r="L86" s="33"/>
    </row>
    <row r="87" spans="1:13" s="8" customFormat="1" ht="15" hidden="1" customHeight="1" x14ac:dyDescent="0.25">
      <c r="A87" s="55" t="s">
        <v>3</v>
      </c>
      <c r="B87" s="55"/>
      <c r="C87" s="55"/>
      <c r="D87" s="55"/>
      <c r="E87" s="55"/>
      <c r="F87" s="38">
        <f>'Услуга №1'!F87</f>
        <v>16626</v>
      </c>
      <c r="G87" s="7">
        <v>0.01</v>
      </c>
      <c r="H87" s="3">
        <f>F87*G87*12</f>
        <v>1995.12</v>
      </c>
      <c r="I87" s="7">
        <f>H87*1.302</f>
        <v>2597.64624</v>
      </c>
      <c r="J87" s="7">
        <v>48</v>
      </c>
      <c r="K87" s="7">
        <f>I87/J87</f>
        <v>54.117629999999998</v>
      </c>
      <c r="L87" s="34"/>
    </row>
    <row r="88" spans="1:13" s="8" customFormat="1" ht="15" hidden="1" customHeight="1" x14ac:dyDescent="0.25">
      <c r="A88" s="65" t="s">
        <v>42</v>
      </c>
      <c r="B88" s="68"/>
      <c r="C88" s="68"/>
      <c r="D88" s="68"/>
      <c r="E88" s="69"/>
      <c r="F88" s="7">
        <f>'Услуга №1'!F89</f>
        <v>11538</v>
      </c>
      <c r="G88" s="7">
        <v>0.01</v>
      </c>
      <c r="H88" s="3">
        <f t="shared" ref="H88:H101" si="9">F88*G88*12</f>
        <v>1384.56</v>
      </c>
      <c r="I88" s="7">
        <f t="shared" ref="I88:I101" si="10">H88*1.302</f>
        <v>1802.69712</v>
      </c>
      <c r="J88" s="7">
        <f>J87</f>
        <v>48</v>
      </c>
      <c r="K88" s="7">
        <f t="shared" ref="K88:K101" si="11">I88/J88</f>
        <v>37.556190000000001</v>
      </c>
      <c r="L88" s="34"/>
    </row>
    <row r="89" spans="1:13" s="8" customFormat="1" ht="15" hidden="1" customHeight="1" x14ac:dyDescent="0.25">
      <c r="A89" s="55" t="s">
        <v>44</v>
      </c>
      <c r="B89" s="55"/>
      <c r="C89" s="55"/>
      <c r="D89" s="55"/>
      <c r="E89" s="55"/>
      <c r="F89" s="7">
        <f>'Услуга №1'!F90</f>
        <v>11538</v>
      </c>
      <c r="G89" s="7">
        <v>0.01</v>
      </c>
      <c r="H89" s="3">
        <f t="shared" si="9"/>
        <v>1384.56</v>
      </c>
      <c r="I89" s="7">
        <f t="shared" si="10"/>
        <v>1802.69712</v>
      </c>
      <c r="J89" s="7">
        <f t="shared" ref="J89:J102" si="12">J88</f>
        <v>48</v>
      </c>
      <c r="K89" s="7">
        <f t="shared" si="11"/>
        <v>37.556190000000001</v>
      </c>
      <c r="L89" s="34"/>
    </row>
    <row r="90" spans="1:13" s="8" customFormat="1" ht="15" hidden="1" customHeight="1" x14ac:dyDescent="0.25">
      <c r="A90" s="55" t="s">
        <v>80</v>
      </c>
      <c r="B90" s="55"/>
      <c r="C90" s="55"/>
      <c r="D90" s="55"/>
      <c r="E90" s="55"/>
      <c r="F90" s="7">
        <v>15169</v>
      </c>
      <c r="G90" s="7">
        <v>0.01</v>
      </c>
      <c r="H90" s="3">
        <f t="shared" si="9"/>
        <v>1820.28</v>
      </c>
      <c r="I90" s="7">
        <f t="shared" si="10"/>
        <v>2370.0045599999999</v>
      </c>
      <c r="J90" s="7">
        <f t="shared" si="12"/>
        <v>48</v>
      </c>
      <c r="K90" s="7">
        <f t="shared" si="11"/>
        <v>49.375094999999995</v>
      </c>
      <c r="L90" s="34"/>
    </row>
    <row r="91" spans="1:13" s="8" customFormat="1" ht="15.75" hidden="1" customHeight="1" x14ac:dyDescent="0.25">
      <c r="A91" s="55" t="s">
        <v>38</v>
      </c>
      <c r="B91" s="55"/>
      <c r="C91" s="55"/>
      <c r="D91" s="55"/>
      <c r="E91" s="55"/>
      <c r="F91" s="38">
        <f>'Услуга №1'!F92</f>
        <v>6556</v>
      </c>
      <c r="G91" s="7">
        <v>0.05</v>
      </c>
      <c r="H91" s="3">
        <f t="shared" si="9"/>
        <v>3933.6000000000004</v>
      </c>
      <c r="I91" s="7">
        <f t="shared" si="10"/>
        <v>5121.5472000000009</v>
      </c>
      <c r="J91" s="7">
        <f t="shared" si="12"/>
        <v>48</v>
      </c>
      <c r="K91" s="7">
        <f t="shared" si="11"/>
        <v>106.69890000000002</v>
      </c>
      <c r="L91" s="34"/>
    </row>
    <row r="92" spans="1:13" s="8" customFormat="1" ht="14.25" hidden="1" customHeight="1" x14ac:dyDescent="0.25">
      <c r="A92" s="55" t="s">
        <v>83</v>
      </c>
      <c r="B92" s="55"/>
      <c r="C92" s="55"/>
      <c r="D92" s="55"/>
      <c r="E92" s="55"/>
      <c r="F92" s="38">
        <f>'Услуга №1'!F93</f>
        <v>6556</v>
      </c>
      <c r="G92" s="7">
        <v>0.01</v>
      </c>
      <c r="H92" s="3">
        <f t="shared" si="9"/>
        <v>786.72</v>
      </c>
      <c r="I92" s="7">
        <f t="shared" si="10"/>
        <v>1024.30944</v>
      </c>
      <c r="J92" s="7">
        <f t="shared" si="12"/>
        <v>48</v>
      </c>
      <c r="K92" s="7">
        <f t="shared" si="11"/>
        <v>21.339780000000001</v>
      </c>
      <c r="L92" s="34"/>
    </row>
    <row r="93" spans="1:13" s="8" customFormat="1" ht="15" hidden="1" customHeight="1" x14ac:dyDescent="0.25">
      <c r="A93" s="71" t="s">
        <v>45</v>
      </c>
      <c r="B93" s="72"/>
      <c r="C93" s="72"/>
      <c r="D93" s="72"/>
      <c r="E93" s="73"/>
      <c r="F93" s="38">
        <f>'Услуга №1'!F94</f>
        <v>6556</v>
      </c>
      <c r="G93" s="7">
        <v>0.01</v>
      </c>
      <c r="H93" s="3">
        <f t="shared" si="9"/>
        <v>786.72</v>
      </c>
      <c r="I93" s="7">
        <f t="shared" si="10"/>
        <v>1024.30944</v>
      </c>
      <c r="J93" s="7">
        <f t="shared" si="12"/>
        <v>48</v>
      </c>
      <c r="K93" s="7">
        <f t="shared" si="11"/>
        <v>21.339780000000001</v>
      </c>
      <c r="L93" s="34"/>
    </row>
    <row r="94" spans="1:13" s="8" customFormat="1" ht="15" hidden="1" customHeight="1" x14ac:dyDescent="0.25">
      <c r="A94" s="55" t="s">
        <v>48</v>
      </c>
      <c r="B94" s="55"/>
      <c r="C94" s="55"/>
      <c r="D94" s="55"/>
      <c r="E94" s="55"/>
      <c r="F94" s="38">
        <f>'Услуга №1'!F95</f>
        <v>5669</v>
      </c>
      <c r="G94" s="7">
        <v>0.01</v>
      </c>
      <c r="H94" s="3">
        <f t="shared" si="9"/>
        <v>680.28</v>
      </c>
      <c r="I94" s="7">
        <f t="shared" si="10"/>
        <v>885.72456</v>
      </c>
      <c r="J94" s="7">
        <f t="shared" si="12"/>
        <v>48</v>
      </c>
      <c r="K94" s="7">
        <f t="shared" si="11"/>
        <v>18.452594999999999</v>
      </c>
      <c r="L94" s="34"/>
    </row>
    <row r="95" spans="1:13" s="8" customFormat="1" ht="15" hidden="1" customHeight="1" x14ac:dyDescent="0.25">
      <c r="A95" s="55" t="s">
        <v>89</v>
      </c>
      <c r="B95" s="55"/>
      <c r="C95" s="55"/>
      <c r="D95" s="55"/>
      <c r="E95" s="55"/>
      <c r="F95" s="38">
        <f>'Услуга №1'!F96</f>
        <v>11538</v>
      </c>
      <c r="G95" s="7">
        <v>7.0000000000000007E-2</v>
      </c>
      <c r="H95" s="3">
        <f t="shared" si="9"/>
        <v>9691.9200000000019</v>
      </c>
      <c r="I95" s="7">
        <f t="shared" si="10"/>
        <v>12618.879840000003</v>
      </c>
      <c r="J95" s="7">
        <f t="shared" si="12"/>
        <v>48</v>
      </c>
      <c r="K95" s="7">
        <f t="shared" si="11"/>
        <v>262.89333000000005</v>
      </c>
      <c r="L95" s="34"/>
    </row>
    <row r="96" spans="1:13" s="8" customFormat="1" ht="15.75" hidden="1" customHeight="1" x14ac:dyDescent="0.25">
      <c r="A96" s="70" t="s">
        <v>50</v>
      </c>
      <c r="B96" s="70"/>
      <c r="C96" s="70"/>
      <c r="D96" s="70"/>
      <c r="E96" s="70"/>
      <c r="F96" s="38">
        <f>'Услуга №1'!F97</f>
        <v>8837</v>
      </c>
      <c r="G96" s="7">
        <v>0.08</v>
      </c>
      <c r="H96" s="3">
        <f t="shared" si="9"/>
        <v>8483.52</v>
      </c>
      <c r="I96" s="7">
        <f t="shared" si="10"/>
        <v>11045.54304</v>
      </c>
      <c r="J96" s="7">
        <f t="shared" si="12"/>
        <v>48</v>
      </c>
      <c r="K96" s="7">
        <f t="shared" si="11"/>
        <v>230.11548000000002</v>
      </c>
      <c r="L96" s="34"/>
    </row>
    <row r="97" spans="1:13" s="8" customFormat="1" ht="15.75" hidden="1" customHeight="1" x14ac:dyDescent="0.25">
      <c r="A97" s="55" t="s">
        <v>91</v>
      </c>
      <c r="B97" s="55"/>
      <c r="C97" s="55"/>
      <c r="D97" s="55"/>
      <c r="E97" s="55"/>
      <c r="F97" s="38">
        <f>'Услуга №1'!F98</f>
        <v>11538</v>
      </c>
      <c r="G97" s="7">
        <v>0.01</v>
      </c>
      <c r="H97" s="3">
        <f t="shared" si="9"/>
        <v>1384.56</v>
      </c>
      <c r="I97" s="7">
        <f t="shared" si="10"/>
        <v>1802.69712</v>
      </c>
      <c r="J97" s="7">
        <f t="shared" si="12"/>
        <v>48</v>
      </c>
      <c r="K97" s="7">
        <f t="shared" si="11"/>
        <v>37.556190000000001</v>
      </c>
      <c r="L97" s="34"/>
    </row>
    <row r="98" spans="1:13" s="8" customFormat="1" ht="15.75" hidden="1" customHeight="1" x14ac:dyDescent="0.25">
      <c r="A98" s="55" t="s">
        <v>92</v>
      </c>
      <c r="B98" s="55"/>
      <c r="C98" s="55"/>
      <c r="D98" s="55"/>
      <c r="E98" s="55"/>
      <c r="F98" s="38">
        <f>'Услуга №1'!F99</f>
        <v>11538</v>
      </c>
      <c r="G98" s="7">
        <v>0.01</v>
      </c>
      <c r="H98" s="3">
        <f t="shared" si="9"/>
        <v>1384.56</v>
      </c>
      <c r="I98" s="7">
        <f t="shared" si="10"/>
        <v>1802.69712</v>
      </c>
      <c r="J98" s="7">
        <f t="shared" si="12"/>
        <v>48</v>
      </c>
      <c r="K98" s="7">
        <f t="shared" si="11"/>
        <v>37.556190000000001</v>
      </c>
      <c r="L98" s="34"/>
    </row>
    <row r="99" spans="1:13" s="8" customFormat="1" ht="15.75" hidden="1" customHeight="1" x14ac:dyDescent="0.25">
      <c r="A99" s="70" t="s">
        <v>93</v>
      </c>
      <c r="B99" s="70"/>
      <c r="C99" s="70"/>
      <c r="D99" s="70"/>
      <c r="E99" s="70"/>
      <c r="F99" s="38">
        <f>'Услуга №1'!F100</f>
        <v>11538</v>
      </c>
      <c r="G99" s="7">
        <v>0.01</v>
      </c>
      <c r="H99" s="3">
        <f t="shared" si="9"/>
        <v>1384.56</v>
      </c>
      <c r="I99" s="7">
        <f t="shared" si="10"/>
        <v>1802.69712</v>
      </c>
      <c r="J99" s="7">
        <f t="shared" si="12"/>
        <v>48</v>
      </c>
      <c r="K99" s="7">
        <f t="shared" si="11"/>
        <v>37.556190000000001</v>
      </c>
      <c r="L99" s="34"/>
    </row>
    <row r="100" spans="1:13" s="8" customFormat="1" ht="13.5" hidden="1" customHeight="1" x14ac:dyDescent="0.25">
      <c r="A100" s="65" t="s">
        <v>52</v>
      </c>
      <c r="B100" s="68"/>
      <c r="C100" s="68"/>
      <c r="D100" s="68"/>
      <c r="E100" s="69"/>
      <c r="F100" s="38">
        <f>'Услуга №1'!F101</f>
        <v>8837</v>
      </c>
      <c r="G100" s="7">
        <v>0.1</v>
      </c>
      <c r="H100" s="3">
        <f t="shared" si="9"/>
        <v>10604.400000000001</v>
      </c>
      <c r="I100" s="7">
        <f t="shared" si="10"/>
        <v>13806.928800000002</v>
      </c>
      <c r="J100" s="7">
        <f t="shared" si="12"/>
        <v>48</v>
      </c>
      <c r="K100" s="7">
        <f t="shared" si="11"/>
        <v>287.64435000000003</v>
      </c>
      <c r="L100" s="34"/>
    </row>
    <row r="101" spans="1:13" s="8" customFormat="1" ht="17.25" hidden="1" customHeight="1" x14ac:dyDescent="0.25">
      <c r="A101" s="55" t="s">
        <v>94</v>
      </c>
      <c r="B101" s="55"/>
      <c r="C101" s="55"/>
      <c r="D101" s="55"/>
      <c r="E101" s="55"/>
      <c r="F101" s="38">
        <f>'Услуга №1'!F102</f>
        <v>11538</v>
      </c>
      <c r="G101" s="7">
        <v>0.01</v>
      </c>
      <c r="H101" s="3">
        <f t="shared" si="9"/>
        <v>1384.56</v>
      </c>
      <c r="I101" s="7">
        <f t="shared" si="10"/>
        <v>1802.69712</v>
      </c>
      <c r="J101" s="7">
        <f t="shared" si="12"/>
        <v>48</v>
      </c>
      <c r="K101" s="7">
        <f t="shared" si="11"/>
        <v>37.556190000000001</v>
      </c>
      <c r="L101" s="34"/>
    </row>
    <row r="102" spans="1:13" ht="20.25" customHeight="1" x14ac:dyDescent="0.25">
      <c r="A102" s="39" t="s">
        <v>22</v>
      </c>
      <c r="B102" s="40"/>
      <c r="C102" s="40"/>
      <c r="D102" s="40"/>
      <c r="E102" s="40"/>
      <c r="F102" s="2">
        <v>6269.05</v>
      </c>
      <c r="G102" s="2">
        <f>SUM(G87:G101)</f>
        <v>0.41000000000000003</v>
      </c>
      <c r="H102" s="41">
        <f>F102*G102*12</f>
        <v>30843.726000000002</v>
      </c>
      <c r="I102" s="2">
        <f>H102*1.302</f>
        <v>40158.531252000008</v>
      </c>
      <c r="J102" s="51">
        <f t="shared" si="12"/>
        <v>48</v>
      </c>
      <c r="K102" s="2">
        <f>I102/J101</f>
        <v>836.63606775000017</v>
      </c>
      <c r="L102" s="34"/>
      <c r="M102" s="8"/>
    </row>
    <row r="103" spans="1:13" s="8" customFormat="1" ht="12" customHeight="1" x14ac:dyDescent="0.25">
      <c r="F103" s="42"/>
      <c r="G103" s="42"/>
      <c r="H103" s="42"/>
      <c r="I103" s="42"/>
      <c r="J103" s="42"/>
      <c r="K103" s="42"/>
      <c r="L103" s="42"/>
    </row>
    <row r="104" spans="1:13" x14ac:dyDescent="0.25">
      <c r="A104" s="58" t="s">
        <v>78</v>
      </c>
      <c r="B104" s="58"/>
      <c r="C104" s="58"/>
      <c r="D104" s="58"/>
      <c r="E104" s="58"/>
      <c r="F104" s="58"/>
      <c r="G104" s="58"/>
      <c r="H104" s="58"/>
      <c r="I104" s="58"/>
      <c r="J104" s="58"/>
      <c r="K104" s="58"/>
      <c r="L104" s="59"/>
      <c r="M104" s="8"/>
    </row>
    <row r="105" spans="1:13" ht="44.25" customHeight="1" x14ac:dyDescent="0.25">
      <c r="A105" s="79" t="s">
        <v>54</v>
      </c>
      <c r="B105" s="79"/>
      <c r="C105" s="79"/>
      <c r="D105" s="79"/>
      <c r="E105" s="79"/>
      <c r="F105" s="23" t="s">
        <v>7</v>
      </c>
      <c r="G105" s="23" t="s">
        <v>65</v>
      </c>
      <c r="H105" s="23" t="s">
        <v>64</v>
      </c>
      <c r="I105" s="23" t="s">
        <v>73</v>
      </c>
      <c r="J105" s="23" t="s">
        <v>68</v>
      </c>
      <c r="K105" s="27" t="s">
        <v>69</v>
      </c>
      <c r="L105" s="28"/>
      <c r="M105" s="8"/>
    </row>
    <row r="106" spans="1:13" ht="23.25" customHeight="1" x14ac:dyDescent="0.25">
      <c r="A106" s="65" t="s">
        <v>122</v>
      </c>
      <c r="B106" s="68"/>
      <c r="C106" s="68"/>
      <c r="D106" s="68"/>
      <c r="E106" s="69"/>
      <c r="F106" s="23"/>
      <c r="G106" s="43"/>
      <c r="H106" s="43"/>
      <c r="I106" s="43">
        <f>124060*1%</f>
        <v>1240.6000000000001</v>
      </c>
      <c r="J106" s="43">
        <v>48</v>
      </c>
      <c r="K106" s="32">
        <f>I106/J106</f>
        <v>25.845833333333335</v>
      </c>
      <c r="L106" s="28"/>
      <c r="M106" s="8"/>
    </row>
    <row r="107" spans="1:13" ht="30.75" customHeight="1" x14ac:dyDescent="0.25">
      <c r="A107" s="71" t="s">
        <v>123</v>
      </c>
      <c r="B107" s="72"/>
      <c r="C107" s="72"/>
      <c r="D107" s="72"/>
      <c r="E107" s="73"/>
      <c r="F107" s="23"/>
      <c r="G107" s="43"/>
      <c r="H107" s="43"/>
      <c r="I107" s="43">
        <f>200000*1%</f>
        <v>2000</v>
      </c>
      <c r="J107" s="43">
        <v>48</v>
      </c>
      <c r="K107" s="32">
        <f t="shared" ref="K107" si="13">I107/J107</f>
        <v>41.666666666666664</v>
      </c>
      <c r="L107" s="28"/>
      <c r="M107" s="8"/>
    </row>
    <row r="108" spans="1:13" x14ac:dyDescent="0.25">
      <c r="A108" s="56" t="s">
        <v>79</v>
      </c>
      <c r="B108" s="57"/>
      <c r="C108" s="57"/>
      <c r="D108" s="57"/>
      <c r="E108" s="57"/>
      <c r="F108" s="57"/>
      <c r="G108" s="57"/>
      <c r="H108" s="57"/>
      <c r="I108" s="5">
        <f>SUM(I106:I107)</f>
        <v>3240.6000000000004</v>
      </c>
      <c r="J108" s="5">
        <v>48</v>
      </c>
      <c r="K108" s="5">
        <f>SUM(K106:K107)</f>
        <v>67.512500000000003</v>
      </c>
      <c r="L108" s="30"/>
      <c r="M108" s="8"/>
    </row>
    <row r="109" spans="1:13" x14ac:dyDescent="0.25">
      <c r="A109" s="35"/>
      <c r="B109" s="35"/>
      <c r="C109" s="35"/>
      <c r="D109" s="35"/>
      <c r="E109" s="35"/>
      <c r="F109" s="35"/>
      <c r="G109" s="35"/>
      <c r="H109" s="35"/>
      <c r="I109" s="6"/>
      <c r="J109" s="6"/>
      <c r="K109" s="6"/>
      <c r="L109" s="34"/>
      <c r="M109" s="8"/>
    </row>
    <row r="110" spans="1:13" x14ac:dyDescent="0.25">
      <c r="A110" s="59" t="s">
        <v>124</v>
      </c>
      <c r="B110" s="59"/>
      <c r="C110" s="59"/>
      <c r="D110" s="59"/>
      <c r="E110" s="59"/>
      <c r="F110" s="59"/>
      <c r="G110" s="59"/>
      <c r="H110" s="59"/>
      <c r="I110" s="59"/>
      <c r="J110" s="59"/>
      <c r="K110" s="59"/>
      <c r="L110" s="59"/>
      <c r="M110" s="8"/>
    </row>
    <row r="111" spans="1:13" ht="44.25" customHeight="1" x14ac:dyDescent="0.25">
      <c r="A111" s="79" t="s">
        <v>54</v>
      </c>
      <c r="B111" s="79"/>
      <c r="C111" s="79"/>
      <c r="D111" s="79"/>
      <c r="E111" s="79"/>
      <c r="F111" s="23" t="s">
        <v>7</v>
      </c>
      <c r="G111" s="23" t="s">
        <v>65</v>
      </c>
      <c r="H111" s="23" t="s">
        <v>64</v>
      </c>
      <c r="I111" s="23" t="s">
        <v>73</v>
      </c>
      <c r="J111" s="23" t="s">
        <v>68</v>
      </c>
      <c r="K111" s="24" t="s">
        <v>69</v>
      </c>
      <c r="L111" s="28"/>
      <c r="M111" s="8"/>
    </row>
    <row r="112" spans="1:13" ht="23.25" customHeight="1" x14ac:dyDescent="0.25">
      <c r="A112" s="65" t="s">
        <v>125</v>
      </c>
      <c r="B112" s="68"/>
      <c r="C112" s="68"/>
      <c r="D112" s="68"/>
      <c r="E112" s="69"/>
      <c r="F112" s="23"/>
      <c r="G112" s="43"/>
      <c r="H112" s="43"/>
      <c r="I112" s="43">
        <f>138850*1%</f>
        <v>1388.5</v>
      </c>
      <c r="J112" s="43">
        <v>48</v>
      </c>
      <c r="K112" s="32">
        <f>I112/J112</f>
        <v>28.927083333333332</v>
      </c>
      <c r="L112" s="28"/>
      <c r="M112" s="8"/>
    </row>
    <row r="113" spans="1:13" x14ac:dyDescent="0.25">
      <c r="A113" s="56" t="s">
        <v>126</v>
      </c>
      <c r="B113" s="57"/>
      <c r="C113" s="57"/>
      <c r="D113" s="57"/>
      <c r="E113" s="57"/>
      <c r="F113" s="57"/>
      <c r="G113" s="57"/>
      <c r="H113" s="57"/>
      <c r="I113" s="5">
        <f>SUM(I112:I112)</f>
        <v>1388.5</v>
      </c>
      <c r="J113" s="5">
        <v>48</v>
      </c>
      <c r="K113" s="5">
        <f>SUM(K112:K112)</f>
        <v>28.927083333333332</v>
      </c>
      <c r="L113" s="30"/>
      <c r="M113" s="8"/>
    </row>
    <row r="114" spans="1:13" x14ac:dyDescent="0.25">
      <c r="A114" s="44"/>
      <c r="B114" s="44"/>
      <c r="C114" s="44"/>
      <c r="D114" s="44"/>
      <c r="E114" s="44"/>
      <c r="F114" s="44"/>
      <c r="G114" s="44"/>
      <c r="H114" s="44"/>
      <c r="I114" s="15"/>
      <c r="J114" s="15"/>
      <c r="K114" s="15"/>
      <c r="L114" s="34"/>
      <c r="M114" s="8"/>
    </row>
    <row r="115" spans="1:13" s="8" customFormat="1" ht="12.75" customHeight="1" x14ac:dyDescent="0.25">
      <c r="A115" s="58" t="s">
        <v>23</v>
      </c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8"/>
    </row>
    <row r="116" spans="1:13" s="8" customFormat="1" ht="15" customHeight="1" x14ac:dyDescent="0.25">
      <c r="A116" s="80" t="s">
        <v>24</v>
      </c>
      <c r="B116" s="80"/>
      <c r="C116" s="80"/>
      <c r="D116" s="62" t="s">
        <v>25</v>
      </c>
      <c r="E116" s="63"/>
      <c r="F116" s="63"/>
      <c r="G116" s="63"/>
      <c r="H116" s="63"/>
      <c r="I116" s="63"/>
      <c r="J116" s="64"/>
      <c r="K116" s="80" t="s">
        <v>36</v>
      </c>
      <c r="L116" s="80"/>
    </row>
    <row r="117" spans="1:13" s="8" customFormat="1" ht="30" x14ac:dyDescent="0.25">
      <c r="A117" s="7" t="s">
        <v>26</v>
      </c>
      <c r="B117" s="25" t="s">
        <v>27</v>
      </c>
      <c r="C117" s="7" t="s">
        <v>28</v>
      </c>
      <c r="D117" s="7" t="s">
        <v>29</v>
      </c>
      <c r="E117" s="7" t="s">
        <v>30</v>
      </c>
      <c r="F117" s="7" t="s">
        <v>31</v>
      </c>
      <c r="G117" s="7" t="s">
        <v>32</v>
      </c>
      <c r="H117" s="7" t="s">
        <v>33</v>
      </c>
      <c r="I117" s="7" t="s">
        <v>34</v>
      </c>
      <c r="J117" s="7" t="s">
        <v>35</v>
      </c>
      <c r="K117" s="80"/>
      <c r="L117" s="80"/>
    </row>
    <row r="118" spans="1:13" s="8" customFormat="1" x14ac:dyDescent="0.25">
      <c r="A118" s="7">
        <f>K50</f>
        <v>2520.0528534166674</v>
      </c>
      <c r="B118" s="7"/>
      <c r="C118" s="7"/>
      <c r="D118" s="7">
        <f>K59</f>
        <v>252.05225416666667</v>
      </c>
      <c r="E118" s="7">
        <f>K68</f>
        <v>110.06225000000001</v>
      </c>
      <c r="F118" s="7"/>
      <c r="G118" s="7">
        <f>K83</f>
        <v>11.943750000000001</v>
      </c>
      <c r="H118" s="7">
        <f>K75</f>
        <v>14.1220625</v>
      </c>
      <c r="I118" s="7">
        <f>K102</f>
        <v>836.63606775000017</v>
      </c>
      <c r="J118" s="7">
        <f>K108+K113</f>
        <v>96.439583333333331</v>
      </c>
      <c r="K118" s="77">
        <f>SUM(A118:J118)</f>
        <v>3841.3088211666673</v>
      </c>
      <c r="L118" s="78"/>
    </row>
    <row r="119" spans="1:13" s="8" customFormat="1" x14ac:dyDescent="0.25"/>
    <row r="120" spans="1:13" s="8" customFormat="1" ht="15.75" x14ac:dyDescent="0.25">
      <c r="A120" s="16" t="s">
        <v>60</v>
      </c>
      <c r="B120" s="16"/>
      <c r="C120" s="16"/>
      <c r="D120" s="16"/>
      <c r="E120" s="16"/>
      <c r="F120" s="16" t="s">
        <v>61</v>
      </c>
    </row>
    <row r="121" spans="1:13" s="8" customFormat="1" hidden="1" x14ac:dyDescent="0.25"/>
    <row r="122" spans="1:13" s="8" customFormat="1" x14ac:dyDescent="0.25">
      <c r="I122" s="11">
        <f>I50+I59+I68+I75+I83+I108+I113+I102+0.01</f>
        <v>184382.83341600007</v>
      </c>
      <c r="K122" s="11">
        <f>K118*J112+0.01</f>
        <v>184382.83341600004</v>
      </c>
    </row>
    <row r="123" spans="1:13" s="8" customFormat="1" x14ac:dyDescent="0.25"/>
    <row r="124" spans="1:13" s="8" customFormat="1" x14ac:dyDescent="0.25"/>
    <row r="125" spans="1:13" s="8" customFormat="1" x14ac:dyDescent="0.25">
      <c r="A125" s="45" t="s">
        <v>127</v>
      </c>
      <c r="B125" s="45"/>
      <c r="C125" s="45"/>
    </row>
    <row r="126" spans="1:13" s="8" customFormat="1" x14ac:dyDescent="0.25">
      <c r="A126" s="45" t="s">
        <v>62</v>
      </c>
      <c r="B126" s="45"/>
      <c r="C126" s="45"/>
    </row>
  </sheetData>
  <mergeCells count="114">
    <mergeCell ref="A17:E17"/>
    <mergeCell ref="G17:K17"/>
    <mergeCell ref="A18:E18"/>
    <mergeCell ref="G18:K18"/>
    <mergeCell ref="A19:E19"/>
    <mergeCell ref="G19:K19"/>
    <mergeCell ref="A4:F4"/>
    <mergeCell ref="A5:D5"/>
    <mergeCell ref="A16:E16"/>
    <mergeCell ref="G16:K16"/>
    <mergeCell ref="A8:L8"/>
    <mergeCell ref="A9:L9"/>
    <mergeCell ref="A10:L10"/>
    <mergeCell ref="A23:E23"/>
    <mergeCell ref="G23:K23"/>
    <mergeCell ref="A24:E24"/>
    <mergeCell ref="G24:K24"/>
    <mergeCell ref="A25:E25"/>
    <mergeCell ref="G25:K25"/>
    <mergeCell ref="A20:E20"/>
    <mergeCell ref="G20:K20"/>
    <mergeCell ref="A21:E21"/>
    <mergeCell ref="G21:K21"/>
    <mergeCell ref="A22:E22"/>
    <mergeCell ref="G22:K22"/>
    <mergeCell ref="A32:E32"/>
    <mergeCell ref="G32:K32"/>
    <mergeCell ref="A29:E29"/>
    <mergeCell ref="G29:K29"/>
    <mergeCell ref="A30:E30"/>
    <mergeCell ref="G30:K30"/>
    <mergeCell ref="A31:E31"/>
    <mergeCell ref="G31:K31"/>
    <mergeCell ref="A26:E26"/>
    <mergeCell ref="G26:K26"/>
    <mergeCell ref="A27:E27"/>
    <mergeCell ref="G27:K27"/>
    <mergeCell ref="A28:E28"/>
    <mergeCell ref="G28:K28"/>
    <mergeCell ref="A41:E41"/>
    <mergeCell ref="A42:E42"/>
    <mergeCell ref="A43:E43"/>
    <mergeCell ref="A44:E44"/>
    <mergeCell ref="A45:E45"/>
    <mergeCell ref="A46:E46"/>
    <mergeCell ref="A35:E35"/>
    <mergeCell ref="A36:E36"/>
    <mergeCell ref="A37:E37"/>
    <mergeCell ref="A38:E38"/>
    <mergeCell ref="A39:E39"/>
    <mergeCell ref="A40:E40"/>
    <mergeCell ref="A74:E74"/>
    <mergeCell ref="A54:E54"/>
    <mergeCell ref="A55:E55"/>
    <mergeCell ref="A56:E56"/>
    <mergeCell ref="A57:E57"/>
    <mergeCell ref="A61:L61"/>
    <mergeCell ref="A59:H59"/>
    <mergeCell ref="A47:E47"/>
    <mergeCell ref="A48:E48"/>
    <mergeCell ref="A49:E49"/>
    <mergeCell ref="A52:L52"/>
    <mergeCell ref="A53:E53"/>
    <mergeCell ref="A58:E58"/>
    <mergeCell ref="A72:E72"/>
    <mergeCell ref="A73:E73"/>
    <mergeCell ref="A70:L70"/>
    <mergeCell ref="A71:E71"/>
    <mergeCell ref="A62:E62"/>
    <mergeCell ref="A63:E63"/>
    <mergeCell ref="A64:E64"/>
    <mergeCell ref="A65:E65"/>
    <mergeCell ref="A66:E66"/>
    <mergeCell ref="A67:E67"/>
    <mergeCell ref="A68:H68"/>
    <mergeCell ref="A91:E91"/>
    <mergeCell ref="A92:E92"/>
    <mergeCell ref="A93:E93"/>
    <mergeCell ref="A94:E94"/>
    <mergeCell ref="A85:L85"/>
    <mergeCell ref="A86:E86"/>
    <mergeCell ref="A87:E87"/>
    <mergeCell ref="A88:E88"/>
    <mergeCell ref="A76:L76"/>
    <mergeCell ref="A83:H83"/>
    <mergeCell ref="A78:E78"/>
    <mergeCell ref="A79:E79"/>
    <mergeCell ref="A80:E80"/>
    <mergeCell ref="A81:E81"/>
    <mergeCell ref="A82:E82"/>
    <mergeCell ref="A75:H75"/>
    <mergeCell ref="A115:L115"/>
    <mergeCell ref="A116:C116"/>
    <mergeCell ref="D116:J116"/>
    <mergeCell ref="K116:L117"/>
    <mergeCell ref="K118:L118"/>
    <mergeCell ref="A101:E101"/>
    <mergeCell ref="A104:L104"/>
    <mergeCell ref="A105:E105"/>
    <mergeCell ref="A106:E106"/>
    <mergeCell ref="A107:E107"/>
    <mergeCell ref="A108:H108"/>
    <mergeCell ref="A110:L110"/>
    <mergeCell ref="A111:E111"/>
    <mergeCell ref="A112:E112"/>
    <mergeCell ref="A113:H113"/>
    <mergeCell ref="A95:E95"/>
    <mergeCell ref="A96:E96"/>
    <mergeCell ref="A97:E97"/>
    <mergeCell ref="A98:E98"/>
    <mergeCell ref="A99:E99"/>
    <mergeCell ref="A100:E100"/>
    <mergeCell ref="A89:E89"/>
    <mergeCell ref="A90:E90"/>
  </mergeCells>
  <pageMargins left="0.7" right="0.7" top="0.75" bottom="0.75" header="0.3" footer="0.3"/>
  <pageSetup paperSize="9" scale="8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37"/>
  <sheetViews>
    <sheetView zoomScale="90" zoomScaleNormal="90" workbookViewId="0">
      <selection activeCell="P21" sqref="P21"/>
    </sheetView>
  </sheetViews>
  <sheetFormatPr defaultRowHeight="15" x14ac:dyDescent="0.25"/>
  <cols>
    <col min="1" max="3" width="9.140625" style="9" customWidth="1"/>
    <col min="4" max="4" width="10.28515625" style="9" customWidth="1"/>
    <col min="5" max="5" width="7.7109375" style="9" customWidth="1"/>
    <col min="6" max="6" width="9.7109375" style="9" customWidth="1"/>
    <col min="7" max="7" width="8.28515625" style="9" customWidth="1"/>
    <col min="8" max="8" width="17.42578125" style="9" customWidth="1"/>
    <col min="9" max="9" width="13.7109375" style="9" customWidth="1"/>
    <col min="10" max="10" width="12.85546875" style="9" customWidth="1"/>
    <col min="11" max="11" width="12.140625" style="9" customWidth="1"/>
    <col min="12" max="12" width="9.5703125" style="9" customWidth="1"/>
    <col min="13" max="13" width="13.5703125" style="9" customWidth="1"/>
    <col min="14" max="16384" width="9.140625" style="9"/>
  </cols>
  <sheetData>
    <row r="1" spans="1:28" s="21" customFormat="1" x14ac:dyDescent="0.25">
      <c r="A1" s="46" t="s">
        <v>57</v>
      </c>
      <c r="B1" s="46"/>
      <c r="C1" s="46"/>
      <c r="D1" s="1"/>
    </row>
    <row r="2" spans="1:28" s="21" customFormat="1" x14ac:dyDescent="0.25">
      <c r="A2" s="47" t="s">
        <v>58</v>
      </c>
      <c r="B2" s="47"/>
      <c r="C2" s="47"/>
      <c r="D2" s="1"/>
    </row>
    <row r="3" spans="1:28" s="21" customFormat="1" x14ac:dyDescent="0.25">
      <c r="A3" s="48"/>
      <c r="B3" s="48"/>
      <c r="C3" s="48"/>
      <c r="D3" s="1"/>
    </row>
    <row r="4" spans="1:28" s="21" customFormat="1" x14ac:dyDescent="0.25">
      <c r="A4" s="86" t="s">
        <v>59</v>
      </c>
      <c r="B4" s="86"/>
      <c r="C4" s="86"/>
      <c r="D4" s="87"/>
      <c r="E4" s="87"/>
      <c r="F4" s="87"/>
    </row>
    <row r="5" spans="1:28" s="21" customFormat="1" x14ac:dyDescent="0.25">
      <c r="A5" s="88" t="s">
        <v>107</v>
      </c>
      <c r="B5" s="88"/>
      <c r="C5" s="88"/>
      <c r="D5" s="87"/>
    </row>
    <row r="6" spans="1:28" s="21" customFormat="1" x14ac:dyDescent="0.25"/>
    <row r="7" spans="1:28" s="21" customFormat="1" x14ac:dyDescent="0.25"/>
    <row r="8" spans="1:28" s="21" customFormat="1" x14ac:dyDescent="0.25">
      <c r="A8" s="81" t="s">
        <v>63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28" s="21" customFormat="1" x14ac:dyDescent="0.25">
      <c r="A9" s="81" t="s">
        <v>106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28" s="21" customFormat="1" x14ac:dyDescent="0.25">
      <c r="A10" s="81" t="s">
        <v>108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</row>
    <row r="11" spans="1:28" s="21" customFormat="1" x14ac:dyDescent="0.25">
      <c r="AB11" s="21">
        <v>122.87</v>
      </c>
    </row>
    <row r="12" spans="1:28" s="21" customFormat="1" x14ac:dyDescent="0.25">
      <c r="A12" s="49" t="s">
        <v>95</v>
      </c>
    </row>
    <row r="13" spans="1:28" s="21" customFormat="1" x14ac:dyDescent="0.25">
      <c r="A13" s="49" t="s">
        <v>128</v>
      </c>
    </row>
    <row r="14" spans="1:28" s="21" customFormat="1" x14ac:dyDescent="0.25">
      <c r="A14" s="9" t="s">
        <v>133</v>
      </c>
    </row>
    <row r="15" spans="1:28" s="21" customFormat="1" x14ac:dyDescent="0.25">
      <c r="A15" s="22" t="s">
        <v>111</v>
      </c>
      <c r="B15" s="8"/>
      <c r="C15" s="8"/>
      <c r="D15" s="8"/>
      <c r="E15" s="8"/>
    </row>
    <row r="16" spans="1:28" s="8" customFormat="1" ht="33" customHeight="1" x14ac:dyDescent="0.25">
      <c r="A16" s="80" t="s">
        <v>0</v>
      </c>
      <c r="B16" s="80"/>
      <c r="C16" s="80"/>
      <c r="D16" s="80"/>
      <c r="E16" s="80"/>
      <c r="F16" s="23" t="s">
        <v>1</v>
      </c>
      <c r="G16" s="80" t="s">
        <v>2</v>
      </c>
      <c r="H16" s="80"/>
      <c r="I16" s="80"/>
      <c r="J16" s="80"/>
      <c r="K16" s="80"/>
      <c r="L16" s="23" t="s">
        <v>1</v>
      </c>
    </row>
    <row r="17" spans="1:12" s="8" customFormat="1" ht="15" customHeight="1" x14ac:dyDescent="0.25">
      <c r="A17" s="55" t="s">
        <v>41</v>
      </c>
      <c r="B17" s="55"/>
      <c r="C17" s="55"/>
      <c r="D17" s="55"/>
      <c r="E17" s="55"/>
      <c r="F17" s="7">
        <v>0.05</v>
      </c>
      <c r="G17" s="55" t="s">
        <v>3</v>
      </c>
      <c r="H17" s="55"/>
      <c r="I17" s="55"/>
      <c r="J17" s="55"/>
      <c r="K17" s="55"/>
      <c r="L17" s="7">
        <v>0.05</v>
      </c>
    </row>
    <row r="18" spans="1:12" s="8" customFormat="1" ht="15" customHeight="1" x14ac:dyDescent="0.25">
      <c r="A18" s="55" t="s">
        <v>81</v>
      </c>
      <c r="B18" s="55"/>
      <c r="C18" s="55"/>
      <c r="D18" s="55"/>
      <c r="E18" s="55"/>
      <c r="F18" s="7">
        <v>0.05</v>
      </c>
      <c r="G18" s="55" t="s">
        <v>42</v>
      </c>
      <c r="H18" s="55"/>
      <c r="I18" s="55"/>
      <c r="J18" s="55"/>
      <c r="K18" s="55"/>
      <c r="L18" s="7">
        <v>0.05</v>
      </c>
    </row>
    <row r="19" spans="1:12" s="8" customFormat="1" ht="15" customHeight="1" x14ac:dyDescent="0.25">
      <c r="A19" s="55" t="s">
        <v>44</v>
      </c>
      <c r="B19" s="55"/>
      <c r="C19" s="55"/>
      <c r="D19" s="55"/>
      <c r="E19" s="55"/>
      <c r="F19" s="7">
        <v>0.05</v>
      </c>
      <c r="G19" s="55" t="s">
        <v>48</v>
      </c>
      <c r="H19" s="55"/>
      <c r="I19" s="55"/>
      <c r="J19" s="55"/>
      <c r="K19" s="55"/>
      <c r="L19" s="7">
        <v>0.03</v>
      </c>
    </row>
    <row r="20" spans="1:12" s="8" customFormat="1" ht="15" customHeight="1" x14ac:dyDescent="0.25">
      <c r="A20" s="55" t="s">
        <v>43</v>
      </c>
      <c r="B20" s="55"/>
      <c r="C20" s="55"/>
      <c r="D20" s="55"/>
      <c r="E20" s="55"/>
      <c r="F20" s="7">
        <v>0.05</v>
      </c>
      <c r="G20" s="55"/>
      <c r="H20" s="55"/>
      <c r="I20" s="55"/>
      <c r="J20" s="55"/>
      <c r="K20" s="55"/>
      <c r="L20" s="7"/>
    </row>
    <row r="21" spans="1:12" s="8" customFormat="1" ht="15" customHeight="1" x14ac:dyDescent="0.25">
      <c r="A21" s="55" t="s">
        <v>80</v>
      </c>
      <c r="B21" s="55"/>
      <c r="C21" s="55"/>
      <c r="D21" s="55"/>
      <c r="E21" s="55"/>
      <c r="F21" s="7">
        <v>0.05</v>
      </c>
      <c r="G21" s="55"/>
      <c r="H21" s="55"/>
      <c r="I21" s="55"/>
      <c r="J21" s="55"/>
      <c r="K21" s="55"/>
      <c r="L21" s="7"/>
    </row>
    <row r="22" spans="1:12" s="8" customFormat="1" ht="15" customHeight="1" x14ac:dyDescent="0.25">
      <c r="A22" s="55" t="s">
        <v>38</v>
      </c>
      <c r="B22" s="55"/>
      <c r="C22" s="55"/>
      <c r="D22" s="55"/>
      <c r="E22" s="55"/>
      <c r="F22" s="7">
        <v>0.25</v>
      </c>
      <c r="G22" s="55"/>
      <c r="H22" s="55"/>
      <c r="I22" s="55"/>
      <c r="J22" s="55"/>
      <c r="K22" s="55"/>
      <c r="L22" s="7"/>
    </row>
    <row r="23" spans="1:12" s="8" customFormat="1" ht="15" customHeight="1" x14ac:dyDescent="0.25">
      <c r="A23" s="55" t="s">
        <v>83</v>
      </c>
      <c r="B23" s="55"/>
      <c r="C23" s="55"/>
      <c r="D23" s="55"/>
      <c r="E23" s="55"/>
      <c r="F23" s="7">
        <v>0.05</v>
      </c>
      <c r="G23" s="55"/>
      <c r="H23" s="55"/>
      <c r="I23" s="55"/>
      <c r="J23" s="55"/>
      <c r="K23" s="55"/>
      <c r="L23" s="7"/>
    </row>
    <row r="24" spans="1:12" s="8" customFormat="1" ht="15" customHeight="1" x14ac:dyDescent="0.25">
      <c r="A24" s="55" t="s">
        <v>45</v>
      </c>
      <c r="B24" s="55"/>
      <c r="C24" s="55"/>
      <c r="D24" s="55"/>
      <c r="E24" s="55"/>
      <c r="F24" s="7">
        <v>0.05</v>
      </c>
      <c r="G24" s="55"/>
      <c r="H24" s="55"/>
      <c r="I24" s="55"/>
      <c r="J24" s="55"/>
      <c r="K24" s="55"/>
      <c r="L24" s="7"/>
    </row>
    <row r="25" spans="1:12" s="8" customFormat="1" ht="15" customHeight="1" x14ac:dyDescent="0.25">
      <c r="A25" s="55" t="s">
        <v>82</v>
      </c>
      <c r="B25" s="55"/>
      <c r="C25" s="55"/>
      <c r="D25" s="55"/>
      <c r="E25" s="55"/>
      <c r="F25" s="7">
        <v>0.05</v>
      </c>
      <c r="G25" s="55"/>
      <c r="H25" s="55"/>
      <c r="I25" s="55"/>
      <c r="J25" s="55"/>
      <c r="K25" s="55"/>
      <c r="L25" s="7"/>
    </row>
    <row r="26" spans="1:12" s="8" customFormat="1" ht="15" customHeight="1" x14ac:dyDescent="0.25">
      <c r="A26" s="55" t="s">
        <v>46</v>
      </c>
      <c r="B26" s="55"/>
      <c r="C26" s="55"/>
      <c r="D26" s="55"/>
      <c r="E26" s="55"/>
      <c r="F26" s="7">
        <v>0.05</v>
      </c>
      <c r="G26" s="55"/>
      <c r="H26" s="55"/>
      <c r="I26" s="55"/>
      <c r="J26" s="55"/>
      <c r="K26" s="55"/>
      <c r="L26" s="7"/>
    </row>
    <row r="27" spans="1:12" s="8" customFormat="1" ht="27" customHeight="1" x14ac:dyDescent="0.25">
      <c r="A27" s="55" t="s">
        <v>47</v>
      </c>
      <c r="B27" s="55"/>
      <c r="C27" s="55"/>
      <c r="D27" s="55"/>
      <c r="E27" s="55"/>
      <c r="F27" s="7">
        <v>0.05</v>
      </c>
      <c r="G27" s="55"/>
      <c r="H27" s="55"/>
      <c r="I27" s="55"/>
      <c r="J27" s="55"/>
      <c r="K27" s="55"/>
      <c r="L27" s="7"/>
    </row>
    <row r="28" spans="1:12" s="8" customFormat="1" ht="15" customHeight="1" x14ac:dyDescent="0.25">
      <c r="A28" s="55" t="s">
        <v>84</v>
      </c>
      <c r="B28" s="55"/>
      <c r="C28" s="55"/>
      <c r="D28" s="55"/>
      <c r="E28" s="55"/>
      <c r="F28" s="7">
        <v>0.05</v>
      </c>
      <c r="G28" s="55"/>
      <c r="H28" s="55"/>
      <c r="I28" s="55"/>
      <c r="J28" s="55"/>
      <c r="K28" s="55"/>
      <c r="L28" s="7"/>
    </row>
    <row r="29" spans="1:12" s="8" customFormat="1" ht="15" customHeight="1" x14ac:dyDescent="0.25">
      <c r="A29" s="55" t="s">
        <v>85</v>
      </c>
      <c r="B29" s="55"/>
      <c r="C29" s="55"/>
      <c r="D29" s="55"/>
      <c r="E29" s="55"/>
      <c r="F29" s="7">
        <v>0.05</v>
      </c>
      <c r="G29" s="55"/>
      <c r="H29" s="55"/>
      <c r="I29" s="55"/>
      <c r="J29" s="55"/>
      <c r="K29" s="55"/>
      <c r="L29" s="7"/>
    </row>
    <row r="30" spans="1:12" s="8" customFormat="1" ht="15" customHeight="1" x14ac:dyDescent="0.25">
      <c r="A30" s="55" t="s">
        <v>86</v>
      </c>
      <c r="B30" s="55"/>
      <c r="C30" s="55"/>
      <c r="D30" s="55"/>
      <c r="E30" s="55"/>
      <c r="F30" s="7">
        <v>0.05</v>
      </c>
      <c r="G30" s="55"/>
      <c r="H30" s="55"/>
      <c r="I30" s="55"/>
      <c r="J30" s="55"/>
      <c r="K30" s="55"/>
      <c r="L30" s="7"/>
    </row>
    <row r="31" spans="1:12" s="8" customFormat="1" ht="15" customHeight="1" x14ac:dyDescent="0.25">
      <c r="A31" s="55" t="s">
        <v>87</v>
      </c>
      <c r="B31" s="55"/>
      <c r="C31" s="55"/>
      <c r="D31" s="55"/>
      <c r="E31" s="55"/>
      <c r="F31" s="7">
        <v>0.05</v>
      </c>
      <c r="G31" s="55"/>
      <c r="H31" s="55"/>
      <c r="I31" s="55"/>
      <c r="J31" s="55"/>
      <c r="K31" s="55"/>
      <c r="L31" s="7"/>
    </row>
    <row r="32" spans="1:12" s="8" customFormat="1" ht="15" customHeight="1" x14ac:dyDescent="0.25">
      <c r="A32" s="55" t="s">
        <v>88</v>
      </c>
      <c r="B32" s="55"/>
      <c r="C32" s="55"/>
      <c r="D32" s="55"/>
      <c r="E32" s="55"/>
      <c r="F32" s="7">
        <v>0.08</v>
      </c>
      <c r="G32" s="55"/>
      <c r="H32" s="55"/>
      <c r="I32" s="55"/>
      <c r="J32" s="55"/>
      <c r="K32" s="55"/>
      <c r="L32" s="7"/>
    </row>
    <row r="33" spans="1:12" s="8" customFormat="1" ht="15" customHeight="1" x14ac:dyDescent="0.25">
      <c r="A33" s="55" t="s">
        <v>90</v>
      </c>
      <c r="B33" s="55"/>
      <c r="C33" s="55"/>
      <c r="D33" s="55"/>
      <c r="E33" s="55"/>
      <c r="F33" s="7">
        <v>0.05</v>
      </c>
      <c r="G33" s="55"/>
      <c r="H33" s="55"/>
      <c r="I33" s="55"/>
      <c r="J33" s="55"/>
      <c r="K33" s="55"/>
      <c r="L33" s="7"/>
    </row>
    <row r="34" spans="1:12" s="8" customFormat="1" ht="15" customHeight="1" x14ac:dyDescent="0.25">
      <c r="A34" s="55" t="s">
        <v>51</v>
      </c>
      <c r="B34" s="55"/>
      <c r="C34" s="55"/>
      <c r="D34" s="55"/>
      <c r="E34" s="55"/>
      <c r="F34" s="7">
        <v>0.05</v>
      </c>
      <c r="G34" s="55"/>
      <c r="H34" s="55"/>
      <c r="I34" s="55"/>
      <c r="J34" s="55"/>
      <c r="K34" s="55"/>
      <c r="L34" s="7"/>
    </row>
    <row r="35" spans="1:12" s="8" customFormat="1" ht="15" customHeight="1" x14ac:dyDescent="0.25">
      <c r="A35" s="55" t="s">
        <v>49</v>
      </c>
      <c r="B35" s="55"/>
      <c r="C35" s="55"/>
      <c r="D35" s="55"/>
      <c r="E35" s="55"/>
      <c r="F35" s="7">
        <v>0.05</v>
      </c>
      <c r="G35" s="55"/>
      <c r="H35" s="55"/>
      <c r="I35" s="55"/>
      <c r="J35" s="55"/>
      <c r="K35" s="55"/>
      <c r="L35" s="7"/>
    </row>
    <row r="36" spans="1:12" s="8" customFormat="1" ht="15" customHeight="1" x14ac:dyDescent="0.25">
      <c r="A36" s="55" t="s">
        <v>89</v>
      </c>
      <c r="B36" s="55"/>
      <c r="C36" s="55"/>
      <c r="D36" s="55"/>
      <c r="E36" s="55"/>
      <c r="F36" s="7">
        <v>0.35</v>
      </c>
      <c r="G36" s="55"/>
      <c r="H36" s="55"/>
      <c r="I36" s="55"/>
      <c r="J36" s="55"/>
      <c r="K36" s="55"/>
      <c r="L36" s="7"/>
    </row>
    <row r="37" spans="1:12" s="8" customFormat="1" ht="15" customHeight="1" x14ac:dyDescent="0.25">
      <c r="A37" s="55" t="s">
        <v>50</v>
      </c>
      <c r="B37" s="55"/>
      <c r="C37" s="55"/>
      <c r="D37" s="55"/>
      <c r="E37" s="55"/>
      <c r="F37" s="7">
        <v>0.4</v>
      </c>
      <c r="G37" s="55"/>
      <c r="H37" s="55"/>
      <c r="I37" s="55"/>
      <c r="J37" s="55"/>
      <c r="K37" s="55"/>
      <c r="L37" s="7"/>
    </row>
    <row r="38" spans="1:12" s="8" customFormat="1" ht="15" customHeight="1" x14ac:dyDescent="0.25">
      <c r="A38" s="55" t="s">
        <v>91</v>
      </c>
      <c r="B38" s="55"/>
      <c r="C38" s="55"/>
      <c r="D38" s="55"/>
      <c r="E38" s="55"/>
      <c r="F38" s="7">
        <v>0.05</v>
      </c>
      <c r="G38" s="55"/>
      <c r="H38" s="55"/>
      <c r="I38" s="55"/>
      <c r="J38" s="55"/>
      <c r="K38" s="55"/>
      <c r="L38" s="7"/>
    </row>
    <row r="39" spans="1:12" s="8" customFormat="1" ht="15" customHeight="1" x14ac:dyDescent="0.25">
      <c r="A39" s="55" t="s">
        <v>92</v>
      </c>
      <c r="B39" s="55"/>
      <c r="C39" s="55"/>
      <c r="D39" s="55"/>
      <c r="E39" s="55"/>
      <c r="F39" s="7">
        <v>0.05</v>
      </c>
      <c r="G39" s="55"/>
      <c r="H39" s="55"/>
      <c r="I39" s="55"/>
      <c r="J39" s="55"/>
      <c r="K39" s="55"/>
      <c r="L39" s="7"/>
    </row>
    <row r="40" spans="1:12" s="8" customFormat="1" ht="15" customHeight="1" x14ac:dyDescent="0.25">
      <c r="A40" s="55" t="s">
        <v>93</v>
      </c>
      <c r="B40" s="55"/>
      <c r="C40" s="55"/>
      <c r="D40" s="55"/>
      <c r="E40" s="55"/>
      <c r="F40" s="7">
        <v>0.05</v>
      </c>
      <c r="G40" s="55"/>
      <c r="H40" s="55"/>
      <c r="I40" s="55"/>
      <c r="J40" s="55"/>
      <c r="K40" s="55"/>
      <c r="L40" s="7"/>
    </row>
    <row r="41" spans="1:12" s="8" customFormat="1" ht="15" customHeight="1" x14ac:dyDescent="0.25">
      <c r="A41" s="55" t="s">
        <v>52</v>
      </c>
      <c r="B41" s="55"/>
      <c r="C41" s="55"/>
      <c r="D41" s="55"/>
      <c r="E41" s="55"/>
      <c r="F41" s="7">
        <v>0.48</v>
      </c>
      <c r="G41" s="55"/>
      <c r="H41" s="55"/>
      <c r="I41" s="55"/>
      <c r="J41" s="55"/>
      <c r="K41" s="55"/>
      <c r="L41" s="7"/>
    </row>
    <row r="42" spans="1:12" s="8" customFormat="1" ht="15" customHeight="1" x14ac:dyDescent="0.25">
      <c r="A42" s="55" t="s">
        <v>94</v>
      </c>
      <c r="B42" s="55"/>
      <c r="C42" s="55"/>
      <c r="D42" s="55"/>
      <c r="E42" s="55"/>
      <c r="F42" s="7">
        <v>0.05</v>
      </c>
      <c r="G42" s="55"/>
      <c r="H42" s="55"/>
      <c r="I42" s="55"/>
      <c r="J42" s="55"/>
      <c r="K42" s="55"/>
      <c r="L42" s="7"/>
    </row>
    <row r="43" spans="1:12" s="8" customFormat="1" x14ac:dyDescent="0.25">
      <c r="A43" s="79" t="s">
        <v>4</v>
      </c>
      <c r="B43" s="79"/>
      <c r="C43" s="79"/>
      <c r="D43" s="79"/>
      <c r="E43" s="79"/>
      <c r="F43" s="7">
        <f>SUM(F17:F42)</f>
        <v>2.6100000000000003</v>
      </c>
      <c r="G43" s="79" t="s">
        <v>4</v>
      </c>
      <c r="H43" s="79"/>
      <c r="I43" s="79"/>
      <c r="J43" s="79"/>
      <c r="K43" s="79"/>
      <c r="L43" s="7">
        <f>SUM(L17:L41)</f>
        <v>0.13</v>
      </c>
    </row>
    <row r="44" spans="1:12" s="8" customFormat="1" x14ac:dyDescent="0.25"/>
    <row r="45" spans="1:12" s="8" customFormat="1" x14ac:dyDescent="0.25">
      <c r="A45" s="22" t="s">
        <v>99</v>
      </c>
      <c r="F45" s="8">
        <v>310</v>
      </c>
    </row>
    <row r="46" spans="1:12" s="8" customFormat="1" ht="75" x14ac:dyDescent="0.25">
      <c r="A46" s="62" t="s">
        <v>5</v>
      </c>
      <c r="B46" s="63"/>
      <c r="C46" s="63"/>
      <c r="D46" s="63"/>
      <c r="E46" s="64"/>
      <c r="F46" s="23" t="s">
        <v>6</v>
      </c>
      <c r="G46" s="23" t="s">
        <v>1</v>
      </c>
      <c r="H46" s="23" t="s">
        <v>66</v>
      </c>
      <c r="I46" s="23" t="s">
        <v>67</v>
      </c>
      <c r="J46" s="23" t="s">
        <v>68</v>
      </c>
      <c r="K46" s="24" t="s">
        <v>69</v>
      </c>
      <c r="L46" s="33"/>
    </row>
    <row r="47" spans="1:12" s="8" customFormat="1" ht="15" hidden="1" customHeight="1" x14ac:dyDescent="0.25">
      <c r="A47" s="55" t="s">
        <v>41</v>
      </c>
      <c r="B47" s="55"/>
      <c r="C47" s="55"/>
      <c r="D47" s="55"/>
      <c r="E47" s="55"/>
      <c r="F47" s="7">
        <f>'Услуга №1'!F37</f>
        <v>14963</v>
      </c>
      <c r="G47" s="7">
        <v>0.05</v>
      </c>
      <c r="H47" s="7">
        <f>F47*G47*12</f>
        <v>8977.8000000000011</v>
      </c>
      <c r="I47" s="7">
        <f>H47*1.302</f>
        <v>11689.095600000002</v>
      </c>
      <c r="J47" s="7">
        <f>F45</f>
        <v>310</v>
      </c>
      <c r="K47" s="7">
        <f>I47/J47</f>
        <v>37.70676000000001</v>
      </c>
      <c r="L47" s="34"/>
    </row>
    <row r="48" spans="1:12" s="8" customFormat="1" ht="15" hidden="1" customHeight="1" x14ac:dyDescent="0.25">
      <c r="A48" s="55" t="s">
        <v>81</v>
      </c>
      <c r="B48" s="55"/>
      <c r="C48" s="55"/>
      <c r="D48" s="55"/>
      <c r="E48" s="55"/>
      <c r="F48" s="7">
        <f>'Услуга №1'!F88</f>
        <v>11538</v>
      </c>
      <c r="G48" s="7">
        <v>0.05</v>
      </c>
      <c r="H48" s="7">
        <f t="shared" ref="H48:H72" si="0">F48*G48*12</f>
        <v>6922.7999999999993</v>
      </c>
      <c r="I48" s="7">
        <f t="shared" ref="I48:I72" si="1">H48*1.302</f>
        <v>9013.4856</v>
      </c>
      <c r="J48" s="7">
        <f>J47</f>
        <v>310</v>
      </c>
      <c r="K48" s="7">
        <f t="shared" ref="K48:K72" si="2">I48/J48</f>
        <v>29.075759999999999</v>
      </c>
      <c r="L48" s="34"/>
    </row>
    <row r="49" spans="1:12" s="8" customFormat="1" ht="15" hidden="1" customHeight="1" x14ac:dyDescent="0.25">
      <c r="A49" s="55" t="s">
        <v>44</v>
      </c>
      <c r="B49" s="55"/>
      <c r="C49" s="55"/>
      <c r="D49" s="55"/>
      <c r="E49" s="55"/>
      <c r="F49" s="7">
        <f>'Услуга №1'!F90</f>
        <v>11538</v>
      </c>
      <c r="G49" s="7">
        <v>0.05</v>
      </c>
      <c r="H49" s="7">
        <f t="shared" si="0"/>
        <v>6922.7999999999993</v>
      </c>
      <c r="I49" s="7">
        <f t="shared" si="1"/>
        <v>9013.4856</v>
      </c>
      <c r="J49" s="7">
        <f t="shared" ref="J49:J72" si="3">J48</f>
        <v>310</v>
      </c>
      <c r="K49" s="7">
        <f t="shared" si="2"/>
        <v>29.075759999999999</v>
      </c>
      <c r="L49" s="34"/>
    </row>
    <row r="50" spans="1:12" s="8" customFormat="1" ht="15.75" hidden="1" customHeight="1" x14ac:dyDescent="0.25">
      <c r="A50" s="55" t="s">
        <v>43</v>
      </c>
      <c r="B50" s="55"/>
      <c r="C50" s="55"/>
      <c r="D50" s="55"/>
      <c r="E50" s="55"/>
      <c r="F50" s="7">
        <f>'Услуга №1'!F38</f>
        <v>11538</v>
      </c>
      <c r="G50" s="7">
        <v>0.05</v>
      </c>
      <c r="H50" s="7">
        <f t="shared" si="0"/>
        <v>6922.7999999999993</v>
      </c>
      <c r="I50" s="7">
        <f t="shared" si="1"/>
        <v>9013.4856</v>
      </c>
      <c r="J50" s="7">
        <f t="shared" si="3"/>
        <v>310</v>
      </c>
      <c r="K50" s="7">
        <f t="shared" si="2"/>
        <v>29.075759999999999</v>
      </c>
      <c r="L50" s="34"/>
    </row>
    <row r="51" spans="1:12" s="8" customFormat="1" ht="15.75" hidden="1" customHeight="1" x14ac:dyDescent="0.25">
      <c r="A51" s="55" t="s">
        <v>80</v>
      </c>
      <c r="B51" s="55"/>
      <c r="C51" s="55"/>
      <c r="D51" s="55"/>
      <c r="E51" s="55"/>
      <c r="F51" s="7">
        <v>15169</v>
      </c>
      <c r="G51" s="7">
        <v>0.05</v>
      </c>
      <c r="H51" s="7">
        <f t="shared" si="0"/>
        <v>9101.4000000000015</v>
      </c>
      <c r="I51" s="7">
        <f t="shared" si="1"/>
        <v>11850.022800000002</v>
      </c>
      <c r="J51" s="7">
        <f t="shared" si="3"/>
        <v>310</v>
      </c>
      <c r="K51" s="7">
        <f t="shared" si="2"/>
        <v>38.225880000000011</v>
      </c>
      <c r="L51" s="34"/>
    </row>
    <row r="52" spans="1:12" s="8" customFormat="1" ht="15" hidden="1" customHeight="1" x14ac:dyDescent="0.25">
      <c r="A52" s="55" t="s">
        <v>38</v>
      </c>
      <c r="B52" s="55"/>
      <c r="C52" s="55"/>
      <c r="D52" s="55"/>
      <c r="E52" s="55"/>
      <c r="F52" s="38">
        <f>'Услуга №1'!F92</f>
        <v>6556</v>
      </c>
      <c r="G52" s="7">
        <v>0.25</v>
      </c>
      <c r="H52" s="7">
        <f t="shared" si="0"/>
        <v>19668</v>
      </c>
      <c r="I52" s="7">
        <f t="shared" si="1"/>
        <v>25607.736000000001</v>
      </c>
      <c r="J52" s="7">
        <f t="shared" si="3"/>
        <v>310</v>
      </c>
      <c r="K52" s="7">
        <f t="shared" si="2"/>
        <v>82.605599999999995</v>
      </c>
      <c r="L52" s="34"/>
    </row>
    <row r="53" spans="1:12" s="8" customFormat="1" ht="15" hidden="1" customHeight="1" x14ac:dyDescent="0.25">
      <c r="A53" s="55" t="s">
        <v>83</v>
      </c>
      <c r="B53" s="55"/>
      <c r="C53" s="55"/>
      <c r="D53" s="55"/>
      <c r="E53" s="55"/>
      <c r="F53" s="38">
        <f>'Услуга №1'!F93</f>
        <v>6556</v>
      </c>
      <c r="G53" s="7">
        <v>0.05</v>
      </c>
      <c r="H53" s="7">
        <f t="shared" si="0"/>
        <v>3933.6000000000004</v>
      </c>
      <c r="I53" s="7">
        <f t="shared" si="1"/>
        <v>5121.5472000000009</v>
      </c>
      <c r="J53" s="7">
        <f t="shared" si="3"/>
        <v>310</v>
      </c>
      <c r="K53" s="7">
        <f t="shared" si="2"/>
        <v>16.521120000000003</v>
      </c>
      <c r="L53" s="34"/>
    </row>
    <row r="54" spans="1:12" s="8" customFormat="1" ht="15" hidden="1" customHeight="1" x14ac:dyDescent="0.25">
      <c r="A54" s="55" t="s">
        <v>45</v>
      </c>
      <c r="B54" s="55"/>
      <c r="C54" s="55"/>
      <c r="D54" s="55"/>
      <c r="E54" s="55"/>
      <c r="F54" s="38">
        <f>'Услуга №1'!F94</f>
        <v>6556</v>
      </c>
      <c r="G54" s="7">
        <v>0.05</v>
      </c>
      <c r="H54" s="7">
        <f t="shared" si="0"/>
        <v>3933.6000000000004</v>
      </c>
      <c r="I54" s="7">
        <f t="shared" si="1"/>
        <v>5121.5472000000009</v>
      </c>
      <c r="J54" s="7">
        <f t="shared" si="3"/>
        <v>310</v>
      </c>
      <c r="K54" s="7">
        <f t="shared" si="2"/>
        <v>16.521120000000003</v>
      </c>
      <c r="L54" s="34"/>
    </row>
    <row r="55" spans="1:12" s="8" customFormat="1" ht="15" hidden="1" customHeight="1" x14ac:dyDescent="0.25">
      <c r="A55" s="55" t="s">
        <v>82</v>
      </c>
      <c r="B55" s="55"/>
      <c r="C55" s="55"/>
      <c r="D55" s="55"/>
      <c r="E55" s="55"/>
      <c r="F55" s="7">
        <f>'Услуга №1'!F39</f>
        <v>8837</v>
      </c>
      <c r="G55" s="7">
        <v>0.05</v>
      </c>
      <c r="H55" s="7">
        <f t="shared" si="0"/>
        <v>5302.2000000000007</v>
      </c>
      <c r="I55" s="7">
        <f t="shared" si="1"/>
        <v>6903.4644000000008</v>
      </c>
      <c r="J55" s="7">
        <f t="shared" si="3"/>
        <v>310</v>
      </c>
      <c r="K55" s="7">
        <f t="shared" si="2"/>
        <v>22.269240000000003</v>
      </c>
      <c r="L55" s="34"/>
    </row>
    <row r="56" spans="1:12" s="8" customFormat="1" ht="15" hidden="1" customHeight="1" x14ac:dyDescent="0.25">
      <c r="A56" s="55" t="s">
        <v>46</v>
      </c>
      <c r="B56" s="55"/>
      <c r="C56" s="55"/>
      <c r="D56" s="55"/>
      <c r="E56" s="55"/>
      <c r="F56" s="7">
        <v>15169</v>
      </c>
      <c r="G56" s="7">
        <v>0.05</v>
      </c>
      <c r="H56" s="7">
        <f t="shared" si="0"/>
        <v>9101.4000000000015</v>
      </c>
      <c r="I56" s="7">
        <f t="shared" si="1"/>
        <v>11850.022800000002</v>
      </c>
      <c r="J56" s="7">
        <f t="shared" si="3"/>
        <v>310</v>
      </c>
      <c r="K56" s="7">
        <f t="shared" si="2"/>
        <v>38.225880000000011</v>
      </c>
      <c r="L56" s="34"/>
    </row>
    <row r="57" spans="1:12" s="8" customFormat="1" ht="18" hidden="1" customHeight="1" x14ac:dyDescent="0.25">
      <c r="A57" s="55" t="s">
        <v>47</v>
      </c>
      <c r="B57" s="55"/>
      <c r="C57" s="55"/>
      <c r="D57" s="55"/>
      <c r="E57" s="55"/>
      <c r="F57" s="7">
        <v>15169</v>
      </c>
      <c r="G57" s="7">
        <v>0.05</v>
      </c>
      <c r="H57" s="7">
        <f t="shared" si="0"/>
        <v>9101.4000000000015</v>
      </c>
      <c r="I57" s="7">
        <f t="shared" si="1"/>
        <v>11850.022800000002</v>
      </c>
      <c r="J57" s="7">
        <f t="shared" si="3"/>
        <v>310</v>
      </c>
      <c r="K57" s="7">
        <f t="shared" si="2"/>
        <v>38.225880000000011</v>
      </c>
      <c r="L57" s="34"/>
    </row>
    <row r="58" spans="1:12" s="8" customFormat="1" ht="15" hidden="1" customHeight="1" x14ac:dyDescent="0.25">
      <c r="A58" s="55" t="s">
        <v>84</v>
      </c>
      <c r="B58" s="55"/>
      <c r="C58" s="55"/>
      <c r="D58" s="55"/>
      <c r="E58" s="55"/>
      <c r="F58" s="7">
        <f>'Услуга №1'!F42</f>
        <v>8837</v>
      </c>
      <c r="G58" s="7">
        <v>0.05</v>
      </c>
      <c r="H58" s="7">
        <f t="shared" si="0"/>
        <v>5302.2000000000007</v>
      </c>
      <c r="I58" s="7">
        <f t="shared" si="1"/>
        <v>6903.4644000000008</v>
      </c>
      <c r="J58" s="7">
        <f t="shared" si="3"/>
        <v>310</v>
      </c>
      <c r="K58" s="7">
        <f t="shared" si="2"/>
        <v>22.269240000000003</v>
      </c>
      <c r="L58" s="34"/>
    </row>
    <row r="59" spans="1:12" s="8" customFormat="1" ht="15" hidden="1" customHeight="1" x14ac:dyDescent="0.25">
      <c r="A59" s="55" t="s">
        <v>85</v>
      </c>
      <c r="B59" s="55"/>
      <c r="C59" s="55"/>
      <c r="D59" s="55"/>
      <c r="E59" s="55"/>
      <c r="F59" s="7">
        <f>'Услуга №1'!F43</f>
        <v>3993</v>
      </c>
      <c r="G59" s="7">
        <v>0.05</v>
      </c>
      <c r="H59" s="7">
        <f t="shared" si="0"/>
        <v>2395.8000000000002</v>
      </c>
      <c r="I59" s="7">
        <f t="shared" si="1"/>
        <v>3119.3316000000004</v>
      </c>
      <c r="J59" s="7">
        <f t="shared" si="3"/>
        <v>310</v>
      </c>
      <c r="K59" s="7">
        <f t="shared" si="2"/>
        <v>10.062360000000002</v>
      </c>
      <c r="L59" s="34"/>
    </row>
    <row r="60" spans="1:12" s="8" customFormat="1" ht="17.25" hidden="1" customHeight="1" x14ac:dyDescent="0.25">
      <c r="A60" s="55" t="s">
        <v>86</v>
      </c>
      <c r="B60" s="55"/>
      <c r="C60" s="55"/>
      <c r="D60" s="55"/>
      <c r="E60" s="55"/>
      <c r="F60" s="7">
        <f>'Услуга №1'!F44</f>
        <v>4496</v>
      </c>
      <c r="G60" s="7">
        <v>0.05</v>
      </c>
      <c r="H60" s="7">
        <f t="shared" si="0"/>
        <v>2697.6000000000004</v>
      </c>
      <c r="I60" s="7">
        <f t="shared" si="1"/>
        <v>3512.2752000000005</v>
      </c>
      <c r="J60" s="7">
        <f t="shared" si="3"/>
        <v>310</v>
      </c>
      <c r="K60" s="7">
        <f t="shared" si="2"/>
        <v>11.329920000000001</v>
      </c>
      <c r="L60" s="34"/>
    </row>
    <row r="61" spans="1:12" s="8" customFormat="1" ht="17.25" hidden="1" customHeight="1" x14ac:dyDescent="0.25">
      <c r="A61" s="55" t="s">
        <v>87</v>
      </c>
      <c r="B61" s="55"/>
      <c r="C61" s="55"/>
      <c r="D61" s="55"/>
      <c r="E61" s="55"/>
      <c r="F61" s="7">
        <f>'Услуга №1'!F45</f>
        <v>8837</v>
      </c>
      <c r="G61" s="7">
        <v>0.05</v>
      </c>
      <c r="H61" s="7">
        <f t="shared" si="0"/>
        <v>5302.2000000000007</v>
      </c>
      <c r="I61" s="7">
        <f t="shared" si="1"/>
        <v>6903.4644000000008</v>
      </c>
      <c r="J61" s="7">
        <f t="shared" si="3"/>
        <v>310</v>
      </c>
      <c r="K61" s="7">
        <f t="shared" si="2"/>
        <v>22.269240000000003</v>
      </c>
      <c r="L61" s="34"/>
    </row>
    <row r="62" spans="1:12" s="8" customFormat="1" ht="15" hidden="1" customHeight="1" x14ac:dyDescent="0.25">
      <c r="A62" s="55" t="s">
        <v>88</v>
      </c>
      <c r="B62" s="55"/>
      <c r="C62" s="55"/>
      <c r="D62" s="55"/>
      <c r="E62" s="55"/>
      <c r="F62" s="7">
        <f>'Услуга №1'!F46</f>
        <v>13255.5</v>
      </c>
      <c r="G62" s="7">
        <v>0.08</v>
      </c>
      <c r="H62" s="7">
        <f t="shared" si="0"/>
        <v>12725.28</v>
      </c>
      <c r="I62" s="7">
        <f t="shared" si="1"/>
        <v>16568.314560000003</v>
      </c>
      <c r="J62" s="7">
        <f t="shared" si="3"/>
        <v>310</v>
      </c>
      <c r="K62" s="7">
        <f t="shared" si="2"/>
        <v>53.446176000000008</v>
      </c>
      <c r="L62" s="34"/>
    </row>
    <row r="63" spans="1:12" s="8" customFormat="1" ht="15" hidden="1" customHeight="1" x14ac:dyDescent="0.25">
      <c r="A63" s="55" t="s">
        <v>90</v>
      </c>
      <c r="B63" s="55"/>
      <c r="C63" s="55"/>
      <c r="D63" s="55"/>
      <c r="E63" s="55"/>
      <c r="F63" s="7">
        <f>'Услуга №1'!F47</f>
        <v>11538</v>
      </c>
      <c r="G63" s="7">
        <v>0.05</v>
      </c>
      <c r="H63" s="7">
        <f t="shared" si="0"/>
        <v>6922.7999999999993</v>
      </c>
      <c r="I63" s="7">
        <f t="shared" si="1"/>
        <v>9013.4856</v>
      </c>
      <c r="J63" s="7">
        <f t="shared" si="3"/>
        <v>310</v>
      </c>
      <c r="K63" s="7">
        <f t="shared" si="2"/>
        <v>29.075759999999999</v>
      </c>
      <c r="L63" s="34"/>
    </row>
    <row r="64" spans="1:12" s="8" customFormat="1" ht="15" hidden="1" customHeight="1" x14ac:dyDescent="0.25">
      <c r="A64" s="55" t="s">
        <v>51</v>
      </c>
      <c r="B64" s="55"/>
      <c r="C64" s="55"/>
      <c r="D64" s="55"/>
      <c r="E64" s="55"/>
      <c r="F64" s="7">
        <f>'Услуга №1'!F48</f>
        <v>11538</v>
      </c>
      <c r="G64" s="7">
        <v>0.05</v>
      </c>
      <c r="H64" s="7">
        <f t="shared" si="0"/>
        <v>6922.7999999999993</v>
      </c>
      <c r="I64" s="7">
        <f t="shared" si="1"/>
        <v>9013.4856</v>
      </c>
      <c r="J64" s="7">
        <f t="shared" si="3"/>
        <v>310</v>
      </c>
      <c r="K64" s="7">
        <f t="shared" si="2"/>
        <v>29.075759999999999</v>
      </c>
      <c r="L64" s="34"/>
    </row>
    <row r="65" spans="1:13" s="8" customFormat="1" ht="15.75" hidden="1" customHeight="1" x14ac:dyDescent="0.25">
      <c r="A65" s="55" t="s">
        <v>49</v>
      </c>
      <c r="B65" s="55"/>
      <c r="C65" s="55"/>
      <c r="D65" s="55"/>
      <c r="E65" s="55"/>
      <c r="F65" s="7">
        <f>'Услуга №1'!F49</f>
        <v>8837</v>
      </c>
      <c r="G65" s="7">
        <v>0.05</v>
      </c>
      <c r="H65" s="7">
        <f t="shared" si="0"/>
        <v>5302.2000000000007</v>
      </c>
      <c r="I65" s="7">
        <f t="shared" si="1"/>
        <v>6903.4644000000008</v>
      </c>
      <c r="J65" s="7">
        <f t="shared" si="3"/>
        <v>310</v>
      </c>
      <c r="K65" s="7">
        <f t="shared" si="2"/>
        <v>22.269240000000003</v>
      </c>
      <c r="L65" s="34"/>
    </row>
    <row r="66" spans="1:13" s="8" customFormat="1" ht="15" hidden="1" customHeight="1" x14ac:dyDescent="0.25">
      <c r="A66" s="55" t="s">
        <v>89</v>
      </c>
      <c r="B66" s="55"/>
      <c r="C66" s="55"/>
      <c r="D66" s="55"/>
      <c r="E66" s="55"/>
      <c r="F66" s="38">
        <f>'Услуга №1'!F96</f>
        <v>11538</v>
      </c>
      <c r="G66" s="7">
        <v>0.35</v>
      </c>
      <c r="H66" s="7">
        <f t="shared" si="0"/>
        <v>48459.6</v>
      </c>
      <c r="I66" s="7">
        <f t="shared" si="1"/>
        <v>63094.3992</v>
      </c>
      <c r="J66" s="7">
        <f t="shared" si="3"/>
        <v>310</v>
      </c>
      <c r="K66" s="7">
        <f t="shared" si="2"/>
        <v>203.53031999999999</v>
      </c>
      <c r="L66" s="34"/>
    </row>
    <row r="67" spans="1:13" s="8" customFormat="1" ht="15" hidden="1" customHeight="1" x14ac:dyDescent="0.25">
      <c r="A67" s="55" t="s">
        <v>50</v>
      </c>
      <c r="B67" s="55"/>
      <c r="C67" s="55"/>
      <c r="D67" s="55"/>
      <c r="E67" s="55"/>
      <c r="F67" s="38">
        <f>'Услуга №1'!F97</f>
        <v>8837</v>
      </c>
      <c r="G67" s="7">
        <v>0.4</v>
      </c>
      <c r="H67" s="7">
        <f t="shared" si="0"/>
        <v>42417.600000000006</v>
      </c>
      <c r="I67" s="7">
        <f t="shared" si="1"/>
        <v>55227.715200000006</v>
      </c>
      <c r="J67" s="7">
        <f t="shared" si="3"/>
        <v>310</v>
      </c>
      <c r="K67" s="7">
        <f t="shared" si="2"/>
        <v>178.15392000000003</v>
      </c>
      <c r="L67" s="34"/>
    </row>
    <row r="68" spans="1:13" s="8" customFormat="1" ht="15" hidden="1" customHeight="1" x14ac:dyDescent="0.25">
      <c r="A68" s="55" t="s">
        <v>91</v>
      </c>
      <c r="B68" s="55"/>
      <c r="C68" s="55"/>
      <c r="D68" s="55"/>
      <c r="E68" s="55"/>
      <c r="F68" s="38">
        <f>'Услуга №1'!F98</f>
        <v>11538</v>
      </c>
      <c r="G68" s="7">
        <v>0.05</v>
      </c>
      <c r="H68" s="7">
        <f t="shared" si="0"/>
        <v>6922.7999999999993</v>
      </c>
      <c r="I68" s="7">
        <f t="shared" si="1"/>
        <v>9013.4856</v>
      </c>
      <c r="J68" s="7">
        <f t="shared" si="3"/>
        <v>310</v>
      </c>
      <c r="K68" s="7">
        <f t="shared" si="2"/>
        <v>29.075759999999999</v>
      </c>
      <c r="L68" s="34"/>
    </row>
    <row r="69" spans="1:13" s="8" customFormat="1" ht="15" hidden="1" customHeight="1" x14ac:dyDescent="0.25">
      <c r="A69" s="55" t="s">
        <v>92</v>
      </c>
      <c r="B69" s="55"/>
      <c r="C69" s="55"/>
      <c r="D69" s="55"/>
      <c r="E69" s="55"/>
      <c r="F69" s="38">
        <f>'Услуга №1'!F99</f>
        <v>11538</v>
      </c>
      <c r="G69" s="7">
        <v>0.05</v>
      </c>
      <c r="H69" s="7">
        <f t="shared" si="0"/>
        <v>6922.7999999999993</v>
      </c>
      <c r="I69" s="7">
        <f t="shared" si="1"/>
        <v>9013.4856</v>
      </c>
      <c r="J69" s="7">
        <f t="shared" si="3"/>
        <v>310</v>
      </c>
      <c r="K69" s="7">
        <f t="shared" si="2"/>
        <v>29.075759999999999</v>
      </c>
      <c r="L69" s="34"/>
    </row>
    <row r="70" spans="1:13" s="8" customFormat="1" ht="15" hidden="1" customHeight="1" x14ac:dyDescent="0.25">
      <c r="A70" s="55" t="s">
        <v>93</v>
      </c>
      <c r="B70" s="55"/>
      <c r="C70" s="55"/>
      <c r="D70" s="55"/>
      <c r="E70" s="55"/>
      <c r="F70" s="38">
        <f>'Услуга №1'!F100</f>
        <v>11538</v>
      </c>
      <c r="G70" s="7">
        <v>0.05</v>
      </c>
      <c r="H70" s="7">
        <f t="shared" si="0"/>
        <v>6922.7999999999993</v>
      </c>
      <c r="I70" s="7">
        <f t="shared" si="1"/>
        <v>9013.4856</v>
      </c>
      <c r="J70" s="7">
        <f t="shared" si="3"/>
        <v>310</v>
      </c>
      <c r="K70" s="7">
        <f t="shared" si="2"/>
        <v>29.075759999999999</v>
      </c>
      <c r="L70" s="34"/>
    </row>
    <row r="71" spans="1:13" s="8" customFormat="1" ht="18" hidden="1" customHeight="1" x14ac:dyDescent="0.25">
      <c r="A71" s="55" t="s">
        <v>52</v>
      </c>
      <c r="B71" s="55"/>
      <c r="C71" s="55"/>
      <c r="D71" s="55"/>
      <c r="E71" s="55"/>
      <c r="F71" s="38">
        <f>'Услуга №1'!F101</f>
        <v>8837</v>
      </c>
      <c r="G71" s="7">
        <v>0.48</v>
      </c>
      <c r="H71" s="7">
        <f t="shared" si="0"/>
        <v>50901.120000000003</v>
      </c>
      <c r="I71" s="7">
        <f t="shared" si="1"/>
        <v>66273.25824000001</v>
      </c>
      <c r="J71" s="7">
        <f t="shared" si="3"/>
        <v>310</v>
      </c>
      <c r="K71" s="7">
        <f t="shared" si="2"/>
        <v>213.78470400000003</v>
      </c>
      <c r="L71" s="34"/>
    </row>
    <row r="72" spans="1:13" s="8" customFormat="1" ht="15" hidden="1" customHeight="1" x14ac:dyDescent="0.25">
      <c r="A72" s="55" t="s">
        <v>94</v>
      </c>
      <c r="B72" s="55"/>
      <c r="C72" s="55"/>
      <c r="D72" s="55"/>
      <c r="E72" s="55"/>
      <c r="F72" s="38">
        <f>'Услуга №1'!F102</f>
        <v>11538</v>
      </c>
      <c r="G72" s="7">
        <v>0.05</v>
      </c>
      <c r="H72" s="7">
        <f t="shared" si="0"/>
        <v>6922.7999999999993</v>
      </c>
      <c r="I72" s="7">
        <f t="shared" si="1"/>
        <v>9013.4856</v>
      </c>
      <c r="J72" s="7">
        <f t="shared" si="3"/>
        <v>310</v>
      </c>
      <c r="K72" s="7">
        <f t="shared" si="2"/>
        <v>29.075759999999999</v>
      </c>
      <c r="L72" s="34"/>
    </row>
    <row r="73" spans="1:13" ht="18.75" customHeight="1" x14ac:dyDescent="0.25">
      <c r="A73" s="39" t="s">
        <v>72</v>
      </c>
      <c r="B73" s="40"/>
      <c r="C73" s="40"/>
      <c r="D73" s="40"/>
      <c r="E73" s="40"/>
      <c r="F73" s="2">
        <v>18805.43</v>
      </c>
      <c r="G73" s="2">
        <f>SUM(G47:G72)</f>
        <v>2.6100000000000003</v>
      </c>
      <c r="H73" s="2">
        <f>(F73*G73)*12</f>
        <v>588986.06760000007</v>
      </c>
      <c r="I73" s="2">
        <f>(H73*1.302)</f>
        <v>766859.8600152001</v>
      </c>
      <c r="J73" s="2">
        <v>310</v>
      </c>
      <c r="K73" s="2">
        <f>I73/F45</f>
        <v>2473.7414839200005</v>
      </c>
      <c r="L73" s="34"/>
      <c r="M73" s="8"/>
    </row>
    <row r="74" spans="1:13" s="8" customFormat="1" ht="13.5" customHeight="1" x14ac:dyDescent="0.25"/>
    <row r="75" spans="1:13" s="8" customFormat="1" ht="14.25" customHeight="1" x14ac:dyDescent="0.25">
      <c r="A75" s="61" t="s">
        <v>8</v>
      </c>
      <c r="B75" s="61"/>
      <c r="C75" s="61"/>
      <c r="D75" s="61"/>
      <c r="E75" s="61"/>
      <c r="F75" s="61"/>
      <c r="G75" s="61"/>
      <c r="H75" s="61"/>
      <c r="I75" s="61"/>
      <c r="J75" s="61"/>
      <c r="K75" s="61"/>
      <c r="L75" s="61"/>
    </row>
    <row r="76" spans="1:13" s="8" customFormat="1" ht="60" x14ac:dyDescent="0.25">
      <c r="A76" s="79" t="s">
        <v>9</v>
      </c>
      <c r="B76" s="79"/>
      <c r="C76" s="79"/>
      <c r="D76" s="79"/>
      <c r="E76" s="79"/>
      <c r="F76" s="23" t="s">
        <v>7</v>
      </c>
      <c r="G76" s="23" t="s">
        <v>65</v>
      </c>
      <c r="H76" s="23" t="s">
        <v>64</v>
      </c>
      <c r="I76" s="23" t="s">
        <v>73</v>
      </c>
      <c r="J76" s="23" t="s">
        <v>68</v>
      </c>
      <c r="K76" s="27" t="s">
        <v>69</v>
      </c>
      <c r="L76" s="28"/>
    </row>
    <row r="77" spans="1:13" s="8" customFormat="1" x14ac:dyDescent="0.25">
      <c r="A77" s="65" t="s">
        <v>39</v>
      </c>
      <c r="B77" s="68"/>
      <c r="C77" s="68"/>
      <c r="D77" s="68"/>
      <c r="E77" s="69"/>
      <c r="F77" s="25" t="s">
        <v>40</v>
      </c>
      <c r="G77" s="25"/>
      <c r="H77" s="25">
        <f>'Услуга №1'!H54</f>
        <v>4.9000000000000004</v>
      </c>
      <c r="I77" s="25">
        <f>342214.7*5%</f>
        <v>17110.735000000001</v>
      </c>
      <c r="J77" s="7">
        <f>J72</f>
        <v>310</v>
      </c>
      <c r="K77" s="29">
        <f>I77/J77</f>
        <v>55.195919354838715</v>
      </c>
      <c r="L77" s="28"/>
    </row>
    <row r="78" spans="1:13" s="8" customFormat="1" x14ac:dyDescent="0.25">
      <c r="A78" s="70" t="s">
        <v>10</v>
      </c>
      <c r="B78" s="70"/>
      <c r="C78" s="70"/>
      <c r="D78" s="70"/>
      <c r="E78" s="70"/>
      <c r="F78" s="7" t="s">
        <v>13</v>
      </c>
      <c r="G78" s="7"/>
      <c r="H78" s="25">
        <f>'Услуга №1'!H55</f>
        <v>1690.46</v>
      </c>
      <c r="I78" s="25">
        <f>786064.9*5%</f>
        <v>39303.245000000003</v>
      </c>
      <c r="J78" s="7">
        <f>J77</f>
        <v>310</v>
      </c>
      <c r="K78" s="29">
        <f t="shared" ref="K78:K81" si="4">I78/J78</f>
        <v>126.78466129032259</v>
      </c>
      <c r="L78" s="30"/>
    </row>
    <row r="79" spans="1:13" s="8" customFormat="1" x14ac:dyDescent="0.25">
      <c r="A79" s="70" t="s">
        <v>11</v>
      </c>
      <c r="B79" s="70"/>
      <c r="C79" s="70"/>
      <c r="D79" s="70"/>
      <c r="E79" s="70"/>
      <c r="F79" s="7" t="s">
        <v>14</v>
      </c>
      <c r="G79" s="7"/>
      <c r="H79" s="25">
        <f>'Услуга №1'!H56</f>
        <v>40.96</v>
      </c>
      <c r="I79" s="25">
        <f>16794.04*5%</f>
        <v>839.70200000000011</v>
      </c>
      <c r="J79" s="7">
        <f t="shared" ref="J79:J82" si="5">J78</f>
        <v>310</v>
      </c>
      <c r="K79" s="29">
        <f t="shared" si="4"/>
        <v>2.7087161290322586</v>
      </c>
      <c r="L79" s="30"/>
    </row>
    <row r="80" spans="1:13" s="8" customFormat="1" x14ac:dyDescent="0.25">
      <c r="A80" s="70" t="s">
        <v>12</v>
      </c>
      <c r="B80" s="70"/>
      <c r="C80" s="70"/>
      <c r="D80" s="70"/>
      <c r="E80" s="70"/>
      <c r="F80" s="7" t="s">
        <v>14</v>
      </c>
      <c r="G80" s="7"/>
      <c r="H80" s="25">
        <f>'Услуга №1'!H57</f>
        <v>59.65</v>
      </c>
      <c r="I80" s="25">
        <f>24456.94*5%</f>
        <v>1222.847</v>
      </c>
      <c r="J80" s="7">
        <f t="shared" si="5"/>
        <v>310</v>
      </c>
      <c r="K80" s="29">
        <f t="shared" si="4"/>
        <v>3.9446677419354836</v>
      </c>
      <c r="L80" s="30"/>
    </row>
    <row r="81" spans="1:13" s="8" customFormat="1" x14ac:dyDescent="0.25">
      <c r="A81" s="65" t="s">
        <v>16</v>
      </c>
      <c r="B81" s="66"/>
      <c r="C81" s="66"/>
      <c r="D81" s="66"/>
      <c r="E81" s="66"/>
      <c r="F81" s="7" t="s">
        <v>14</v>
      </c>
      <c r="G81" s="7"/>
      <c r="H81" s="31">
        <v>3360.02</v>
      </c>
      <c r="I81" s="25">
        <f>40320.24*5%</f>
        <v>2016.0119999999999</v>
      </c>
      <c r="J81" s="7">
        <f t="shared" si="5"/>
        <v>310</v>
      </c>
      <c r="K81" s="29">
        <f t="shared" si="4"/>
        <v>6.5032645161290317</v>
      </c>
      <c r="L81" s="30"/>
    </row>
    <row r="82" spans="1:13" s="8" customFormat="1" x14ac:dyDescent="0.25">
      <c r="A82" s="56" t="s">
        <v>53</v>
      </c>
      <c r="B82" s="57"/>
      <c r="C82" s="57"/>
      <c r="D82" s="57"/>
      <c r="E82" s="57"/>
      <c r="F82" s="57"/>
      <c r="G82" s="57"/>
      <c r="H82" s="57"/>
      <c r="I82" s="2">
        <f>SUM(I77:I81)</f>
        <v>60492.541000000005</v>
      </c>
      <c r="J82" s="51">
        <f t="shared" si="5"/>
        <v>310</v>
      </c>
      <c r="K82" s="2">
        <f>I82/J82</f>
        <v>195.13722903225809</v>
      </c>
      <c r="L82" s="30"/>
    </row>
    <row r="83" spans="1:13" s="8" customFormat="1" ht="12" customHeight="1" x14ac:dyDescent="0.25"/>
    <row r="84" spans="1:13" s="8" customFormat="1" x14ac:dyDescent="0.25">
      <c r="A84" s="61" t="s">
        <v>15</v>
      </c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</row>
    <row r="85" spans="1:13" s="8" customFormat="1" ht="60" x14ac:dyDescent="0.25">
      <c r="A85" s="62" t="s">
        <v>19</v>
      </c>
      <c r="B85" s="63"/>
      <c r="C85" s="63"/>
      <c r="D85" s="63"/>
      <c r="E85" s="64"/>
      <c r="F85" s="23" t="s">
        <v>7</v>
      </c>
      <c r="G85" s="23" t="s">
        <v>65</v>
      </c>
      <c r="H85" s="23" t="s">
        <v>64</v>
      </c>
      <c r="I85" s="23" t="s">
        <v>73</v>
      </c>
      <c r="J85" s="23" t="s">
        <v>68</v>
      </c>
      <c r="K85" s="27" t="s">
        <v>69</v>
      </c>
      <c r="L85" s="28"/>
    </row>
    <row r="86" spans="1:13" s="8" customFormat="1" x14ac:dyDescent="0.25">
      <c r="A86" s="70" t="s">
        <v>56</v>
      </c>
      <c r="B86" s="70"/>
      <c r="C86" s="70"/>
      <c r="D86" s="70"/>
      <c r="E86" s="70"/>
      <c r="F86" s="7" t="s">
        <v>17</v>
      </c>
      <c r="G86" s="7">
        <v>6200</v>
      </c>
      <c r="H86" s="7"/>
      <c r="I86" s="7">
        <f>74400*5%</f>
        <v>3720</v>
      </c>
      <c r="J86" s="7">
        <v>310</v>
      </c>
      <c r="K86" s="32">
        <f t="shared" ref="K86:K90" si="6">I86/J86</f>
        <v>12</v>
      </c>
      <c r="L86" s="30"/>
    </row>
    <row r="87" spans="1:13" s="8" customFormat="1" ht="15" customHeight="1" x14ac:dyDescent="0.25">
      <c r="A87" s="55" t="s">
        <v>55</v>
      </c>
      <c r="B87" s="55"/>
      <c r="C87" s="55"/>
      <c r="D87" s="55"/>
      <c r="E87" s="55"/>
      <c r="F87" s="7" t="s">
        <v>17</v>
      </c>
      <c r="G87" s="7">
        <v>773.4</v>
      </c>
      <c r="H87" s="7"/>
      <c r="I87" s="7">
        <f>9280.8*5%</f>
        <v>464.03999999999996</v>
      </c>
      <c r="J87" s="7">
        <f>J86</f>
        <v>310</v>
      </c>
      <c r="K87" s="32">
        <f t="shared" si="6"/>
        <v>1.4969032258064514</v>
      </c>
      <c r="L87" s="30"/>
    </row>
    <row r="88" spans="1:13" s="8" customFormat="1" ht="16.5" customHeight="1" x14ac:dyDescent="0.25">
      <c r="A88" s="70" t="s">
        <v>113</v>
      </c>
      <c r="B88" s="70"/>
      <c r="C88" s="70"/>
      <c r="D88" s="70"/>
      <c r="E88" s="70"/>
      <c r="F88" s="7" t="s">
        <v>17</v>
      </c>
      <c r="G88" s="7">
        <v>2000</v>
      </c>
      <c r="H88" s="7"/>
      <c r="I88" s="7">
        <f>24000*5%</f>
        <v>1200</v>
      </c>
      <c r="J88" s="7">
        <f>J87</f>
        <v>310</v>
      </c>
      <c r="K88" s="32">
        <f t="shared" si="6"/>
        <v>3.870967741935484</v>
      </c>
      <c r="L88" s="30"/>
    </row>
    <row r="89" spans="1:13" s="8" customFormat="1" ht="16.5" customHeight="1" x14ac:dyDescent="0.25">
      <c r="A89" s="55" t="s">
        <v>100</v>
      </c>
      <c r="B89" s="55"/>
      <c r="C89" s="55"/>
      <c r="D89" s="55"/>
      <c r="E89" s="55"/>
      <c r="F89" s="7" t="s">
        <v>17</v>
      </c>
      <c r="G89" s="7">
        <v>2100</v>
      </c>
      <c r="H89" s="7"/>
      <c r="I89" s="7">
        <f>25200*5%</f>
        <v>1260</v>
      </c>
      <c r="J89" s="7">
        <f>J87</f>
        <v>310</v>
      </c>
      <c r="K89" s="32">
        <f t="shared" si="6"/>
        <v>4.064516129032258</v>
      </c>
      <c r="L89" s="30"/>
    </row>
    <row r="90" spans="1:13" s="8" customFormat="1" ht="15" customHeight="1" x14ac:dyDescent="0.25">
      <c r="A90" s="55" t="s">
        <v>114</v>
      </c>
      <c r="B90" s="55"/>
      <c r="C90" s="55"/>
      <c r="D90" s="55"/>
      <c r="E90" s="55"/>
      <c r="F90" s="7" t="s">
        <v>17</v>
      </c>
      <c r="G90" s="7"/>
      <c r="H90" s="7"/>
      <c r="I90" s="7">
        <f>395418*5%</f>
        <v>19770.900000000001</v>
      </c>
      <c r="J90" s="7">
        <f>J87</f>
        <v>310</v>
      </c>
      <c r="K90" s="32">
        <f t="shared" si="6"/>
        <v>63.777096774193552</v>
      </c>
      <c r="L90" s="30"/>
    </row>
    <row r="91" spans="1:13" ht="18.75" customHeight="1" x14ac:dyDescent="0.25">
      <c r="A91" s="56" t="s">
        <v>18</v>
      </c>
      <c r="B91" s="57"/>
      <c r="C91" s="57"/>
      <c r="D91" s="57"/>
      <c r="E91" s="57"/>
      <c r="F91" s="57"/>
      <c r="G91" s="57"/>
      <c r="H91" s="60"/>
      <c r="I91" s="2">
        <f>SUM(I86:I90)</f>
        <v>26414.940000000002</v>
      </c>
      <c r="J91" s="51">
        <f>J88</f>
        <v>310</v>
      </c>
      <c r="K91" s="4">
        <f>I91/J91</f>
        <v>85.209483870967745</v>
      </c>
      <c r="L91" s="30"/>
      <c r="M91" s="8"/>
    </row>
    <row r="92" spans="1:13" s="8" customFormat="1" ht="12.75" customHeight="1" x14ac:dyDescent="0.25"/>
    <row r="93" spans="1:13" s="8" customFormat="1" x14ac:dyDescent="0.25">
      <c r="A93" s="61" t="s">
        <v>74</v>
      </c>
      <c r="B93" s="61"/>
      <c r="C93" s="61"/>
      <c r="D93" s="61"/>
      <c r="E93" s="61"/>
      <c r="F93" s="61"/>
      <c r="G93" s="61"/>
      <c r="H93" s="61"/>
      <c r="I93" s="61"/>
      <c r="J93" s="61"/>
      <c r="K93" s="61"/>
      <c r="L93" s="61"/>
    </row>
    <row r="94" spans="1:13" s="8" customFormat="1" ht="60" customHeight="1" x14ac:dyDescent="0.25">
      <c r="A94" s="62" t="s">
        <v>19</v>
      </c>
      <c r="B94" s="63"/>
      <c r="C94" s="63"/>
      <c r="D94" s="63"/>
      <c r="E94" s="64"/>
      <c r="F94" s="23" t="s">
        <v>7</v>
      </c>
      <c r="G94" s="23" t="s">
        <v>65</v>
      </c>
      <c r="H94" s="23" t="s">
        <v>64</v>
      </c>
      <c r="I94" s="23" t="s">
        <v>73</v>
      </c>
      <c r="J94" s="23" t="s">
        <v>68</v>
      </c>
      <c r="K94" s="24" t="s">
        <v>69</v>
      </c>
      <c r="L94" s="33"/>
    </row>
    <row r="95" spans="1:13" s="8" customFormat="1" ht="34.5" customHeight="1" x14ac:dyDescent="0.25">
      <c r="A95" s="71" t="s">
        <v>115</v>
      </c>
      <c r="B95" s="72"/>
      <c r="C95" s="72"/>
      <c r="D95" s="72"/>
      <c r="E95" s="73"/>
      <c r="F95" s="7" t="s">
        <v>17</v>
      </c>
      <c r="G95" s="7">
        <v>11</v>
      </c>
      <c r="H95" s="7">
        <v>4116.8999999999996</v>
      </c>
      <c r="I95" s="7">
        <f>45285.9*5%</f>
        <v>2264.2950000000001</v>
      </c>
      <c r="J95" s="7">
        <f>J90</f>
        <v>310</v>
      </c>
      <c r="K95" s="7">
        <f t="shared" ref="K95:K96" si="7">I95/J95</f>
        <v>7.304177419354839</v>
      </c>
      <c r="L95" s="34"/>
    </row>
    <row r="96" spans="1:13" s="8" customFormat="1" ht="18.75" customHeight="1" x14ac:dyDescent="0.25">
      <c r="A96" s="65" t="s">
        <v>116</v>
      </c>
      <c r="B96" s="66"/>
      <c r="C96" s="66"/>
      <c r="D96" s="66"/>
      <c r="E96" s="67"/>
      <c r="F96" s="7" t="s">
        <v>17</v>
      </c>
      <c r="G96" s="7"/>
      <c r="H96" s="7"/>
      <c r="I96" s="7">
        <f>12000*5%</f>
        <v>600</v>
      </c>
      <c r="J96" s="7">
        <v>310</v>
      </c>
      <c r="K96" s="7">
        <f t="shared" si="7"/>
        <v>1.935483870967742</v>
      </c>
      <c r="L96" s="34"/>
    </row>
    <row r="97" spans="1:13" s="8" customFormat="1" ht="18.75" customHeight="1" x14ac:dyDescent="0.25">
      <c r="A97" s="65" t="s">
        <v>117</v>
      </c>
      <c r="B97" s="68"/>
      <c r="C97" s="68"/>
      <c r="D97" s="68"/>
      <c r="E97" s="69"/>
      <c r="F97" s="7" t="s">
        <v>17</v>
      </c>
      <c r="G97" s="7"/>
      <c r="H97" s="7"/>
      <c r="I97" s="7">
        <f>10500*5%</f>
        <v>525</v>
      </c>
      <c r="J97" s="7">
        <f>J89</f>
        <v>310</v>
      </c>
      <c r="K97" s="7">
        <f>I97/J97</f>
        <v>1.6935483870967742</v>
      </c>
      <c r="L97" s="34"/>
    </row>
    <row r="98" spans="1:13" s="8" customFormat="1" x14ac:dyDescent="0.25">
      <c r="A98" s="56" t="s">
        <v>75</v>
      </c>
      <c r="B98" s="57"/>
      <c r="C98" s="57"/>
      <c r="D98" s="57"/>
      <c r="E98" s="57"/>
      <c r="F98" s="57"/>
      <c r="G98" s="57"/>
      <c r="H98" s="57"/>
      <c r="I98" s="5">
        <f>SUM(I95:I97)</f>
        <v>3389.2950000000001</v>
      </c>
      <c r="J98" s="5">
        <v>310</v>
      </c>
      <c r="K98" s="5">
        <f>SUM(K95:K97)</f>
        <v>10.933209677419354</v>
      </c>
      <c r="L98" s="34"/>
    </row>
    <row r="99" spans="1:13" s="8" customFormat="1" x14ac:dyDescent="0.25">
      <c r="A99" s="35"/>
      <c r="B99" s="35"/>
      <c r="C99" s="35"/>
      <c r="D99" s="35"/>
      <c r="E99" s="35"/>
      <c r="F99" s="35"/>
      <c r="G99" s="35"/>
      <c r="H99" s="35"/>
      <c r="I99" s="6"/>
      <c r="J99" s="6"/>
      <c r="K99" s="6"/>
      <c r="L99" s="34"/>
    </row>
    <row r="100" spans="1:13" s="8" customFormat="1" x14ac:dyDescent="0.25">
      <c r="A100" s="61" t="s">
        <v>76</v>
      </c>
      <c r="B100" s="61"/>
      <c r="C100" s="61"/>
      <c r="D100" s="61"/>
      <c r="E100" s="61"/>
      <c r="F100" s="61"/>
      <c r="G100" s="61"/>
      <c r="H100" s="61"/>
      <c r="I100" s="61"/>
      <c r="J100" s="61"/>
      <c r="K100" s="61"/>
      <c r="L100" s="61"/>
    </row>
    <row r="101" spans="1:13" s="8" customFormat="1" ht="55.5" customHeight="1" x14ac:dyDescent="0.25">
      <c r="A101" s="62" t="s">
        <v>20</v>
      </c>
      <c r="B101" s="63"/>
      <c r="C101" s="63"/>
      <c r="D101" s="63"/>
      <c r="E101" s="64"/>
      <c r="F101" s="23" t="s">
        <v>7</v>
      </c>
      <c r="G101" s="23" t="s">
        <v>65</v>
      </c>
      <c r="H101" s="23" t="s">
        <v>64</v>
      </c>
      <c r="I101" s="23" t="s">
        <v>73</v>
      </c>
      <c r="J101" s="36" t="s">
        <v>68</v>
      </c>
      <c r="K101" s="24" t="s">
        <v>69</v>
      </c>
      <c r="L101" s="33"/>
      <c r="M101" s="33"/>
    </row>
    <row r="102" spans="1:13" s="8" customFormat="1" ht="23.25" customHeight="1" x14ac:dyDescent="0.25">
      <c r="A102" s="65" t="s">
        <v>118</v>
      </c>
      <c r="B102" s="68"/>
      <c r="C102" s="68"/>
      <c r="D102" s="68"/>
      <c r="E102" s="69"/>
      <c r="F102" s="37" t="s">
        <v>121</v>
      </c>
      <c r="G102" s="7">
        <v>4</v>
      </c>
      <c r="H102" s="7">
        <v>563.75</v>
      </c>
      <c r="I102" s="7">
        <f>27059.76*5%</f>
        <v>1352.9880000000001</v>
      </c>
      <c r="J102" s="32">
        <v>310</v>
      </c>
      <c r="K102" s="7">
        <f>I102/J102</f>
        <v>4.3644774193548388</v>
      </c>
      <c r="L102" s="34"/>
      <c r="M102" s="34"/>
    </row>
    <row r="103" spans="1:13" s="8" customFormat="1" ht="26.25" customHeight="1" x14ac:dyDescent="0.25">
      <c r="A103" s="65" t="s">
        <v>119</v>
      </c>
      <c r="B103" s="66"/>
      <c r="C103" s="66"/>
      <c r="D103" s="66"/>
      <c r="E103" s="67"/>
      <c r="F103" s="37" t="s">
        <v>121</v>
      </c>
      <c r="G103" s="7">
        <v>1</v>
      </c>
      <c r="H103" s="7">
        <v>80.540000000000006</v>
      </c>
      <c r="I103" s="7">
        <f>966.42*5%</f>
        <v>48.320999999999998</v>
      </c>
      <c r="J103" s="32">
        <v>310</v>
      </c>
      <c r="K103" s="7">
        <f t="shared" ref="K103:K104" si="8">I103/J103</f>
        <v>0.15587419354838708</v>
      </c>
      <c r="L103" s="34"/>
      <c r="M103" s="34"/>
    </row>
    <row r="104" spans="1:13" s="8" customFormat="1" ht="28.5" customHeight="1" x14ac:dyDescent="0.25">
      <c r="A104" s="65" t="s">
        <v>120</v>
      </c>
      <c r="B104" s="66"/>
      <c r="C104" s="66"/>
      <c r="D104" s="66"/>
      <c r="E104" s="67"/>
      <c r="F104" s="37" t="s">
        <v>121</v>
      </c>
      <c r="G104" s="7">
        <v>1</v>
      </c>
      <c r="H104" s="7"/>
      <c r="I104" s="7">
        <f>6481.44*5%</f>
        <v>324.072</v>
      </c>
      <c r="J104" s="32">
        <v>310</v>
      </c>
      <c r="K104" s="7">
        <f t="shared" si="8"/>
        <v>1.0453935483870969</v>
      </c>
      <c r="L104" s="34"/>
      <c r="M104" s="34"/>
    </row>
    <row r="105" spans="1:13" s="8" customFormat="1" ht="30.75" customHeight="1" x14ac:dyDescent="0.25">
      <c r="A105" s="65" t="s">
        <v>77</v>
      </c>
      <c r="B105" s="68"/>
      <c r="C105" s="68"/>
      <c r="D105" s="68"/>
      <c r="E105" s="69"/>
      <c r="F105" s="37" t="s">
        <v>121</v>
      </c>
      <c r="G105" s="7">
        <v>1</v>
      </c>
      <c r="H105" s="7">
        <v>1901.87</v>
      </c>
      <c r="I105" s="7">
        <f>22822.38*5%</f>
        <v>1141.1190000000001</v>
      </c>
      <c r="J105" s="32">
        <f>J102</f>
        <v>310</v>
      </c>
      <c r="K105" s="7">
        <f>I105/J105</f>
        <v>3.6810290322580648</v>
      </c>
      <c r="L105" s="34"/>
      <c r="M105" s="34"/>
    </row>
    <row r="106" spans="1:13" s="8" customFormat="1" x14ac:dyDescent="0.25">
      <c r="A106" s="56" t="s">
        <v>21</v>
      </c>
      <c r="B106" s="57"/>
      <c r="C106" s="57"/>
      <c r="D106" s="57"/>
      <c r="E106" s="57"/>
      <c r="F106" s="57"/>
      <c r="G106" s="57"/>
      <c r="H106" s="60"/>
      <c r="I106" s="5">
        <f t="shared" ref="I106" si="9">SUM(I102:I105)</f>
        <v>2866.5</v>
      </c>
      <c r="J106" s="5">
        <v>310</v>
      </c>
      <c r="K106" s="5">
        <f>SUM(K102:K105)</f>
        <v>9.2467741935483883</v>
      </c>
      <c r="L106" s="6"/>
      <c r="M106" s="34"/>
    </row>
    <row r="107" spans="1:13" s="8" customFormat="1" x14ac:dyDescent="0.25">
      <c r="A107" s="35"/>
      <c r="B107" s="35"/>
      <c r="C107" s="35"/>
      <c r="D107" s="35"/>
      <c r="E107" s="35"/>
      <c r="F107" s="35"/>
      <c r="G107" s="35"/>
      <c r="H107" s="35"/>
      <c r="I107" s="6"/>
      <c r="J107" s="6"/>
      <c r="K107" s="6"/>
      <c r="L107" s="6"/>
      <c r="M107" s="34"/>
    </row>
    <row r="108" spans="1:13" s="8" customFormat="1" x14ac:dyDescent="0.25">
      <c r="A108" s="61" t="s">
        <v>37</v>
      </c>
      <c r="B108" s="61"/>
      <c r="C108" s="61"/>
      <c r="D108" s="61"/>
      <c r="E108" s="61"/>
      <c r="F108" s="61"/>
      <c r="G108" s="61"/>
      <c r="H108" s="61"/>
      <c r="I108" s="61"/>
      <c r="J108" s="61"/>
      <c r="K108" s="61"/>
      <c r="L108" s="61"/>
    </row>
    <row r="109" spans="1:13" s="8" customFormat="1" ht="75" x14ac:dyDescent="0.25">
      <c r="A109" s="62" t="s">
        <v>5</v>
      </c>
      <c r="B109" s="63"/>
      <c r="C109" s="63"/>
      <c r="D109" s="63"/>
      <c r="E109" s="64"/>
      <c r="F109" s="23" t="s">
        <v>6</v>
      </c>
      <c r="G109" s="23" t="s">
        <v>1</v>
      </c>
      <c r="H109" s="23" t="s">
        <v>66</v>
      </c>
      <c r="I109" s="23" t="s">
        <v>67</v>
      </c>
      <c r="J109" s="23" t="s">
        <v>68</v>
      </c>
      <c r="K109" s="24" t="s">
        <v>69</v>
      </c>
      <c r="L109" s="33"/>
    </row>
    <row r="110" spans="1:13" s="8" customFormat="1" ht="15" hidden="1" customHeight="1" x14ac:dyDescent="0.25">
      <c r="A110" s="55" t="s">
        <v>3</v>
      </c>
      <c r="B110" s="55"/>
      <c r="C110" s="55"/>
      <c r="D110" s="55"/>
      <c r="E110" s="55"/>
      <c r="F110" s="38">
        <f>'Услуга №2 '!F112</f>
        <v>16626</v>
      </c>
      <c r="G110" s="7">
        <v>0.05</v>
      </c>
      <c r="H110" s="3">
        <f>F110*G110*12</f>
        <v>9975.6</v>
      </c>
      <c r="I110" s="3">
        <f>H110*1.302</f>
        <v>12988.2312</v>
      </c>
      <c r="J110" s="7">
        <v>314</v>
      </c>
      <c r="K110" s="7">
        <f>I110/J110</f>
        <v>41.363793630573248</v>
      </c>
      <c r="L110" s="34"/>
    </row>
    <row r="111" spans="1:13" s="8" customFormat="1" ht="15" hidden="1" customHeight="1" x14ac:dyDescent="0.25">
      <c r="A111" s="55" t="s">
        <v>42</v>
      </c>
      <c r="B111" s="55"/>
      <c r="C111" s="55"/>
      <c r="D111" s="55"/>
      <c r="E111" s="55"/>
      <c r="F111" s="38">
        <f>'Услуга №2 '!F113</f>
        <v>11538</v>
      </c>
      <c r="G111" s="7">
        <v>0.05</v>
      </c>
      <c r="H111" s="3">
        <f t="shared" ref="H111:H112" si="10">F111*G111*12</f>
        <v>6922.7999999999993</v>
      </c>
      <c r="I111" s="3">
        <f t="shared" ref="I111:I112" si="11">H111*1.302</f>
        <v>9013.4856</v>
      </c>
      <c r="J111" s="7">
        <f>J110</f>
        <v>314</v>
      </c>
      <c r="K111" s="7">
        <f t="shared" ref="K111:K112" si="12">I111/J111</f>
        <v>28.705368152866242</v>
      </c>
      <c r="L111" s="34"/>
    </row>
    <row r="112" spans="1:13" s="8" customFormat="1" ht="15" hidden="1" customHeight="1" x14ac:dyDescent="0.25">
      <c r="A112" s="55" t="s">
        <v>48</v>
      </c>
      <c r="B112" s="55"/>
      <c r="C112" s="55"/>
      <c r="D112" s="55"/>
      <c r="E112" s="55"/>
      <c r="F112" s="38">
        <f>'Услуга №2 '!F114</f>
        <v>5669</v>
      </c>
      <c r="G112" s="7">
        <v>0.03</v>
      </c>
      <c r="H112" s="3">
        <f t="shared" si="10"/>
        <v>2040.84</v>
      </c>
      <c r="I112" s="3">
        <f t="shared" si="11"/>
        <v>2657.1736799999999</v>
      </c>
      <c r="J112" s="7">
        <f>J111</f>
        <v>314</v>
      </c>
      <c r="K112" s="7">
        <f t="shared" si="12"/>
        <v>8.462336560509554</v>
      </c>
      <c r="L112" s="34"/>
    </row>
    <row r="113" spans="1:13" ht="20.25" customHeight="1" x14ac:dyDescent="0.25">
      <c r="A113" s="39" t="s">
        <v>22</v>
      </c>
      <c r="B113" s="40"/>
      <c r="C113" s="40"/>
      <c r="D113" s="40"/>
      <c r="E113" s="40"/>
      <c r="F113" s="2">
        <v>19076</v>
      </c>
      <c r="G113" s="2">
        <f>SUM(G110:G112)</f>
        <v>0.13</v>
      </c>
      <c r="H113" s="2">
        <f>F113*G113*12</f>
        <v>29758.560000000001</v>
      </c>
      <c r="I113" s="2">
        <f>H113*1.302</f>
        <v>38745.645120000001</v>
      </c>
      <c r="J113" s="51">
        <v>310</v>
      </c>
      <c r="K113" s="2">
        <f>I113/J113</f>
        <v>124.985952</v>
      </c>
      <c r="L113" s="34"/>
      <c r="M113" s="8"/>
    </row>
    <row r="114" spans="1:13" s="8" customFormat="1" ht="12" customHeight="1" x14ac:dyDescent="0.25">
      <c r="F114" s="42"/>
      <c r="G114" s="42"/>
      <c r="H114" s="42"/>
      <c r="I114" s="42"/>
      <c r="J114" s="42"/>
      <c r="K114" s="42"/>
      <c r="L114" s="42"/>
    </row>
    <row r="115" spans="1:13" x14ac:dyDescent="0.25">
      <c r="A115" s="58" t="s">
        <v>78</v>
      </c>
      <c r="B115" s="58"/>
      <c r="C115" s="58"/>
      <c r="D115" s="58"/>
      <c r="E115" s="58"/>
      <c r="F115" s="58"/>
      <c r="G115" s="58"/>
      <c r="H115" s="58"/>
      <c r="I115" s="58"/>
      <c r="J115" s="58"/>
      <c r="K115" s="58"/>
      <c r="L115" s="59"/>
      <c r="M115" s="8"/>
    </row>
    <row r="116" spans="1:13" ht="44.25" customHeight="1" x14ac:dyDescent="0.25">
      <c r="A116" s="79" t="s">
        <v>54</v>
      </c>
      <c r="B116" s="79"/>
      <c r="C116" s="79"/>
      <c r="D116" s="79"/>
      <c r="E116" s="79"/>
      <c r="F116" s="23" t="s">
        <v>7</v>
      </c>
      <c r="G116" s="23" t="s">
        <v>65</v>
      </c>
      <c r="H116" s="23" t="s">
        <v>64</v>
      </c>
      <c r="I116" s="23" t="s">
        <v>73</v>
      </c>
      <c r="J116" s="23" t="s">
        <v>68</v>
      </c>
      <c r="K116" s="27" t="s">
        <v>69</v>
      </c>
      <c r="L116" s="28"/>
      <c r="M116" s="8"/>
    </row>
    <row r="117" spans="1:13" ht="23.25" customHeight="1" x14ac:dyDescent="0.25">
      <c r="A117" s="65" t="s">
        <v>122</v>
      </c>
      <c r="B117" s="68"/>
      <c r="C117" s="68"/>
      <c r="D117" s="68"/>
      <c r="E117" s="69"/>
      <c r="F117" s="23"/>
      <c r="G117" s="43"/>
      <c r="H117" s="43"/>
      <c r="I117" s="43">
        <f>124060*5%</f>
        <v>6203</v>
      </c>
      <c r="J117" s="43">
        <v>310</v>
      </c>
      <c r="K117" s="32">
        <f>I117/J117</f>
        <v>20.009677419354837</v>
      </c>
      <c r="L117" s="28"/>
      <c r="M117" s="8"/>
    </row>
    <row r="118" spans="1:13" ht="30.75" customHeight="1" x14ac:dyDescent="0.25">
      <c r="A118" s="71" t="s">
        <v>123</v>
      </c>
      <c r="B118" s="72"/>
      <c r="C118" s="72"/>
      <c r="D118" s="72"/>
      <c r="E118" s="73"/>
      <c r="F118" s="23"/>
      <c r="G118" s="43"/>
      <c r="H118" s="43"/>
      <c r="I118" s="43">
        <f>200000*5%</f>
        <v>10000</v>
      </c>
      <c r="J118" s="43">
        <v>310</v>
      </c>
      <c r="K118" s="32">
        <f t="shared" ref="K118" si="13">I118/J118</f>
        <v>32.258064516129032</v>
      </c>
      <c r="L118" s="28"/>
      <c r="M118" s="8"/>
    </row>
    <row r="119" spans="1:13" x14ac:dyDescent="0.25">
      <c r="A119" s="56" t="s">
        <v>79</v>
      </c>
      <c r="B119" s="57"/>
      <c r="C119" s="57"/>
      <c r="D119" s="57"/>
      <c r="E119" s="57"/>
      <c r="F119" s="57"/>
      <c r="G119" s="57"/>
      <c r="H119" s="57"/>
      <c r="I119" s="5">
        <f>SUM(I117:I118)</f>
        <v>16203</v>
      </c>
      <c r="J119" s="5">
        <v>310</v>
      </c>
      <c r="K119" s="5">
        <f>SUM(K117:K118)</f>
        <v>52.267741935483869</v>
      </c>
      <c r="L119" s="30"/>
      <c r="M119" s="8"/>
    </row>
    <row r="120" spans="1:13" x14ac:dyDescent="0.25">
      <c r="A120" s="35"/>
      <c r="B120" s="35"/>
      <c r="C120" s="35"/>
      <c r="D120" s="35"/>
      <c r="E120" s="35"/>
      <c r="F120" s="35"/>
      <c r="G120" s="35"/>
      <c r="H120" s="35"/>
      <c r="I120" s="6"/>
      <c r="J120" s="6"/>
      <c r="K120" s="6"/>
      <c r="L120" s="34"/>
      <c r="M120" s="8"/>
    </row>
    <row r="121" spans="1:13" x14ac:dyDescent="0.25">
      <c r="A121" s="59" t="s">
        <v>124</v>
      </c>
      <c r="B121" s="59"/>
      <c r="C121" s="59"/>
      <c r="D121" s="59"/>
      <c r="E121" s="59"/>
      <c r="F121" s="59"/>
      <c r="G121" s="59"/>
      <c r="H121" s="59"/>
      <c r="I121" s="59"/>
      <c r="J121" s="59"/>
      <c r="K121" s="59"/>
      <c r="L121" s="59"/>
      <c r="M121" s="8"/>
    </row>
    <row r="122" spans="1:13" ht="44.25" customHeight="1" x14ac:dyDescent="0.25">
      <c r="A122" s="79" t="s">
        <v>54</v>
      </c>
      <c r="B122" s="79"/>
      <c r="C122" s="79"/>
      <c r="D122" s="79"/>
      <c r="E122" s="79"/>
      <c r="F122" s="23" t="s">
        <v>7</v>
      </c>
      <c r="G122" s="23" t="s">
        <v>65</v>
      </c>
      <c r="H122" s="23" t="s">
        <v>64</v>
      </c>
      <c r="I122" s="23" t="s">
        <v>73</v>
      </c>
      <c r="J122" s="23" t="s">
        <v>68</v>
      </c>
      <c r="K122" s="24" t="s">
        <v>69</v>
      </c>
      <c r="L122" s="28"/>
      <c r="M122" s="8"/>
    </row>
    <row r="123" spans="1:13" ht="23.25" customHeight="1" x14ac:dyDescent="0.25">
      <c r="A123" s="65" t="s">
        <v>125</v>
      </c>
      <c r="B123" s="68"/>
      <c r="C123" s="68"/>
      <c r="D123" s="68"/>
      <c r="E123" s="69"/>
      <c r="F123" s="23"/>
      <c r="G123" s="43"/>
      <c r="H123" s="43"/>
      <c r="I123" s="43">
        <f>138850*5%</f>
        <v>6942.5</v>
      </c>
      <c r="J123" s="43">
        <v>310</v>
      </c>
      <c r="K123" s="32">
        <f>I123/J123</f>
        <v>22.39516129032258</v>
      </c>
      <c r="L123" s="28"/>
      <c r="M123" s="8"/>
    </row>
    <row r="124" spans="1:13" x14ac:dyDescent="0.25">
      <c r="A124" s="56" t="s">
        <v>126</v>
      </c>
      <c r="B124" s="57"/>
      <c r="C124" s="57"/>
      <c r="D124" s="57"/>
      <c r="E124" s="57"/>
      <c r="F124" s="57"/>
      <c r="G124" s="57"/>
      <c r="H124" s="57"/>
      <c r="I124" s="5">
        <f>SUM(I123:I123)</f>
        <v>6942.5</v>
      </c>
      <c r="J124" s="5">
        <v>310</v>
      </c>
      <c r="K124" s="5">
        <f>SUM(K123:K123)</f>
        <v>22.39516129032258</v>
      </c>
      <c r="L124" s="30"/>
      <c r="M124" s="8"/>
    </row>
    <row r="125" spans="1:13" x14ac:dyDescent="0.25">
      <c r="A125" s="44"/>
      <c r="B125" s="44"/>
      <c r="C125" s="44"/>
      <c r="D125" s="44"/>
      <c r="E125" s="44"/>
      <c r="F125" s="44"/>
      <c r="G125" s="44"/>
      <c r="H125" s="44"/>
      <c r="I125" s="15"/>
      <c r="J125" s="15"/>
      <c r="K125" s="15"/>
      <c r="L125" s="34"/>
      <c r="M125" s="8"/>
    </row>
    <row r="126" spans="1:13" s="8" customFormat="1" ht="12.75" customHeight="1" x14ac:dyDescent="0.25">
      <c r="A126" s="58" t="s">
        <v>23</v>
      </c>
      <c r="B126" s="58"/>
      <c r="C126" s="58"/>
      <c r="D126" s="58"/>
      <c r="E126" s="58"/>
      <c r="F126" s="58"/>
      <c r="G126" s="58"/>
      <c r="H126" s="58"/>
      <c r="I126" s="58"/>
      <c r="J126" s="58"/>
      <c r="K126" s="58"/>
      <c r="L126" s="58"/>
    </row>
    <row r="127" spans="1:13" s="8" customFormat="1" ht="15" customHeight="1" x14ac:dyDescent="0.25">
      <c r="A127" s="80" t="s">
        <v>24</v>
      </c>
      <c r="B127" s="80"/>
      <c r="C127" s="80"/>
      <c r="D127" s="62" t="s">
        <v>25</v>
      </c>
      <c r="E127" s="63"/>
      <c r="F127" s="63"/>
      <c r="G127" s="63"/>
      <c r="H127" s="63"/>
      <c r="I127" s="63"/>
      <c r="J127" s="64"/>
      <c r="K127" s="80" t="s">
        <v>36</v>
      </c>
      <c r="L127" s="80"/>
    </row>
    <row r="128" spans="1:13" s="8" customFormat="1" ht="30" x14ac:dyDescent="0.25">
      <c r="A128" s="7" t="s">
        <v>26</v>
      </c>
      <c r="B128" s="25" t="s">
        <v>27</v>
      </c>
      <c r="C128" s="7" t="s">
        <v>28</v>
      </c>
      <c r="D128" s="7" t="s">
        <v>29</v>
      </c>
      <c r="E128" s="7" t="s">
        <v>30</v>
      </c>
      <c r="F128" s="7" t="s">
        <v>31</v>
      </c>
      <c r="G128" s="7" t="s">
        <v>32</v>
      </c>
      <c r="H128" s="7" t="s">
        <v>33</v>
      </c>
      <c r="I128" s="7" t="s">
        <v>34</v>
      </c>
      <c r="J128" s="7" t="s">
        <v>35</v>
      </c>
      <c r="K128" s="80"/>
      <c r="L128" s="80"/>
    </row>
    <row r="129" spans="1:12" s="8" customFormat="1" x14ac:dyDescent="0.25">
      <c r="A129" s="7">
        <f>K73</f>
        <v>2473.7414839200005</v>
      </c>
      <c r="B129" s="7"/>
      <c r="C129" s="7"/>
      <c r="D129" s="7">
        <f>K82</f>
        <v>195.13722903225809</v>
      </c>
      <c r="E129" s="7">
        <f>K91</f>
        <v>85.209483870967745</v>
      </c>
      <c r="F129" s="7"/>
      <c r="G129" s="7">
        <f>K106</f>
        <v>9.2467741935483883</v>
      </c>
      <c r="H129" s="7">
        <f>K98</f>
        <v>10.933209677419354</v>
      </c>
      <c r="I129" s="7">
        <f>K113</f>
        <v>124.985952</v>
      </c>
      <c r="J129" s="7">
        <f>K119+K124</f>
        <v>74.662903225806446</v>
      </c>
      <c r="K129" s="77">
        <f>SUM(A129:J129)</f>
        <v>2973.9170359200002</v>
      </c>
      <c r="L129" s="78"/>
    </row>
    <row r="130" spans="1:12" s="8" customFormat="1" x14ac:dyDescent="0.25"/>
    <row r="131" spans="1:12" s="8" customFormat="1" ht="15.75" x14ac:dyDescent="0.25">
      <c r="A131" s="16" t="s">
        <v>60</v>
      </c>
      <c r="B131" s="16"/>
      <c r="C131" s="16"/>
      <c r="D131" s="16"/>
      <c r="E131" s="16"/>
      <c r="F131" s="16" t="s">
        <v>61</v>
      </c>
    </row>
    <row r="132" spans="1:12" s="8" customFormat="1" x14ac:dyDescent="0.25">
      <c r="I132" s="11">
        <f>I73+I82+I91+I98+I106+I119+I124+I113+0.01</f>
        <v>921914.29113520018</v>
      </c>
      <c r="K132" s="11">
        <f>K129*J123+0.01</f>
        <v>921914.29113520007</v>
      </c>
    </row>
    <row r="133" spans="1:12" s="8" customFormat="1" x14ac:dyDescent="0.25"/>
    <row r="134" spans="1:12" s="8" customFormat="1" x14ac:dyDescent="0.25"/>
    <row r="135" spans="1:12" s="8" customFormat="1" x14ac:dyDescent="0.25"/>
    <row r="136" spans="1:12" s="8" customFormat="1" x14ac:dyDescent="0.25">
      <c r="A136" s="45" t="s">
        <v>127</v>
      </c>
      <c r="B136" s="45"/>
      <c r="C136" s="45"/>
    </row>
    <row r="137" spans="1:12" s="8" customFormat="1" x14ac:dyDescent="0.25">
      <c r="A137" s="45" t="s">
        <v>62</v>
      </c>
      <c r="B137" s="45"/>
      <c r="C137" s="45"/>
    </row>
  </sheetData>
  <mergeCells count="136">
    <mergeCell ref="G18:K18"/>
    <mergeCell ref="A81:E81"/>
    <mergeCell ref="A66:E66"/>
    <mergeCell ref="A67:E67"/>
    <mergeCell ref="A62:E62"/>
    <mergeCell ref="A63:E63"/>
    <mergeCell ref="A64:E64"/>
    <mergeCell ref="A50:E50"/>
    <mergeCell ref="A4:F4"/>
    <mergeCell ref="A5:D5"/>
    <mergeCell ref="A16:E16"/>
    <mergeCell ref="A19:E19"/>
    <mergeCell ref="A33:E33"/>
    <mergeCell ref="A39:E39"/>
    <mergeCell ref="A42:E42"/>
    <mergeCell ref="G19:K19"/>
    <mergeCell ref="A20:E20"/>
    <mergeCell ref="G20:K20"/>
    <mergeCell ref="A27:E27"/>
    <mergeCell ref="G27:K27"/>
    <mergeCell ref="A28:E28"/>
    <mergeCell ref="G28:K28"/>
    <mergeCell ref="A29:E29"/>
    <mergeCell ref="G29:K29"/>
    <mergeCell ref="A97:E97"/>
    <mergeCell ref="G16:K16"/>
    <mergeCell ref="A17:E17"/>
    <mergeCell ref="A8:L8"/>
    <mergeCell ref="A9:L9"/>
    <mergeCell ref="A10:L10"/>
    <mergeCell ref="A55:E55"/>
    <mergeCell ref="A56:E56"/>
    <mergeCell ref="A57:E57"/>
    <mergeCell ref="A58:E58"/>
    <mergeCell ref="A46:E46"/>
    <mergeCell ref="A47:E47"/>
    <mergeCell ref="A48:E48"/>
    <mergeCell ref="A49:E49"/>
    <mergeCell ref="A51:E51"/>
    <mergeCell ref="A52:E52"/>
    <mergeCell ref="A21:E21"/>
    <mergeCell ref="G21:K21"/>
    <mergeCell ref="A22:E22"/>
    <mergeCell ref="G22:K22"/>
    <mergeCell ref="A23:E23"/>
    <mergeCell ref="G23:K23"/>
    <mergeCell ref="G17:K17"/>
    <mergeCell ref="A18:E18"/>
    <mergeCell ref="A95:E95"/>
    <mergeCell ref="A96:E96"/>
    <mergeCell ref="A93:L93"/>
    <mergeCell ref="A94:E94"/>
    <mergeCell ref="A85:E85"/>
    <mergeCell ref="A86:E86"/>
    <mergeCell ref="A87:E87"/>
    <mergeCell ref="A88:E88"/>
    <mergeCell ref="A89:E89"/>
    <mergeCell ref="A126:L126"/>
    <mergeCell ref="A127:C127"/>
    <mergeCell ref="D127:J127"/>
    <mergeCell ref="K127:L128"/>
    <mergeCell ref="K129:L129"/>
    <mergeCell ref="A115:L115"/>
    <mergeCell ref="A118:E118"/>
    <mergeCell ref="A119:H119"/>
    <mergeCell ref="A121:L121"/>
    <mergeCell ref="A122:E122"/>
    <mergeCell ref="A123:E123"/>
    <mergeCell ref="A124:H124"/>
    <mergeCell ref="A24:E24"/>
    <mergeCell ref="G24:K24"/>
    <mergeCell ref="A25:E25"/>
    <mergeCell ref="G25:K25"/>
    <mergeCell ref="A26:E26"/>
    <mergeCell ref="G26:K26"/>
    <mergeCell ref="G33:K33"/>
    <mergeCell ref="A34:E34"/>
    <mergeCell ref="G34:K34"/>
    <mergeCell ref="A35:E35"/>
    <mergeCell ref="G35:K35"/>
    <mergeCell ref="A30:E30"/>
    <mergeCell ref="G30:K30"/>
    <mergeCell ref="A31:E31"/>
    <mergeCell ref="G31:K31"/>
    <mergeCell ref="A32:E32"/>
    <mergeCell ref="G32:K32"/>
    <mergeCell ref="G39:K39"/>
    <mergeCell ref="A40:E40"/>
    <mergeCell ref="G40:K40"/>
    <mergeCell ref="A41:E41"/>
    <mergeCell ref="G41:K41"/>
    <mergeCell ref="A36:E36"/>
    <mergeCell ref="G36:K36"/>
    <mergeCell ref="A37:E37"/>
    <mergeCell ref="G37:K37"/>
    <mergeCell ref="A38:E38"/>
    <mergeCell ref="G38:K38"/>
    <mergeCell ref="G42:K42"/>
    <mergeCell ref="A82:H82"/>
    <mergeCell ref="A91:H91"/>
    <mergeCell ref="A43:E43"/>
    <mergeCell ref="G43:K43"/>
    <mergeCell ref="A68:E68"/>
    <mergeCell ref="A69:E69"/>
    <mergeCell ref="A70:E70"/>
    <mergeCell ref="A71:E71"/>
    <mergeCell ref="A77:E77"/>
    <mergeCell ref="A78:E78"/>
    <mergeCell ref="A79:E79"/>
    <mergeCell ref="A80:E80"/>
    <mergeCell ref="A84:L84"/>
    <mergeCell ref="A59:E59"/>
    <mergeCell ref="A60:E60"/>
    <mergeCell ref="A61:E61"/>
    <mergeCell ref="A75:L75"/>
    <mergeCell ref="A76:E76"/>
    <mergeCell ref="A72:E72"/>
    <mergeCell ref="A53:E53"/>
    <mergeCell ref="A54:E54"/>
    <mergeCell ref="A65:E65"/>
    <mergeCell ref="A90:E90"/>
    <mergeCell ref="A98:H98"/>
    <mergeCell ref="A101:E101"/>
    <mergeCell ref="A102:E102"/>
    <mergeCell ref="A103:E103"/>
    <mergeCell ref="A104:E104"/>
    <mergeCell ref="A105:E105"/>
    <mergeCell ref="A106:H106"/>
    <mergeCell ref="A116:E116"/>
    <mergeCell ref="A117:E117"/>
    <mergeCell ref="A112:E112"/>
    <mergeCell ref="A108:L108"/>
    <mergeCell ref="A109:E109"/>
    <mergeCell ref="A110:E110"/>
    <mergeCell ref="A111:E111"/>
    <mergeCell ref="A100:L100"/>
  </mergeCells>
  <pageMargins left="0.7" right="0.7" top="0.75" bottom="0.75" header="0.3" footer="0.3"/>
  <pageSetup paperSize="9" fitToWidth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0"/>
  <sheetViews>
    <sheetView tabSelected="1" zoomScale="90" zoomScaleNormal="90" workbookViewId="0">
      <selection activeCell="L49" sqref="L49"/>
    </sheetView>
  </sheetViews>
  <sheetFormatPr defaultRowHeight="15" x14ac:dyDescent="0.25"/>
  <cols>
    <col min="1" max="3" width="9.140625" style="9" customWidth="1"/>
    <col min="4" max="4" width="10.28515625" style="9" customWidth="1"/>
    <col min="5" max="5" width="5.5703125" style="9" customWidth="1"/>
    <col min="6" max="6" width="9.7109375" style="9" customWidth="1"/>
    <col min="7" max="7" width="13.42578125" style="9" customWidth="1"/>
    <col min="8" max="8" width="15" style="9" customWidth="1"/>
    <col min="9" max="9" width="13.140625" style="9" customWidth="1"/>
    <col min="10" max="10" width="12.85546875" style="9" customWidth="1"/>
    <col min="11" max="11" width="13.140625" style="9" customWidth="1"/>
    <col min="12" max="12" width="9.140625" style="9" customWidth="1"/>
    <col min="13" max="13" width="13.5703125" style="9" customWidth="1"/>
    <col min="14" max="16384" width="9.140625" style="9"/>
  </cols>
  <sheetData>
    <row r="1" spans="1:12" s="21" customFormat="1" x14ac:dyDescent="0.25">
      <c r="A1" s="46" t="s">
        <v>57</v>
      </c>
      <c r="B1" s="46"/>
      <c r="C1" s="46"/>
      <c r="D1" s="1"/>
    </row>
    <row r="2" spans="1:12" s="21" customFormat="1" x14ac:dyDescent="0.25">
      <c r="A2" s="47" t="s">
        <v>58</v>
      </c>
      <c r="B2" s="47"/>
      <c r="C2" s="47"/>
      <c r="D2" s="1"/>
    </row>
    <row r="3" spans="1:12" s="21" customFormat="1" x14ac:dyDescent="0.25">
      <c r="A3" s="48"/>
      <c r="B3" s="48"/>
      <c r="C3" s="48"/>
      <c r="D3" s="1"/>
    </row>
    <row r="4" spans="1:12" s="21" customFormat="1" x14ac:dyDescent="0.25">
      <c r="A4" s="86" t="s">
        <v>59</v>
      </c>
      <c r="B4" s="86"/>
      <c r="C4" s="86"/>
      <c r="D4" s="87"/>
      <c r="E4" s="87"/>
      <c r="F4" s="87"/>
    </row>
    <row r="5" spans="1:12" s="21" customFormat="1" x14ac:dyDescent="0.25">
      <c r="A5" s="88" t="s">
        <v>107</v>
      </c>
      <c r="B5" s="88"/>
      <c r="C5" s="88"/>
      <c r="D5" s="87"/>
    </row>
    <row r="6" spans="1:12" s="21" customFormat="1" x14ac:dyDescent="0.25"/>
    <row r="7" spans="1:12" s="21" customFormat="1" x14ac:dyDescent="0.25"/>
    <row r="8" spans="1:12" s="21" customFormat="1" x14ac:dyDescent="0.25">
      <c r="A8" s="81" t="s">
        <v>63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</row>
    <row r="9" spans="1:12" s="21" customFormat="1" x14ac:dyDescent="0.25">
      <c r="A9" s="81" t="s">
        <v>106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</row>
    <row r="10" spans="1:12" s="21" customFormat="1" x14ac:dyDescent="0.25">
      <c r="A10" s="81" t="s">
        <v>108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</row>
    <row r="11" spans="1:12" s="21" customFormat="1" x14ac:dyDescent="0.25"/>
    <row r="12" spans="1:12" s="21" customFormat="1" x14ac:dyDescent="0.25">
      <c r="A12" s="49" t="s">
        <v>95</v>
      </c>
    </row>
    <row r="13" spans="1:12" s="21" customFormat="1" x14ac:dyDescent="0.25">
      <c r="A13" s="49" t="s">
        <v>104</v>
      </c>
    </row>
    <row r="14" spans="1:12" s="21" customFormat="1" hidden="1" x14ac:dyDescent="0.25">
      <c r="A14" s="49" t="s">
        <v>105</v>
      </c>
    </row>
    <row r="15" spans="1:12" s="21" customFormat="1" x14ac:dyDescent="0.25">
      <c r="A15" s="49" t="s">
        <v>96</v>
      </c>
    </row>
    <row r="16" spans="1:12" s="21" customFormat="1" x14ac:dyDescent="0.25">
      <c r="A16" s="22" t="s">
        <v>111</v>
      </c>
      <c r="B16" s="8"/>
      <c r="C16" s="8"/>
      <c r="D16" s="8"/>
      <c r="E16" s="8"/>
    </row>
    <row r="17" spans="1:12" s="8" customFormat="1" ht="33" customHeight="1" x14ac:dyDescent="0.25">
      <c r="A17" s="80" t="s">
        <v>0</v>
      </c>
      <c r="B17" s="80"/>
      <c r="C17" s="80"/>
      <c r="D17" s="80"/>
      <c r="E17" s="80"/>
      <c r="F17" s="23" t="s">
        <v>1</v>
      </c>
      <c r="G17" s="80" t="s">
        <v>2</v>
      </c>
      <c r="H17" s="80"/>
      <c r="I17" s="80"/>
      <c r="J17" s="80"/>
      <c r="K17" s="80"/>
      <c r="L17" s="23" t="s">
        <v>1</v>
      </c>
    </row>
    <row r="18" spans="1:12" s="8" customFormat="1" ht="15" customHeight="1" x14ac:dyDescent="0.25">
      <c r="A18" s="55" t="s">
        <v>41</v>
      </c>
      <c r="B18" s="55"/>
      <c r="C18" s="55"/>
      <c r="D18" s="55"/>
      <c r="E18" s="55"/>
      <c r="F18" s="7">
        <v>0.01</v>
      </c>
      <c r="G18" s="55" t="s">
        <v>3</v>
      </c>
      <c r="H18" s="55"/>
      <c r="I18" s="55"/>
      <c r="J18" s="55"/>
      <c r="K18" s="55"/>
      <c r="L18" s="7">
        <v>0.01</v>
      </c>
    </row>
    <row r="19" spans="1:12" s="8" customFormat="1" ht="15" customHeight="1" x14ac:dyDescent="0.25">
      <c r="A19" s="55" t="s">
        <v>42</v>
      </c>
      <c r="B19" s="55"/>
      <c r="C19" s="55"/>
      <c r="D19" s="55"/>
      <c r="E19" s="55"/>
      <c r="F19" s="7">
        <v>0.01</v>
      </c>
      <c r="G19" s="55"/>
      <c r="H19" s="55"/>
      <c r="I19" s="55"/>
      <c r="J19" s="55"/>
      <c r="K19" s="55"/>
      <c r="L19" s="7"/>
    </row>
    <row r="20" spans="1:12" s="8" customFormat="1" ht="15" customHeight="1" x14ac:dyDescent="0.25">
      <c r="A20" s="55" t="s">
        <v>81</v>
      </c>
      <c r="B20" s="55"/>
      <c r="C20" s="55"/>
      <c r="D20" s="55"/>
      <c r="E20" s="55"/>
      <c r="F20" s="7">
        <v>0.01</v>
      </c>
      <c r="G20" s="55"/>
      <c r="H20" s="55"/>
      <c r="I20" s="55"/>
      <c r="J20" s="55"/>
      <c r="K20" s="55"/>
      <c r="L20" s="7"/>
    </row>
    <row r="21" spans="1:12" s="8" customFormat="1" ht="15" customHeight="1" x14ac:dyDescent="0.25">
      <c r="A21" s="55" t="s">
        <v>44</v>
      </c>
      <c r="B21" s="55"/>
      <c r="C21" s="55"/>
      <c r="D21" s="55"/>
      <c r="E21" s="55"/>
      <c r="F21" s="7">
        <v>0.01</v>
      </c>
      <c r="G21" s="55"/>
      <c r="H21" s="55"/>
      <c r="I21" s="55"/>
      <c r="J21" s="55"/>
      <c r="K21" s="55"/>
      <c r="L21" s="7"/>
    </row>
    <row r="22" spans="1:12" s="8" customFormat="1" ht="15" customHeight="1" x14ac:dyDescent="0.25">
      <c r="A22" s="55" t="s">
        <v>43</v>
      </c>
      <c r="B22" s="55"/>
      <c r="C22" s="55"/>
      <c r="D22" s="55"/>
      <c r="E22" s="55"/>
      <c r="F22" s="7">
        <v>0.01</v>
      </c>
      <c r="G22" s="55"/>
      <c r="H22" s="55"/>
      <c r="I22" s="55"/>
      <c r="J22" s="55"/>
      <c r="K22" s="55"/>
      <c r="L22" s="7"/>
    </row>
    <row r="23" spans="1:12" s="8" customFormat="1" ht="15" customHeight="1" x14ac:dyDescent="0.25">
      <c r="A23" s="55" t="s">
        <v>80</v>
      </c>
      <c r="B23" s="55"/>
      <c r="C23" s="55"/>
      <c r="D23" s="55"/>
      <c r="E23" s="55"/>
      <c r="F23" s="7">
        <v>0.01</v>
      </c>
      <c r="G23" s="55"/>
      <c r="H23" s="55"/>
      <c r="I23" s="55"/>
      <c r="J23" s="55"/>
      <c r="K23" s="55"/>
      <c r="L23" s="7"/>
    </row>
    <row r="24" spans="1:12" s="8" customFormat="1" ht="15" customHeight="1" x14ac:dyDescent="0.25">
      <c r="A24" s="55" t="s">
        <v>38</v>
      </c>
      <c r="B24" s="55"/>
      <c r="C24" s="55"/>
      <c r="D24" s="55"/>
      <c r="E24" s="55"/>
      <c r="F24" s="7">
        <v>0.05</v>
      </c>
      <c r="G24" s="55"/>
      <c r="H24" s="55"/>
      <c r="I24" s="55"/>
      <c r="J24" s="55"/>
      <c r="K24" s="55"/>
      <c r="L24" s="7"/>
    </row>
    <row r="25" spans="1:12" s="8" customFormat="1" ht="15" customHeight="1" x14ac:dyDescent="0.25">
      <c r="A25" s="55" t="s">
        <v>83</v>
      </c>
      <c r="B25" s="55"/>
      <c r="C25" s="55"/>
      <c r="D25" s="55"/>
      <c r="E25" s="55"/>
      <c r="F25" s="7">
        <v>0.01</v>
      </c>
      <c r="G25" s="55"/>
      <c r="H25" s="55"/>
      <c r="I25" s="55"/>
      <c r="J25" s="55"/>
      <c r="K25" s="55"/>
      <c r="L25" s="7"/>
    </row>
    <row r="26" spans="1:12" s="8" customFormat="1" ht="15" customHeight="1" x14ac:dyDescent="0.25">
      <c r="A26" s="55" t="s">
        <v>45</v>
      </c>
      <c r="B26" s="55"/>
      <c r="C26" s="55"/>
      <c r="D26" s="55"/>
      <c r="E26" s="55"/>
      <c r="F26" s="7">
        <v>0.01</v>
      </c>
      <c r="G26" s="55"/>
      <c r="H26" s="55"/>
      <c r="I26" s="55"/>
      <c r="J26" s="55"/>
      <c r="K26" s="55"/>
      <c r="L26" s="7"/>
    </row>
    <row r="27" spans="1:12" s="8" customFormat="1" ht="15" customHeight="1" x14ac:dyDescent="0.25">
      <c r="A27" s="55" t="s">
        <v>82</v>
      </c>
      <c r="B27" s="55"/>
      <c r="C27" s="55"/>
      <c r="D27" s="55"/>
      <c r="E27" s="55"/>
      <c r="F27" s="7">
        <v>0.01</v>
      </c>
      <c r="G27" s="55"/>
      <c r="H27" s="55"/>
      <c r="I27" s="55"/>
      <c r="J27" s="55"/>
      <c r="K27" s="55"/>
      <c r="L27" s="7"/>
    </row>
    <row r="28" spans="1:12" s="8" customFormat="1" ht="15" customHeight="1" x14ac:dyDescent="0.25">
      <c r="A28" s="55" t="s">
        <v>46</v>
      </c>
      <c r="B28" s="55"/>
      <c r="C28" s="55"/>
      <c r="D28" s="55"/>
      <c r="E28" s="55"/>
      <c r="F28" s="7">
        <v>0.01</v>
      </c>
      <c r="G28" s="55"/>
      <c r="H28" s="55"/>
      <c r="I28" s="55"/>
      <c r="J28" s="55"/>
      <c r="K28" s="55"/>
      <c r="L28" s="7"/>
    </row>
    <row r="29" spans="1:12" s="8" customFormat="1" ht="15" customHeight="1" x14ac:dyDescent="0.25">
      <c r="A29" s="55" t="s">
        <v>47</v>
      </c>
      <c r="B29" s="55"/>
      <c r="C29" s="55"/>
      <c r="D29" s="55"/>
      <c r="E29" s="55"/>
      <c r="F29" s="7">
        <v>0.01</v>
      </c>
      <c r="G29" s="55"/>
      <c r="H29" s="55"/>
      <c r="I29" s="55"/>
      <c r="J29" s="55"/>
      <c r="K29" s="55"/>
      <c r="L29" s="7"/>
    </row>
    <row r="30" spans="1:12" s="8" customFormat="1" ht="15" customHeight="1" x14ac:dyDescent="0.25">
      <c r="A30" s="55" t="s">
        <v>84</v>
      </c>
      <c r="B30" s="55"/>
      <c r="C30" s="55"/>
      <c r="D30" s="55"/>
      <c r="E30" s="55"/>
      <c r="F30" s="7">
        <v>0.01</v>
      </c>
      <c r="G30" s="55"/>
      <c r="H30" s="55"/>
      <c r="I30" s="55"/>
      <c r="J30" s="55"/>
      <c r="K30" s="55"/>
      <c r="L30" s="7"/>
    </row>
    <row r="31" spans="1:12" s="8" customFormat="1" ht="15" customHeight="1" x14ac:dyDescent="0.25">
      <c r="A31" s="55" t="s">
        <v>85</v>
      </c>
      <c r="B31" s="55"/>
      <c r="C31" s="55"/>
      <c r="D31" s="55"/>
      <c r="E31" s="55"/>
      <c r="F31" s="7">
        <v>0.01</v>
      </c>
      <c r="G31" s="55"/>
      <c r="H31" s="55"/>
      <c r="I31" s="55"/>
      <c r="J31" s="55"/>
      <c r="K31" s="55"/>
      <c r="L31" s="7"/>
    </row>
    <row r="32" spans="1:12" s="8" customFormat="1" ht="15" customHeight="1" x14ac:dyDescent="0.25">
      <c r="A32" s="55" t="s">
        <v>86</v>
      </c>
      <c r="B32" s="55"/>
      <c r="C32" s="55"/>
      <c r="D32" s="55"/>
      <c r="E32" s="55"/>
      <c r="F32" s="7">
        <v>0.01</v>
      </c>
      <c r="G32" s="55"/>
      <c r="H32" s="55"/>
      <c r="I32" s="55"/>
      <c r="J32" s="55"/>
      <c r="K32" s="55"/>
      <c r="L32" s="7"/>
    </row>
    <row r="33" spans="1:12" s="8" customFormat="1" ht="15" customHeight="1" x14ac:dyDescent="0.25">
      <c r="A33" s="55" t="s">
        <v>87</v>
      </c>
      <c r="B33" s="55"/>
      <c r="C33" s="55"/>
      <c r="D33" s="55"/>
      <c r="E33" s="55"/>
      <c r="F33" s="7">
        <v>0.01</v>
      </c>
      <c r="G33" s="55"/>
      <c r="H33" s="55"/>
      <c r="I33" s="55"/>
      <c r="J33" s="55"/>
      <c r="K33" s="55"/>
      <c r="L33" s="7"/>
    </row>
    <row r="34" spans="1:12" s="8" customFormat="1" ht="15" customHeight="1" x14ac:dyDescent="0.25">
      <c r="A34" s="55" t="s">
        <v>48</v>
      </c>
      <c r="B34" s="55"/>
      <c r="C34" s="55"/>
      <c r="D34" s="55"/>
      <c r="E34" s="55"/>
      <c r="F34" s="7">
        <v>0.01</v>
      </c>
      <c r="G34" s="55"/>
      <c r="H34" s="55"/>
      <c r="I34" s="55"/>
      <c r="J34" s="55"/>
      <c r="K34" s="55"/>
      <c r="L34" s="7"/>
    </row>
    <row r="35" spans="1:12" s="8" customFormat="1" ht="15" customHeight="1" x14ac:dyDescent="0.25">
      <c r="A35" s="55" t="s">
        <v>88</v>
      </c>
      <c r="B35" s="55"/>
      <c r="C35" s="55"/>
      <c r="D35" s="55"/>
      <c r="E35" s="55"/>
      <c r="F35" s="7">
        <v>0.02</v>
      </c>
      <c r="G35" s="55"/>
      <c r="H35" s="55"/>
      <c r="I35" s="55"/>
      <c r="J35" s="55"/>
      <c r="K35" s="55"/>
      <c r="L35" s="7"/>
    </row>
    <row r="36" spans="1:12" s="8" customFormat="1" ht="15" customHeight="1" x14ac:dyDescent="0.25">
      <c r="A36" s="55" t="s">
        <v>90</v>
      </c>
      <c r="B36" s="55"/>
      <c r="C36" s="55"/>
      <c r="D36" s="55"/>
      <c r="E36" s="55"/>
      <c r="F36" s="7">
        <v>0.01</v>
      </c>
      <c r="G36" s="55"/>
      <c r="H36" s="55"/>
      <c r="I36" s="55"/>
      <c r="J36" s="55"/>
      <c r="K36" s="55"/>
      <c r="L36" s="7"/>
    </row>
    <row r="37" spans="1:12" s="8" customFormat="1" ht="27" customHeight="1" x14ac:dyDescent="0.25">
      <c r="A37" s="55" t="s">
        <v>51</v>
      </c>
      <c r="B37" s="55"/>
      <c r="C37" s="55"/>
      <c r="D37" s="55"/>
      <c r="E37" s="55"/>
      <c r="F37" s="7">
        <v>0.01</v>
      </c>
      <c r="G37" s="55"/>
      <c r="H37" s="55"/>
      <c r="I37" s="55"/>
      <c r="J37" s="55"/>
      <c r="K37" s="55"/>
      <c r="L37" s="7"/>
    </row>
    <row r="38" spans="1:12" s="8" customFormat="1" ht="15" customHeight="1" x14ac:dyDescent="0.25">
      <c r="A38" s="55" t="s">
        <v>49</v>
      </c>
      <c r="B38" s="55"/>
      <c r="C38" s="55"/>
      <c r="D38" s="55"/>
      <c r="E38" s="55"/>
      <c r="F38" s="7">
        <v>0.01</v>
      </c>
      <c r="G38" s="55"/>
      <c r="H38" s="55"/>
      <c r="I38" s="55"/>
      <c r="J38" s="55"/>
      <c r="K38" s="55"/>
      <c r="L38" s="7"/>
    </row>
    <row r="39" spans="1:12" s="8" customFormat="1" ht="15" customHeight="1" x14ac:dyDescent="0.25">
      <c r="A39" s="55" t="s">
        <v>89</v>
      </c>
      <c r="B39" s="55"/>
      <c r="C39" s="55"/>
      <c r="D39" s="55"/>
      <c r="E39" s="55"/>
      <c r="F39" s="7">
        <v>7.0000000000000007E-2</v>
      </c>
      <c r="G39" s="55"/>
      <c r="H39" s="55"/>
      <c r="I39" s="55"/>
      <c r="J39" s="55"/>
      <c r="K39" s="55"/>
      <c r="L39" s="7"/>
    </row>
    <row r="40" spans="1:12" s="8" customFormat="1" ht="15" customHeight="1" x14ac:dyDescent="0.25">
      <c r="A40" s="55" t="s">
        <v>50</v>
      </c>
      <c r="B40" s="55"/>
      <c r="C40" s="55"/>
      <c r="D40" s="55"/>
      <c r="E40" s="55"/>
      <c r="F40" s="7">
        <v>0.08</v>
      </c>
      <c r="G40" s="55"/>
      <c r="H40" s="55"/>
      <c r="I40" s="55"/>
      <c r="J40" s="55"/>
      <c r="K40" s="55"/>
      <c r="L40" s="7"/>
    </row>
    <row r="41" spans="1:12" s="8" customFormat="1" ht="15" customHeight="1" x14ac:dyDescent="0.25">
      <c r="A41" s="55" t="s">
        <v>91</v>
      </c>
      <c r="B41" s="55"/>
      <c r="C41" s="55"/>
      <c r="D41" s="55"/>
      <c r="E41" s="55"/>
      <c r="F41" s="7">
        <v>0.01</v>
      </c>
      <c r="G41" s="55"/>
      <c r="H41" s="55"/>
      <c r="I41" s="55"/>
      <c r="J41" s="55"/>
      <c r="K41" s="55"/>
      <c r="L41" s="7"/>
    </row>
    <row r="42" spans="1:12" s="8" customFormat="1" ht="15" customHeight="1" x14ac:dyDescent="0.25">
      <c r="A42" s="55" t="s">
        <v>92</v>
      </c>
      <c r="B42" s="55"/>
      <c r="C42" s="55"/>
      <c r="D42" s="55"/>
      <c r="E42" s="55"/>
      <c r="F42" s="7">
        <v>0.01</v>
      </c>
      <c r="G42" s="55"/>
      <c r="H42" s="55"/>
      <c r="I42" s="55"/>
      <c r="J42" s="55"/>
      <c r="K42" s="55"/>
      <c r="L42" s="7"/>
    </row>
    <row r="43" spans="1:12" s="8" customFormat="1" ht="15" customHeight="1" x14ac:dyDescent="0.25">
      <c r="A43" s="55" t="s">
        <v>93</v>
      </c>
      <c r="B43" s="55"/>
      <c r="C43" s="55"/>
      <c r="D43" s="55"/>
      <c r="E43" s="55"/>
      <c r="F43" s="7">
        <v>0.01</v>
      </c>
      <c r="G43" s="55"/>
      <c r="H43" s="55"/>
      <c r="I43" s="55"/>
      <c r="J43" s="55"/>
      <c r="K43" s="55"/>
      <c r="L43" s="7"/>
    </row>
    <row r="44" spans="1:12" s="8" customFormat="1" ht="15" customHeight="1" x14ac:dyDescent="0.25">
      <c r="A44" s="55" t="s">
        <v>52</v>
      </c>
      <c r="B44" s="55"/>
      <c r="C44" s="55"/>
      <c r="D44" s="55"/>
      <c r="E44" s="55"/>
      <c r="F44" s="7">
        <v>0.1</v>
      </c>
      <c r="G44" s="55"/>
      <c r="H44" s="55"/>
      <c r="I44" s="55"/>
      <c r="J44" s="55"/>
      <c r="K44" s="55"/>
      <c r="L44" s="7"/>
    </row>
    <row r="45" spans="1:12" s="8" customFormat="1" ht="15" customHeight="1" x14ac:dyDescent="0.25">
      <c r="A45" s="55" t="s">
        <v>94</v>
      </c>
      <c r="B45" s="55"/>
      <c r="C45" s="55"/>
      <c r="D45" s="55"/>
      <c r="E45" s="55"/>
      <c r="F45" s="7">
        <v>0.01</v>
      </c>
      <c r="G45" s="55"/>
      <c r="H45" s="55"/>
      <c r="I45" s="55"/>
      <c r="J45" s="55"/>
      <c r="K45" s="55"/>
      <c r="L45" s="7"/>
    </row>
    <row r="46" spans="1:12" s="8" customFormat="1" x14ac:dyDescent="0.25">
      <c r="A46" s="79" t="s">
        <v>4</v>
      </c>
      <c r="B46" s="79"/>
      <c r="C46" s="79"/>
      <c r="D46" s="79"/>
      <c r="E46" s="79"/>
      <c r="F46" s="7">
        <f>SUM(F18:F45)</f>
        <v>0.55000000000000016</v>
      </c>
      <c r="G46" s="79" t="s">
        <v>4</v>
      </c>
      <c r="H46" s="79"/>
      <c r="I46" s="79"/>
      <c r="J46" s="79"/>
      <c r="K46" s="79"/>
      <c r="L46" s="7">
        <f>SUM(L18:L45)</f>
        <v>0.01</v>
      </c>
    </row>
    <row r="47" spans="1:12" s="8" customFormat="1" x14ac:dyDescent="0.25"/>
    <row r="48" spans="1:12" s="8" customFormat="1" x14ac:dyDescent="0.25">
      <c r="A48" s="22" t="s">
        <v>97</v>
      </c>
      <c r="F48" s="8">
        <v>56</v>
      </c>
    </row>
    <row r="49" spans="1:12" s="8" customFormat="1" ht="75" x14ac:dyDescent="0.25">
      <c r="A49" s="62" t="s">
        <v>5</v>
      </c>
      <c r="B49" s="63"/>
      <c r="C49" s="63"/>
      <c r="D49" s="63"/>
      <c r="E49" s="64"/>
      <c r="F49" s="23" t="s">
        <v>6</v>
      </c>
      <c r="G49" s="23" t="s">
        <v>1</v>
      </c>
      <c r="H49" s="23" t="s">
        <v>66</v>
      </c>
      <c r="I49" s="23" t="s">
        <v>67</v>
      </c>
      <c r="J49" s="23" t="s">
        <v>68</v>
      </c>
      <c r="K49" s="24" t="s">
        <v>69</v>
      </c>
      <c r="L49" s="33"/>
    </row>
    <row r="50" spans="1:12" s="8" customFormat="1" ht="15" hidden="1" customHeight="1" x14ac:dyDescent="0.25">
      <c r="A50" s="55" t="s">
        <v>41</v>
      </c>
      <c r="B50" s="55"/>
      <c r="C50" s="55"/>
      <c r="D50" s="55"/>
      <c r="E50" s="55"/>
      <c r="F50" s="7">
        <f>'Услуга №1'!F37</f>
        <v>14963</v>
      </c>
      <c r="G50" s="7">
        <v>0.01</v>
      </c>
      <c r="H50" s="7">
        <f>F50*G50*12</f>
        <v>1795.56</v>
      </c>
      <c r="I50" s="7">
        <f>H50*1.302</f>
        <v>2337.8191200000001</v>
      </c>
      <c r="J50" s="7">
        <f>F48</f>
        <v>56</v>
      </c>
      <c r="K50" s="7">
        <f>I50/J50</f>
        <v>41.746770000000005</v>
      </c>
      <c r="L50" s="34"/>
    </row>
    <row r="51" spans="1:12" s="8" customFormat="1" ht="15" hidden="1" customHeight="1" x14ac:dyDescent="0.25">
      <c r="A51" s="55" t="s">
        <v>42</v>
      </c>
      <c r="B51" s="55"/>
      <c r="C51" s="55"/>
      <c r="D51" s="55"/>
      <c r="E51" s="55"/>
      <c r="F51" s="7">
        <f>'Услуга №1'!F89</f>
        <v>11538</v>
      </c>
      <c r="G51" s="7">
        <v>0.01</v>
      </c>
      <c r="H51" s="7">
        <f t="shared" ref="H51:H77" si="0">F51*G51*12</f>
        <v>1384.56</v>
      </c>
      <c r="I51" s="7">
        <f t="shared" ref="I51:I77" si="1">H51*1.302</f>
        <v>1802.69712</v>
      </c>
      <c r="J51" s="7">
        <f>J50</f>
        <v>56</v>
      </c>
      <c r="K51" s="7">
        <f t="shared" ref="K51:K76" si="2">I51/J51</f>
        <v>32.191020000000002</v>
      </c>
      <c r="L51" s="34"/>
    </row>
    <row r="52" spans="1:12" s="8" customFormat="1" ht="15" hidden="1" customHeight="1" x14ac:dyDescent="0.25">
      <c r="A52" s="55" t="s">
        <v>81</v>
      </c>
      <c r="B52" s="55"/>
      <c r="C52" s="55"/>
      <c r="D52" s="55"/>
      <c r="E52" s="55"/>
      <c r="F52" s="7">
        <f>'Услуга №1'!F88</f>
        <v>11538</v>
      </c>
      <c r="G52" s="7">
        <v>0.01</v>
      </c>
      <c r="H52" s="7">
        <f t="shared" si="0"/>
        <v>1384.56</v>
      </c>
      <c r="I52" s="7">
        <f t="shared" si="1"/>
        <v>1802.69712</v>
      </c>
      <c r="J52" s="7">
        <f t="shared" ref="J52:J78" si="3">J51</f>
        <v>56</v>
      </c>
      <c r="K52" s="7">
        <f t="shared" si="2"/>
        <v>32.191020000000002</v>
      </c>
      <c r="L52" s="34"/>
    </row>
    <row r="53" spans="1:12" s="8" customFormat="1" ht="15.75" hidden="1" customHeight="1" x14ac:dyDescent="0.25">
      <c r="A53" s="55" t="s">
        <v>44</v>
      </c>
      <c r="B53" s="55"/>
      <c r="C53" s="55"/>
      <c r="D53" s="55"/>
      <c r="E53" s="55"/>
      <c r="F53" s="7">
        <f>'Услуга №1'!F90</f>
        <v>11538</v>
      </c>
      <c r="G53" s="7">
        <v>0.01</v>
      </c>
      <c r="H53" s="7">
        <f t="shared" si="0"/>
        <v>1384.56</v>
      </c>
      <c r="I53" s="7">
        <f t="shared" si="1"/>
        <v>1802.69712</v>
      </c>
      <c r="J53" s="7">
        <f t="shared" si="3"/>
        <v>56</v>
      </c>
      <c r="K53" s="7">
        <f t="shared" si="2"/>
        <v>32.191020000000002</v>
      </c>
      <c r="L53" s="34"/>
    </row>
    <row r="54" spans="1:12" s="8" customFormat="1" ht="15" hidden="1" customHeight="1" x14ac:dyDescent="0.25">
      <c r="A54" s="55" t="s">
        <v>43</v>
      </c>
      <c r="B54" s="55"/>
      <c r="C54" s="55"/>
      <c r="D54" s="55"/>
      <c r="E54" s="55"/>
      <c r="F54" s="7">
        <f>'Услуга №1'!F38</f>
        <v>11538</v>
      </c>
      <c r="G54" s="7">
        <v>0.01</v>
      </c>
      <c r="H54" s="7">
        <f t="shared" si="0"/>
        <v>1384.56</v>
      </c>
      <c r="I54" s="7">
        <f t="shared" si="1"/>
        <v>1802.69712</v>
      </c>
      <c r="J54" s="7">
        <f t="shared" si="3"/>
        <v>56</v>
      </c>
      <c r="K54" s="7">
        <f t="shared" si="2"/>
        <v>32.191020000000002</v>
      </c>
      <c r="L54" s="34"/>
    </row>
    <row r="55" spans="1:12" s="8" customFormat="1" ht="15" hidden="1" customHeight="1" x14ac:dyDescent="0.25">
      <c r="A55" s="55" t="s">
        <v>80</v>
      </c>
      <c r="B55" s="55"/>
      <c r="C55" s="55"/>
      <c r="D55" s="55"/>
      <c r="E55" s="55"/>
      <c r="F55" s="7">
        <v>15169</v>
      </c>
      <c r="G55" s="7">
        <v>0.01</v>
      </c>
      <c r="H55" s="7">
        <f t="shared" si="0"/>
        <v>1820.28</v>
      </c>
      <c r="I55" s="7">
        <f t="shared" si="1"/>
        <v>2370.0045599999999</v>
      </c>
      <c r="J55" s="7">
        <f t="shared" si="3"/>
        <v>56</v>
      </c>
      <c r="K55" s="7">
        <f t="shared" si="2"/>
        <v>42.321509999999996</v>
      </c>
      <c r="L55" s="34"/>
    </row>
    <row r="56" spans="1:12" s="8" customFormat="1" ht="15" hidden="1" customHeight="1" x14ac:dyDescent="0.25">
      <c r="A56" s="55" t="s">
        <v>38</v>
      </c>
      <c r="B56" s="55"/>
      <c r="C56" s="55"/>
      <c r="D56" s="55"/>
      <c r="E56" s="55"/>
      <c r="F56" s="38">
        <f>'Услуга №1'!F92</f>
        <v>6556</v>
      </c>
      <c r="G56" s="7">
        <v>0.05</v>
      </c>
      <c r="H56" s="7">
        <f t="shared" si="0"/>
        <v>3933.6000000000004</v>
      </c>
      <c r="I56" s="7">
        <f t="shared" si="1"/>
        <v>5121.5472000000009</v>
      </c>
      <c r="J56" s="7">
        <f t="shared" si="3"/>
        <v>56</v>
      </c>
      <c r="K56" s="7">
        <f t="shared" si="2"/>
        <v>91.45620000000001</v>
      </c>
      <c r="L56" s="34"/>
    </row>
    <row r="57" spans="1:12" s="8" customFormat="1" ht="15" hidden="1" customHeight="1" x14ac:dyDescent="0.25">
      <c r="A57" s="55" t="s">
        <v>83</v>
      </c>
      <c r="B57" s="55"/>
      <c r="C57" s="55"/>
      <c r="D57" s="55"/>
      <c r="E57" s="55"/>
      <c r="F57" s="38">
        <f>'Услуга №1'!F93</f>
        <v>6556</v>
      </c>
      <c r="G57" s="7">
        <v>0.01</v>
      </c>
      <c r="H57" s="7">
        <f t="shared" si="0"/>
        <v>786.72</v>
      </c>
      <c r="I57" s="7">
        <f t="shared" si="1"/>
        <v>1024.30944</v>
      </c>
      <c r="J57" s="7">
        <f t="shared" si="3"/>
        <v>56</v>
      </c>
      <c r="K57" s="7">
        <f t="shared" si="2"/>
        <v>18.291239999999998</v>
      </c>
      <c r="L57" s="34"/>
    </row>
    <row r="58" spans="1:12" s="8" customFormat="1" ht="15" hidden="1" customHeight="1" x14ac:dyDescent="0.25">
      <c r="A58" s="55" t="s">
        <v>45</v>
      </c>
      <c r="B58" s="55"/>
      <c r="C58" s="55"/>
      <c r="D58" s="55"/>
      <c r="E58" s="55"/>
      <c r="F58" s="38">
        <f>'Услуга №1'!F94</f>
        <v>6556</v>
      </c>
      <c r="G58" s="7">
        <v>0.01</v>
      </c>
      <c r="H58" s="7">
        <f t="shared" si="0"/>
        <v>786.72</v>
      </c>
      <c r="I58" s="7">
        <f t="shared" si="1"/>
        <v>1024.30944</v>
      </c>
      <c r="J58" s="7">
        <f t="shared" si="3"/>
        <v>56</v>
      </c>
      <c r="K58" s="7">
        <f t="shared" si="2"/>
        <v>18.291239999999998</v>
      </c>
      <c r="L58" s="34"/>
    </row>
    <row r="59" spans="1:12" s="8" customFormat="1" ht="15" hidden="1" customHeight="1" x14ac:dyDescent="0.25">
      <c r="A59" s="55" t="s">
        <v>82</v>
      </c>
      <c r="B59" s="55"/>
      <c r="C59" s="55"/>
      <c r="D59" s="55"/>
      <c r="E59" s="55"/>
      <c r="F59" s="7">
        <f>'Услуга №1'!F39</f>
        <v>8837</v>
      </c>
      <c r="G59" s="7">
        <v>0.01</v>
      </c>
      <c r="H59" s="7">
        <f t="shared" si="0"/>
        <v>1060.44</v>
      </c>
      <c r="I59" s="7">
        <f t="shared" si="1"/>
        <v>1380.6928800000001</v>
      </c>
      <c r="J59" s="7">
        <f t="shared" si="3"/>
        <v>56</v>
      </c>
      <c r="K59" s="7">
        <f t="shared" si="2"/>
        <v>24.65523</v>
      </c>
      <c r="L59" s="34"/>
    </row>
    <row r="60" spans="1:12" s="8" customFormat="1" ht="18" hidden="1" customHeight="1" x14ac:dyDescent="0.25">
      <c r="A60" s="55" t="s">
        <v>46</v>
      </c>
      <c r="B60" s="55"/>
      <c r="C60" s="55"/>
      <c r="D60" s="55"/>
      <c r="E60" s="55"/>
      <c r="F60" s="7">
        <v>15169</v>
      </c>
      <c r="G60" s="7">
        <v>0.01</v>
      </c>
      <c r="H60" s="7">
        <f t="shared" si="0"/>
        <v>1820.28</v>
      </c>
      <c r="I60" s="7">
        <f t="shared" si="1"/>
        <v>2370.0045599999999</v>
      </c>
      <c r="J60" s="7">
        <f t="shared" si="3"/>
        <v>56</v>
      </c>
      <c r="K60" s="7">
        <f t="shared" si="2"/>
        <v>42.321509999999996</v>
      </c>
      <c r="L60" s="34"/>
    </row>
    <row r="61" spans="1:12" s="8" customFormat="1" ht="15" hidden="1" customHeight="1" x14ac:dyDescent="0.25">
      <c r="A61" s="55" t="s">
        <v>47</v>
      </c>
      <c r="B61" s="55"/>
      <c r="C61" s="55"/>
      <c r="D61" s="55"/>
      <c r="E61" s="55"/>
      <c r="F61" s="7">
        <v>15169</v>
      </c>
      <c r="G61" s="7">
        <v>0.01</v>
      </c>
      <c r="H61" s="7">
        <f t="shared" si="0"/>
        <v>1820.28</v>
      </c>
      <c r="I61" s="7">
        <f t="shared" si="1"/>
        <v>2370.0045599999999</v>
      </c>
      <c r="J61" s="7">
        <f t="shared" si="3"/>
        <v>56</v>
      </c>
      <c r="K61" s="7">
        <f t="shared" si="2"/>
        <v>42.321509999999996</v>
      </c>
      <c r="L61" s="34"/>
    </row>
    <row r="62" spans="1:12" s="8" customFormat="1" ht="15" hidden="1" customHeight="1" x14ac:dyDescent="0.25">
      <c r="A62" s="55" t="s">
        <v>84</v>
      </c>
      <c r="B62" s="55"/>
      <c r="C62" s="55"/>
      <c r="D62" s="55"/>
      <c r="E62" s="55"/>
      <c r="F62" s="7">
        <f>'Услуга №1'!F42</f>
        <v>8837</v>
      </c>
      <c r="G62" s="7">
        <v>0.01</v>
      </c>
      <c r="H62" s="7">
        <f t="shared" si="0"/>
        <v>1060.44</v>
      </c>
      <c r="I62" s="7">
        <f t="shared" si="1"/>
        <v>1380.6928800000001</v>
      </c>
      <c r="J62" s="7">
        <f t="shared" si="3"/>
        <v>56</v>
      </c>
      <c r="K62" s="7">
        <f t="shared" si="2"/>
        <v>24.65523</v>
      </c>
      <c r="L62" s="34"/>
    </row>
    <row r="63" spans="1:12" s="8" customFormat="1" ht="17.25" hidden="1" customHeight="1" x14ac:dyDescent="0.25">
      <c r="A63" s="55" t="s">
        <v>85</v>
      </c>
      <c r="B63" s="55"/>
      <c r="C63" s="55"/>
      <c r="D63" s="55"/>
      <c r="E63" s="55"/>
      <c r="F63" s="7">
        <f>'Услуга №1'!F43</f>
        <v>3993</v>
      </c>
      <c r="G63" s="7">
        <v>0.01</v>
      </c>
      <c r="H63" s="7">
        <f t="shared" si="0"/>
        <v>479.15999999999997</v>
      </c>
      <c r="I63" s="7">
        <f t="shared" si="1"/>
        <v>623.86631999999997</v>
      </c>
      <c r="J63" s="7">
        <f t="shared" si="3"/>
        <v>56</v>
      </c>
      <c r="K63" s="7">
        <f t="shared" si="2"/>
        <v>11.140469999999999</v>
      </c>
      <c r="L63" s="34"/>
    </row>
    <row r="64" spans="1:12" s="8" customFormat="1" ht="17.25" hidden="1" customHeight="1" x14ac:dyDescent="0.25">
      <c r="A64" s="55" t="s">
        <v>86</v>
      </c>
      <c r="B64" s="55"/>
      <c r="C64" s="55"/>
      <c r="D64" s="55"/>
      <c r="E64" s="55"/>
      <c r="F64" s="7">
        <f>'Услуга №1'!F44</f>
        <v>4496</v>
      </c>
      <c r="G64" s="7">
        <v>0.01</v>
      </c>
      <c r="H64" s="7">
        <f t="shared" si="0"/>
        <v>539.52</v>
      </c>
      <c r="I64" s="7">
        <f t="shared" si="1"/>
        <v>702.45504000000005</v>
      </c>
      <c r="J64" s="7">
        <f t="shared" si="3"/>
        <v>56</v>
      </c>
      <c r="K64" s="7">
        <f t="shared" si="2"/>
        <v>12.543840000000001</v>
      </c>
      <c r="L64" s="34"/>
    </row>
    <row r="65" spans="1:13" s="8" customFormat="1" ht="15" hidden="1" customHeight="1" x14ac:dyDescent="0.25">
      <c r="A65" s="55" t="s">
        <v>87</v>
      </c>
      <c r="B65" s="55"/>
      <c r="C65" s="55"/>
      <c r="D65" s="55"/>
      <c r="E65" s="55"/>
      <c r="F65" s="7">
        <f>'Услуга №1'!F45</f>
        <v>8837</v>
      </c>
      <c r="G65" s="7">
        <v>0.01</v>
      </c>
      <c r="H65" s="7">
        <f t="shared" si="0"/>
        <v>1060.44</v>
      </c>
      <c r="I65" s="7">
        <f t="shared" si="1"/>
        <v>1380.6928800000001</v>
      </c>
      <c r="J65" s="7">
        <f t="shared" si="3"/>
        <v>56</v>
      </c>
      <c r="K65" s="7">
        <f t="shared" si="2"/>
        <v>24.65523</v>
      </c>
      <c r="L65" s="34"/>
    </row>
    <row r="66" spans="1:13" s="8" customFormat="1" ht="15" hidden="1" customHeight="1" x14ac:dyDescent="0.25">
      <c r="A66" s="55" t="s">
        <v>48</v>
      </c>
      <c r="B66" s="55"/>
      <c r="C66" s="55"/>
      <c r="D66" s="55"/>
      <c r="E66" s="55"/>
      <c r="F66" s="38">
        <f>'Услуга №1'!F95</f>
        <v>5669</v>
      </c>
      <c r="G66" s="7">
        <v>0.01</v>
      </c>
      <c r="H66" s="7">
        <f t="shared" si="0"/>
        <v>680.28</v>
      </c>
      <c r="I66" s="7">
        <f t="shared" si="1"/>
        <v>885.72456</v>
      </c>
      <c r="J66" s="7">
        <f t="shared" si="3"/>
        <v>56</v>
      </c>
      <c r="K66" s="7">
        <f t="shared" si="2"/>
        <v>15.816509999999999</v>
      </c>
      <c r="L66" s="34"/>
    </row>
    <row r="67" spans="1:13" s="8" customFormat="1" ht="15" hidden="1" customHeight="1" x14ac:dyDescent="0.25">
      <c r="A67" s="55" t="s">
        <v>88</v>
      </c>
      <c r="B67" s="55"/>
      <c r="C67" s="55"/>
      <c r="D67" s="55"/>
      <c r="E67" s="55"/>
      <c r="F67" s="7">
        <f>'Услуга №1'!F46</f>
        <v>13255.5</v>
      </c>
      <c r="G67" s="7">
        <v>0.02</v>
      </c>
      <c r="H67" s="7">
        <f t="shared" si="0"/>
        <v>3181.32</v>
      </c>
      <c r="I67" s="7">
        <f t="shared" si="1"/>
        <v>4142.0786400000006</v>
      </c>
      <c r="J67" s="7">
        <f t="shared" si="3"/>
        <v>56</v>
      </c>
      <c r="K67" s="7">
        <f t="shared" si="2"/>
        <v>73.965690000000009</v>
      </c>
      <c r="L67" s="34"/>
    </row>
    <row r="68" spans="1:13" s="8" customFormat="1" ht="15.75" hidden="1" customHeight="1" x14ac:dyDescent="0.25">
      <c r="A68" s="55" t="s">
        <v>90</v>
      </c>
      <c r="B68" s="55"/>
      <c r="C68" s="55"/>
      <c r="D68" s="55"/>
      <c r="E68" s="55"/>
      <c r="F68" s="7">
        <f>'Услуга №1'!F47</f>
        <v>11538</v>
      </c>
      <c r="G68" s="7">
        <v>0.01</v>
      </c>
      <c r="H68" s="7">
        <f t="shared" si="0"/>
        <v>1384.56</v>
      </c>
      <c r="I68" s="7">
        <f t="shared" si="1"/>
        <v>1802.69712</v>
      </c>
      <c r="J68" s="7">
        <f t="shared" si="3"/>
        <v>56</v>
      </c>
      <c r="K68" s="7">
        <f t="shared" si="2"/>
        <v>32.191020000000002</v>
      </c>
      <c r="L68" s="34"/>
    </row>
    <row r="69" spans="1:13" s="8" customFormat="1" ht="15" hidden="1" customHeight="1" x14ac:dyDescent="0.25">
      <c r="A69" s="55" t="s">
        <v>51</v>
      </c>
      <c r="B69" s="55"/>
      <c r="C69" s="55"/>
      <c r="D69" s="55"/>
      <c r="E69" s="55"/>
      <c r="F69" s="7">
        <f>'Услуга №1'!F48</f>
        <v>11538</v>
      </c>
      <c r="G69" s="7">
        <v>0.01</v>
      </c>
      <c r="H69" s="7">
        <f t="shared" si="0"/>
        <v>1384.56</v>
      </c>
      <c r="I69" s="7">
        <f t="shared" si="1"/>
        <v>1802.69712</v>
      </c>
      <c r="J69" s="7">
        <f t="shared" si="3"/>
        <v>56</v>
      </c>
      <c r="K69" s="7">
        <f t="shared" si="2"/>
        <v>32.191020000000002</v>
      </c>
      <c r="L69" s="34"/>
    </row>
    <row r="70" spans="1:13" s="8" customFormat="1" ht="15" hidden="1" customHeight="1" x14ac:dyDescent="0.25">
      <c r="A70" s="55" t="s">
        <v>49</v>
      </c>
      <c r="B70" s="55"/>
      <c r="C70" s="55"/>
      <c r="D70" s="55"/>
      <c r="E70" s="55"/>
      <c r="F70" s="7">
        <f>'Услуга №1'!F49</f>
        <v>8837</v>
      </c>
      <c r="G70" s="7">
        <v>0.01</v>
      </c>
      <c r="H70" s="7">
        <f t="shared" si="0"/>
        <v>1060.44</v>
      </c>
      <c r="I70" s="7">
        <f t="shared" si="1"/>
        <v>1380.6928800000001</v>
      </c>
      <c r="J70" s="7">
        <f t="shared" si="3"/>
        <v>56</v>
      </c>
      <c r="K70" s="7">
        <f t="shared" si="2"/>
        <v>24.65523</v>
      </c>
      <c r="L70" s="34"/>
    </row>
    <row r="71" spans="1:13" s="8" customFormat="1" ht="15" hidden="1" customHeight="1" x14ac:dyDescent="0.25">
      <c r="A71" s="55" t="s">
        <v>89</v>
      </c>
      <c r="B71" s="55"/>
      <c r="C71" s="55"/>
      <c r="D71" s="55"/>
      <c r="E71" s="55"/>
      <c r="F71" s="38">
        <f>'Услуга №1'!F96</f>
        <v>11538</v>
      </c>
      <c r="G71" s="7">
        <v>7.0000000000000007E-2</v>
      </c>
      <c r="H71" s="7">
        <f t="shared" si="0"/>
        <v>9691.9200000000019</v>
      </c>
      <c r="I71" s="7">
        <f t="shared" si="1"/>
        <v>12618.879840000003</v>
      </c>
      <c r="J71" s="7">
        <f t="shared" si="3"/>
        <v>56</v>
      </c>
      <c r="K71" s="7">
        <f t="shared" si="2"/>
        <v>225.33714000000006</v>
      </c>
      <c r="L71" s="34"/>
    </row>
    <row r="72" spans="1:13" s="8" customFormat="1" ht="15" hidden="1" customHeight="1" x14ac:dyDescent="0.25">
      <c r="A72" s="55" t="s">
        <v>50</v>
      </c>
      <c r="B72" s="55"/>
      <c r="C72" s="55"/>
      <c r="D72" s="55"/>
      <c r="E72" s="55"/>
      <c r="F72" s="38">
        <f>'Услуга №1'!F97</f>
        <v>8837</v>
      </c>
      <c r="G72" s="7">
        <v>0.08</v>
      </c>
      <c r="H72" s="7">
        <f t="shared" si="0"/>
        <v>8483.52</v>
      </c>
      <c r="I72" s="7">
        <f t="shared" si="1"/>
        <v>11045.54304</v>
      </c>
      <c r="J72" s="7">
        <f t="shared" si="3"/>
        <v>56</v>
      </c>
      <c r="K72" s="7">
        <f t="shared" si="2"/>
        <v>197.24184</v>
      </c>
      <c r="L72" s="34"/>
    </row>
    <row r="73" spans="1:13" s="8" customFormat="1" ht="15" hidden="1" customHeight="1" x14ac:dyDescent="0.25">
      <c r="A73" s="55" t="s">
        <v>91</v>
      </c>
      <c r="B73" s="55"/>
      <c r="C73" s="55"/>
      <c r="D73" s="55"/>
      <c r="E73" s="55"/>
      <c r="F73" s="38">
        <f>'Услуга №1'!F98</f>
        <v>11538</v>
      </c>
      <c r="G73" s="7">
        <v>0.01</v>
      </c>
      <c r="H73" s="7">
        <f t="shared" si="0"/>
        <v>1384.56</v>
      </c>
      <c r="I73" s="7">
        <f t="shared" si="1"/>
        <v>1802.69712</v>
      </c>
      <c r="J73" s="7">
        <f t="shared" si="3"/>
        <v>56</v>
      </c>
      <c r="K73" s="7">
        <f t="shared" si="2"/>
        <v>32.191020000000002</v>
      </c>
      <c r="L73" s="34"/>
    </row>
    <row r="74" spans="1:13" s="8" customFormat="1" ht="18" hidden="1" customHeight="1" x14ac:dyDescent="0.25">
      <c r="A74" s="55" t="s">
        <v>92</v>
      </c>
      <c r="B74" s="55"/>
      <c r="C74" s="55"/>
      <c r="D74" s="55"/>
      <c r="E74" s="55"/>
      <c r="F74" s="38">
        <f>'Услуга №1'!F99</f>
        <v>11538</v>
      </c>
      <c r="G74" s="7">
        <v>0.01</v>
      </c>
      <c r="H74" s="7">
        <f t="shared" si="0"/>
        <v>1384.56</v>
      </c>
      <c r="I74" s="7">
        <f t="shared" si="1"/>
        <v>1802.69712</v>
      </c>
      <c r="J74" s="7">
        <f t="shared" si="3"/>
        <v>56</v>
      </c>
      <c r="K74" s="7">
        <f t="shared" si="2"/>
        <v>32.191020000000002</v>
      </c>
      <c r="L74" s="34"/>
    </row>
    <row r="75" spans="1:13" s="8" customFormat="1" ht="15" hidden="1" customHeight="1" x14ac:dyDescent="0.25">
      <c r="A75" s="55" t="s">
        <v>93</v>
      </c>
      <c r="B75" s="55"/>
      <c r="C75" s="55"/>
      <c r="D75" s="55"/>
      <c r="E75" s="55"/>
      <c r="F75" s="38">
        <f>'Услуга №1'!F100</f>
        <v>11538</v>
      </c>
      <c r="G75" s="7">
        <v>0.01</v>
      </c>
      <c r="H75" s="7">
        <f t="shared" si="0"/>
        <v>1384.56</v>
      </c>
      <c r="I75" s="7">
        <f t="shared" si="1"/>
        <v>1802.69712</v>
      </c>
      <c r="J75" s="7">
        <f t="shared" si="3"/>
        <v>56</v>
      </c>
      <c r="K75" s="7">
        <f t="shared" si="2"/>
        <v>32.191020000000002</v>
      </c>
      <c r="L75" s="34"/>
    </row>
    <row r="76" spans="1:13" s="8" customFormat="1" ht="15" hidden="1" customHeight="1" x14ac:dyDescent="0.25">
      <c r="A76" s="55" t="s">
        <v>52</v>
      </c>
      <c r="B76" s="55"/>
      <c r="C76" s="55"/>
      <c r="D76" s="55"/>
      <c r="E76" s="55"/>
      <c r="F76" s="38">
        <f>'Услуга №1'!F101</f>
        <v>8837</v>
      </c>
      <c r="G76" s="7">
        <v>0.1</v>
      </c>
      <c r="H76" s="7">
        <f t="shared" si="0"/>
        <v>10604.400000000001</v>
      </c>
      <c r="I76" s="7">
        <f t="shared" si="1"/>
        <v>13806.928800000002</v>
      </c>
      <c r="J76" s="7">
        <f t="shared" si="3"/>
        <v>56</v>
      </c>
      <c r="K76" s="7">
        <f t="shared" si="2"/>
        <v>246.55230000000003</v>
      </c>
      <c r="L76" s="34"/>
    </row>
    <row r="77" spans="1:13" s="8" customFormat="1" ht="17.25" hidden="1" customHeight="1" x14ac:dyDescent="0.25">
      <c r="A77" s="55" t="s">
        <v>94</v>
      </c>
      <c r="B77" s="55"/>
      <c r="C77" s="55"/>
      <c r="D77" s="55"/>
      <c r="E77" s="55"/>
      <c r="F77" s="38">
        <f>'Услуга №1'!F102</f>
        <v>11538</v>
      </c>
      <c r="G77" s="7">
        <v>0.01</v>
      </c>
      <c r="H77" s="7">
        <f t="shared" si="0"/>
        <v>1384.56</v>
      </c>
      <c r="I77" s="7">
        <f t="shared" si="1"/>
        <v>1802.69712</v>
      </c>
      <c r="J77" s="7">
        <f t="shared" si="3"/>
        <v>56</v>
      </c>
      <c r="K77" s="7">
        <f>I77/J77</f>
        <v>32.191020000000002</v>
      </c>
      <c r="L77" s="34"/>
    </row>
    <row r="78" spans="1:13" ht="18.75" customHeight="1" x14ac:dyDescent="0.25">
      <c r="A78" s="39" t="s">
        <v>72</v>
      </c>
      <c r="B78" s="40"/>
      <c r="C78" s="40"/>
      <c r="D78" s="40"/>
      <c r="E78" s="40"/>
      <c r="F78" s="2">
        <v>18266.169999999998</v>
      </c>
      <c r="G78" s="2">
        <f>SUM(G50:G77)</f>
        <v>0.55000000000000016</v>
      </c>
      <c r="H78" s="2">
        <f>(F78*G78)*12</f>
        <v>120556.72200000002</v>
      </c>
      <c r="I78" s="2">
        <f>(H78*1.302)</f>
        <v>156964.85204400003</v>
      </c>
      <c r="J78" s="51">
        <f t="shared" si="3"/>
        <v>56</v>
      </c>
      <c r="K78" s="2">
        <f>I78/J78</f>
        <v>2802.9437865000004</v>
      </c>
      <c r="L78" s="34"/>
      <c r="M78" s="8"/>
    </row>
    <row r="79" spans="1:13" s="8" customFormat="1" ht="13.5" customHeight="1" x14ac:dyDescent="0.25"/>
    <row r="80" spans="1:13" s="8" customFormat="1" ht="14.25" customHeight="1" x14ac:dyDescent="0.25">
      <c r="A80" s="61" t="s">
        <v>8</v>
      </c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</row>
    <row r="81" spans="1:13" s="8" customFormat="1" ht="60" x14ac:dyDescent="0.25">
      <c r="A81" s="79" t="s">
        <v>9</v>
      </c>
      <c r="B81" s="79"/>
      <c r="C81" s="79"/>
      <c r="D81" s="79"/>
      <c r="E81" s="79"/>
      <c r="F81" s="23" t="s">
        <v>7</v>
      </c>
      <c r="G81" s="23" t="s">
        <v>65</v>
      </c>
      <c r="H81" s="23" t="s">
        <v>64</v>
      </c>
      <c r="I81" s="23" t="s">
        <v>73</v>
      </c>
      <c r="J81" s="23" t="s">
        <v>68</v>
      </c>
      <c r="K81" s="27" t="s">
        <v>69</v>
      </c>
      <c r="L81" s="28"/>
    </row>
    <row r="82" spans="1:13" s="8" customFormat="1" x14ac:dyDescent="0.25">
      <c r="A82" s="65" t="s">
        <v>39</v>
      </c>
      <c r="B82" s="68"/>
      <c r="C82" s="68"/>
      <c r="D82" s="68"/>
      <c r="E82" s="69"/>
      <c r="F82" s="25" t="s">
        <v>40</v>
      </c>
      <c r="G82" s="25"/>
      <c r="H82" s="25">
        <f>'Услуга №1'!H54</f>
        <v>4.9000000000000004</v>
      </c>
      <c r="I82" s="25">
        <f>342214.7*1%</f>
        <v>3422.1470000000004</v>
      </c>
      <c r="J82" s="7">
        <f>J77</f>
        <v>56</v>
      </c>
      <c r="K82" s="29">
        <f>I82/J82</f>
        <v>61.109767857142863</v>
      </c>
      <c r="L82" s="28"/>
    </row>
    <row r="83" spans="1:13" s="8" customFormat="1" x14ac:dyDescent="0.25">
      <c r="A83" s="70" t="s">
        <v>10</v>
      </c>
      <c r="B83" s="70"/>
      <c r="C83" s="70"/>
      <c r="D83" s="70"/>
      <c r="E83" s="70"/>
      <c r="F83" s="7" t="s">
        <v>13</v>
      </c>
      <c r="G83" s="7"/>
      <c r="H83" s="25">
        <f>'Услуга №1'!H55</f>
        <v>1690.46</v>
      </c>
      <c r="I83" s="25">
        <f>786064.9*1%</f>
        <v>7860.6490000000003</v>
      </c>
      <c r="J83" s="7">
        <f>J82</f>
        <v>56</v>
      </c>
      <c r="K83" s="29">
        <f t="shared" ref="K83:K86" si="4">I83/J83</f>
        <v>140.36873214285714</v>
      </c>
      <c r="L83" s="30"/>
    </row>
    <row r="84" spans="1:13" s="8" customFormat="1" x14ac:dyDescent="0.25">
      <c r="A84" s="70" t="s">
        <v>11</v>
      </c>
      <c r="B84" s="70"/>
      <c r="C84" s="70"/>
      <c r="D84" s="70"/>
      <c r="E84" s="70"/>
      <c r="F84" s="7" t="s">
        <v>14</v>
      </c>
      <c r="G84" s="7"/>
      <c r="H84" s="25">
        <f>'Услуга №1'!H56</f>
        <v>40.96</v>
      </c>
      <c r="I84" s="25">
        <f>16794.04*1%</f>
        <v>167.94040000000001</v>
      </c>
      <c r="J84" s="7">
        <f t="shared" ref="J84:J87" si="5">J83</f>
        <v>56</v>
      </c>
      <c r="K84" s="29">
        <f t="shared" si="4"/>
        <v>2.9989357142857145</v>
      </c>
      <c r="L84" s="30"/>
    </row>
    <row r="85" spans="1:13" s="8" customFormat="1" x14ac:dyDescent="0.25">
      <c r="A85" s="70" t="s">
        <v>12</v>
      </c>
      <c r="B85" s="70"/>
      <c r="C85" s="70"/>
      <c r="D85" s="70"/>
      <c r="E85" s="70"/>
      <c r="F85" s="7" t="s">
        <v>14</v>
      </c>
      <c r="G85" s="7"/>
      <c r="H85" s="25">
        <f>'Услуга №1'!H57</f>
        <v>59.65</v>
      </c>
      <c r="I85" s="25">
        <f>24456.94*1%</f>
        <v>244.5694</v>
      </c>
      <c r="J85" s="7">
        <f t="shared" si="5"/>
        <v>56</v>
      </c>
      <c r="K85" s="29">
        <f t="shared" si="4"/>
        <v>4.3673107142857139</v>
      </c>
      <c r="L85" s="30"/>
    </row>
    <row r="86" spans="1:13" s="8" customFormat="1" x14ac:dyDescent="0.25">
      <c r="A86" s="65" t="s">
        <v>16</v>
      </c>
      <c r="B86" s="66"/>
      <c r="C86" s="66"/>
      <c r="D86" s="66"/>
      <c r="E86" s="66"/>
      <c r="F86" s="7" t="s">
        <v>14</v>
      </c>
      <c r="G86" s="7"/>
      <c r="H86" s="31">
        <v>3360.02</v>
      </c>
      <c r="I86" s="25">
        <f>40320.24*1%</f>
        <v>403.20240000000001</v>
      </c>
      <c r="J86" s="7">
        <f t="shared" si="5"/>
        <v>56</v>
      </c>
      <c r="K86" s="29">
        <f t="shared" si="4"/>
        <v>7.200042857142857</v>
      </c>
      <c r="L86" s="30"/>
    </row>
    <row r="87" spans="1:13" s="8" customFormat="1" x14ac:dyDescent="0.25">
      <c r="A87" s="56" t="s">
        <v>53</v>
      </c>
      <c r="B87" s="57"/>
      <c r="C87" s="57"/>
      <c r="D87" s="57"/>
      <c r="E87" s="57"/>
      <c r="F87" s="57"/>
      <c r="G87" s="57"/>
      <c r="H87" s="57"/>
      <c r="I87" s="2">
        <f>SUM(I82:I86)</f>
        <v>12098.5082</v>
      </c>
      <c r="J87" s="51">
        <f t="shared" si="5"/>
        <v>56</v>
      </c>
      <c r="K87" s="2">
        <f>I87/J87</f>
        <v>216.0447892857143</v>
      </c>
      <c r="L87" s="30"/>
    </row>
    <row r="88" spans="1:13" s="8" customFormat="1" ht="12" customHeight="1" x14ac:dyDescent="0.25"/>
    <row r="89" spans="1:13" s="8" customFormat="1" x14ac:dyDescent="0.25">
      <c r="A89" s="61" t="s">
        <v>15</v>
      </c>
      <c r="B89" s="61"/>
      <c r="C89" s="61"/>
      <c r="D89" s="61"/>
      <c r="E89" s="61"/>
      <c r="F89" s="61"/>
      <c r="G89" s="61"/>
      <c r="H89" s="61"/>
      <c r="I89" s="61"/>
      <c r="J89" s="61"/>
      <c r="K89" s="61"/>
      <c r="L89" s="61"/>
    </row>
    <row r="90" spans="1:13" s="8" customFormat="1" ht="60" x14ac:dyDescent="0.25">
      <c r="A90" s="62" t="s">
        <v>19</v>
      </c>
      <c r="B90" s="63"/>
      <c r="C90" s="63"/>
      <c r="D90" s="63"/>
      <c r="E90" s="64"/>
      <c r="F90" s="23" t="s">
        <v>7</v>
      </c>
      <c r="G90" s="23" t="s">
        <v>65</v>
      </c>
      <c r="H90" s="23" t="s">
        <v>64</v>
      </c>
      <c r="I90" s="23" t="s">
        <v>73</v>
      </c>
      <c r="J90" s="23" t="s">
        <v>68</v>
      </c>
      <c r="K90" s="27" t="s">
        <v>69</v>
      </c>
      <c r="L90" s="28"/>
    </row>
    <row r="91" spans="1:13" s="8" customFormat="1" x14ac:dyDescent="0.25">
      <c r="A91" s="70" t="s">
        <v>56</v>
      </c>
      <c r="B91" s="70"/>
      <c r="C91" s="70"/>
      <c r="D91" s="70"/>
      <c r="E91" s="70"/>
      <c r="F91" s="7" t="s">
        <v>17</v>
      </c>
      <c r="G91" s="7">
        <v>6200</v>
      </c>
      <c r="H91" s="7"/>
      <c r="I91" s="7">
        <f>74400*1%</f>
        <v>744</v>
      </c>
      <c r="J91" s="7">
        <v>56</v>
      </c>
      <c r="K91" s="32">
        <f t="shared" ref="K91:K95" si="6">I91/J91</f>
        <v>13.285714285714286</v>
      </c>
      <c r="L91" s="30"/>
    </row>
    <row r="92" spans="1:13" s="8" customFormat="1" ht="15" customHeight="1" x14ac:dyDescent="0.25">
      <c r="A92" s="55" t="s">
        <v>55</v>
      </c>
      <c r="B92" s="55"/>
      <c r="C92" s="55"/>
      <c r="D92" s="55"/>
      <c r="E92" s="55"/>
      <c r="F92" s="7" t="s">
        <v>17</v>
      </c>
      <c r="G92" s="7">
        <v>773.4</v>
      </c>
      <c r="H92" s="7"/>
      <c r="I92" s="7">
        <f>9280.8*1%</f>
        <v>92.807999999999993</v>
      </c>
      <c r="J92" s="7">
        <f>J91</f>
        <v>56</v>
      </c>
      <c r="K92" s="32">
        <f t="shared" si="6"/>
        <v>1.6572857142857143</v>
      </c>
      <c r="L92" s="30"/>
    </row>
    <row r="93" spans="1:13" s="8" customFormat="1" ht="28.5" customHeight="1" x14ac:dyDescent="0.25">
      <c r="A93" s="55" t="s">
        <v>113</v>
      </c>
      <c r="B93" s="55"/>
      <c r="C93" s="55"/>
      <c r="D93" s="55"/>
      <c r="E93" s="55"/>
      <c r="F93" s="7" t="s">
        <v>17</v>
      </c>
      <c r="G93" s="7">
        <v>2000</v>
      </c>
      <c r="H93" s="7"/>
      <c r="I93" s="7">
        <f>24000*1%</f>
        <v>240</v>
      </c>
      <c r="J93" s="7">
        <f>J92</f>
        <v>56</v>
      </c>
      <c r="K93" s="32">
        <f t="shared" si="6"/>
        <v>4.2857142857142856</v>
      </c>
      <c r="L93" s="30"/>
    </row>
    <row r="94" spans="1:13" s="8" customFormat="1" ht="16.5" customHeight="1" x14ac:dyDescent="0.25">
      <c r="A94" s="55" t="s">
        <v>100</v>
      </c>
      <c r="B94" s="55"/>
      <c r="C94" s="55"/>
      <c r="D94" s="55"/>
      <c r="E94" s="55"/>
      <c r="F94" s="7" t="s">
        <v>17</v>
      </c>
      <c r="G94" s="7">
        <v>2100</v>
      </c>
      <c r="H94" s="7"/>
      <c r="I94" s="7">
        <f>25200*1%</f>
        <v>252</v>
      </c>
      <c r="J94" s="7">
        <f>J92</f>
        <v>56</v>
      </c>
      <c r="K94" s="32">
        <f t="shared" si="6"/>
        <v>4.5</v>
      </c>
      <c r="L94" s="30"/>
    </row>
    <row r="95" spans="1:13" s="8" customFormat="1" ht="15" customHeight="1" x14ac:dyDescent="0.25">
      <c r="A95" s="55" t="s">
        <v>114</v>
      </c>
      <c r="B95" s="55"/>
      <c r="C95" s="55"/>
      <c r="D95" s="55"/>
      <c r="E95" s="55"/>
      <c r="F95" s="7" t="s">
        <v>17</v>
      </c>
      <c r="G95" s="7"/>
      <c r="H95" s="7"/>
      <c r="I95" s="7">
        <f>395418*1%</f>
        <v>3954.1800000000003</v>
      </c>
      <c r="J95" s="7">
        <f>J92</f>
        <v>56</v>
      </c>
      <c r="K95" s="32">
        <f t="shared" si="6"/>
        <v>70.610357142857154</v>
      </c>
      <c r="L95" s="30"/>
    </row>
    <row r="96" spans="1:13" ht="18.75" customHeight="1" x14ac:dyDescent="0.25">
      <c r="A96" s="56" t="s">
        <v>18</v>
      </c>
      <c r="B96" s="57"/>
      <c r="C96" s="57"/>
      <c r="D96" s="57"/>
      <c r="E96" s="57"/>
      <c r="F96" s="57"/>
      <c r="G96" s="57"/>
      <c r="H96" s="60"/>
      <c r="I96" s="2">
        <f>SUM(I91:I95)</f>
        <v>5282.9880000000003</v>
      </c>
      <c r="J96" s="2">
        <v>56</v>
      </c>
      <c r="K96" s="4">
        <f>SUM(K91:K95)</f>
        <v>94.339071428571444</v>
      </c>
      <c r="L96" s="30"/>
      <c r="M96" s="8"/>
    </row>
    <row r="97" spans="1:13" s="8" customFormat="1" ht="12.75" customHeight="1" x14ac:dyDescent="0.25"/>
    <row r="98" spans="1:13" s="8" customFormat="1" x14ac:dyDescent="0.25">
      <c r="A98" s="61" t="s">
        <v>74</v>
      </c>
      <c r="B98" s="61"/>
      <c r="C98" s="61"/>
      <c r="D98" s="61"/>
      <c r="E98" s="61"/>
      <c r="F98" s="61"/>
      <c r="G98" s="61"/>
      <c r="H98" s="61"/>
      <c r="I98" s="61"/>
      <c r="J98" s="61"/>
      <c r="K98" s="61"/>
      <c r="L98" s="61"/>
    </row>
    <row r="99" spans="1:13" s="8" customFormat="1" ht="60" customHeight="1" x14ac:dyDescent="0.25">
      <c r="A99" s="62" t="s">
        <v>19</v>
      </c>
      <c r="B99" s="63"/>
      <c r="C99" s="63"/>
      <c r="D99" s="63"/>
      <c r="E99" s="64"/>
      <c r="F99" s="23" t="s">
        <v>7</v>
      </c>
      <c r="G99" s="23" t="s">
        <v>65</v>
      </c>
      <c r="H99" s="23" t="s">
        <v>64</v>
      </c>
      <c r="I99" s="23" t="s">
        <v>73</v>
      </c>
      <c r="J99" s="23" t="s">
        <v>68</v>
      </c>
      <c r="K99" s="24" t="s">
        <v>69</v>
      </c>
      <c r="L99" s="33"/>
    </row>
    <row r="100" spans="1:13" s="8" customFormat="1" ht="34.5" customHeight="1" x14ac:dyDescent="0.25">
      <c r="A100" s="71" t="s">
        <v>115</v>
      </c>
      <c r="B100" s="72"/>
      <c r="C100" s="72"/>
      <c r="D100" s="72"/>
      <c r="E100" s="73"/>
      <c r="F100" s="7" t="s">
        <v>17</v>
      </c>
      <c r="G100" s="7">
        <v>11</v>
      </c>
      <c r="H100" s="7">
        <v>4116.8999999999996</v>
      </c>
      <c r="I100" s="7">
        <f>45285.9*1%</f>
        <v>452.85900000000004</v>
      </c>
      <c r="J100" s="7">
        <f>J95</f>
        <v>56</v>
      </c>
      <c r="K100" s="7">
        <f t="shared" ref="K100:K101" si="7">I100/J100</f>
        <v>8.0867678571428581</v>
      </c>
      <c r="L100" s="34"/>
    </row>
    <row r="101" spans="1:13" s="8" customFormat="1" ht="18.75" customHeight="1" x14ac:dyDescent="0.25">
      <c r="A101" s="65" t="s">
        <v>116</v>
      </c>
      <c r="B101" s="68"/>
      <c r="C101" s="68"/>
      <c r="D101" s="68"/>
      <c r="E101" s="69"/>
      <c r="F101" s="7" t="s">
        <v>17</v>
      </c>
      <c r="G101" s="7"/>
      <c r="H101" s="7"/>
      <c r="I101" s="7">
        <f>12000*1%</f>
        <v>120</v>
      </c>
      <c r="J101" s="7">
        <v>56</v>
      </c>
      <c r="K101" s="7">
        <f t="shared" si="7"/>
        <v>2.1428571428571428</v>
      </c>
      <c r="L101" s="34"/>
    </row>
    <row r="102" spans="1:13" s="8" customFormat="1" ht="18.75" customHeight="1" x14ac:dyDescent="0.25">
      <c r="A102" s="65" t="s">
        <v>117</v>
      </c>
      <c r="B102" s="68"/>
      <c r="C102" s="68"/>
      <c r="D102" s="68"/>
      <c r="E102" s="69"/>
      <c r="F102" s="7" t="s">
        <v>17</v>
      </c>
      <c r="G102" s="7"/>
      <c r="H102" s="7"/>
      <c r="I102" s="7">
        <f>10500*1%</f>
        <v>105</v>
      </c>
      <c r="J102" s="7">
        <f>J94</f>
        <v>56</v>
      </c>
      <c r="K102" s="7">
        <f>I102/J102</f>
        <v>1.875</v>
      </c>
      <c r="L102" s="34"/>
    </row>
    <row r="103" spans="1:13" s="8" customFormat="1" x14ac:dyDescent="0.25">
      <c r="A103" s="56" t="s">
        <v>75</v>
      </c>
      <c r="B103" s="57"/>
      <c r="C103" s="57"/>
      <c r="D103" s="57"/>
      <c r="E103" s="57"/>
      <c r="F103" s="57"/>
      <c r="G103" s="57"/>
      <c r="H103" s="60"/>
      <c r="I103" s="5">
        <f>SUM(I100:I102)</f>
        <v>677.85900000000004</v>
      </c>
      <c r="J103" s="5">
        <v>56</v>
      </c>
      <c r="K103" s="5">
        <f>SUM(K100:K102)</f>
        <v>12.104625</v>
      </c>
      <c r="L103" s="34"/>
    </row>
    <row r="104" spans="1:13" s="8" customFormat="1" x14ac:dyDescent="0.25">
      <c r="A104" s="35"/>
      <c r="B104" s="35"/>
      <c r="C104" s="35"/>
      <c r="D104" s="35"/>
      <c r="E104" s="35"/>
      <c r="F104" s="35"/>
      <c r="G104" s="35"/>
      <c r="H104" s="35"/>
      <c r="I104" s="6"/>
      <c r="J104" s="6"/>
      <c r="K104" s="6"/>
      <c r="L104" s="34"/>
    </row>
    <row r="105" spans="1:13" s="8" customFormat="1" x14ac:dyDescent="0.25">
      <c r="A105" s="61" t="s">
        <v>76</v>
      </c>
      <c r="B105" s="61"/>
      <c r="C105" s="61"/>
      <c r="D105" s="61"/>
      <c r="E105" s="61"/>
      <c r="F105" s="61"/>
      <c r="G105" s="61"/>
      <c r="H105" s="61"/>
      <c r="I105" s="61"/>
      <c r="J105" s="61"/>
      <c r="K105" s="61"/>
      <c r="L105" s="61"/>
    </row>
    <row r="106" spans="1:13" s="8" customFormat="1" ht="55.5" customHeight="1" x14ac:dyDescent="0.25">
      <c r="A106" s="62" t="s">
        <v>20</v>
      </c>
      <c r="B106" s="63"/>
      <c r="C106" s="63"/>
      <c r="D106" s="63"/>
      <c r="E106" s="64"/>
      <c r="F106" s="23" t="s">
        <v>7</v>
      </c>
      <c r="G106" s="23" t="s">
        <v>65</v>
      </c>
      <c r="H106" s="23" t="s">
        <v>64</v>
      </c>
      <c r="I106" s="23" t="s">
        <v>73</v>
      </c>
      <c r="J106" s="36" t="s">
        <v>68</v>
      </c>
      <c r="K106" s="24" t="s">
        <v>69</v>
      </c>
      <c r="L106" s="33"/>
      <c r="M106" s="33"/>
    </row>
    <row r="107" spans="1:13" s="8" customFormat="1" ht="23.25" customHeight="1" x14ac:dyDescent="0.25">
      <c r="A107" s="65" t="s">
        <v>118</v>
      </c>
      <c r="B107" s="68"/>
      <c r="C107" s="68"/>
      <c r="D107" s="68"/>
      <c r="E107" s="69"/>
      <c r="F107" s="37" t="s">
        <v>121</v>
      </c>
      <c r="G107" s="7">
        <v>4</v>
      </c>
      <c r="H107" s="7">
        <v>563.75</v>
      </c>
      <c r="I107" s="7">
        <f>27059.76*1%</f>
        <v>270.5976</v>
      </c>
      <c r="J107" s="32">
        <v>56</v>
      </c>
      <c r="K107" s="7">
        <f>I107/J107</f>
        <v>4.8320999999999996</v>
      </c>
      <c r="L107" s="34"/>
      <c r="M107" s="34"/>
    </row>
    <row r="108" spans="1:13" s="8" customFormat="1" ht="26.25" customHeight="1" x14ac:dyDescent="0.25">
      <c r="A108" s="65" t="s">
        <v>119</v>
      </c>
      <c r="B108" s="66"/>
      <c r="C108" s="66"/>
      <c r="D108" s="66"/>
      <c r="E108" s="67"/>
      <c r="F108" s="37" t="s">
        <v>121</v>
      </c>
      <c r="G108" s="7">
        <v>1</v>
      </c>
      <c r="H108" s="7">
        <v>80.540000000000006</v>
      </c>
      <c r="I108" s="7">
        <f>966.42*1%</f>
        <v>9.6641999999999992</v>
      </c>
      <c r="J108" s="32">
        <v>56</v>
      </c>
      <c r="K108" s="7">
        <f t="shared" ref="K108:K109" si="8">I108/J108</f>
        <v>0.17257499999999998</v>
      </c>
      <c r="L108" s="34"/>
      <c r="M108" s="34"/>
    </row>
    <row r="109" spans="1:13" s="8" customFormat="1" ht="28.5" customHeight="1" x14ac:dyDescent="0.25">
      <c r="A109" s="65" t="s">
        <v>120</v>
      </c>
      <c r="B109" s="66"/>
      <c r="C109" s="66"/>
      <c r="D109" s="66"/>
      <c r="E109" s="67"/>
      <c r="F109" s="37" t="s">
        <v>121</v>
      </c>
      <c r="G109" s="7">
        <v>1</v>
      </c>
      <c r="H109" s="7"/>
      <c r="I109" s="7">
        <f>6481.44*1%</f>
        <v>64.814399999999992</v>
      </c>
      <c r="J109" s="32">
        <v>56</v>
      </c>
      <c r="K109" s="7">
        <f t="shared" si="8"/>
        <v>1.1573999999999998</v>
      </c>
      <c r="L109" s="34"/>
      <c r="M109" s="34"/>
    </row>
    <row r="110" spans="1:13" s="8" customFormat="1" ht="30.75" customHeight="1" x14ac:dyDescent="0.25">
      <c r="A110" s="65" t="s">
        <v>77</v>
      </c>
      <c r="B110" s="68"/>
      <c r="C110" s="68"/>
      <c r="D110" s="68"/>
      <c r="E110" s="69"/>
      <c r="F110" s="37" t="s">
        <v>121</v>
      </c>
      <c r="G110" s="7">
        <v>1</v>
      </c>
      <c r="H110" s="7">
        <v>1901.87</v>
      </c>
      <c r="I110" s="7">
        <f>22822.38*1%</f>
        <v>228.22380000000001</v>
      </c>
      <c r="J110" s="32">
        <f>J107</f>
        <v>56</v>
      </c>
      <c r="K110" s="7">
        <f>I110/J110</f>
        <v>4.0754250000000001</v>
      </c>
      <c r="L110" s="34"/>
      <c r="M110" s="34"/>
    </row>
    <row r="111" spans="1:13" s="8" customFormat="1" x14ac:dyDescent="0.25">
      <c r="A111" s="56" t="s">
        <v>21</v>
      </c>
      <c r="B111" s="57"/>
      <c r="C111" s="57"/>
      <c r="D111" s="57"/>
      <c r="E111" s="57"/>
      <c r="F111" s="57"/>
      <c r="G111" s="57"/>
      <c r="H111" s="60"/>
      <c r="I111" s="5">
        <f t="shared" ref="I111" si="9">SUM(I107:I110)</f>
        <v>573.29999999999995</v>
      </c>
      <c r="J111" s="5">
        <v>56</v>
      </c>
      <c r="K111" s="5">
        <f>SUM(K107:K110)</f>
        <v>10.237500000000001</v>
      </c>
      <c r="L111" s="6"/>
      <c r="M111" s="34"/>
    </row>
    <row r="112" spans="1:13" s="8" customFormat="1" x14ac:dyDescent="0.25">
      <c r="A112" s="35"/>
      <c r="B112" s="35"/>
      <c r="C112" s="35"/>
      <c r="D112" s="35"/>
      <c r="E112" s="35"/>
      <c r="F112" s="35"/>
      <c r="G112" s="35"/>
      <c r="H112" s="35"/>
      <c r="I112" s="6"/>
      <c r="J112" s="6"/>
      <c r="K112" s="6"/>
      <c r="L112" s="6"/>
      <c r="M112" s="34"/>
    </row>
    <row r="113" spans="1:13" s="8" customFormat="1" x14ac:dyDescent="0.25">
      <c r="A113" s="61" t="s">
        <v>37</v>
      </c>
      <c r="B113" s="61"/>
      <c r="C113" s="61"/>
      <c r="D113" s="61"/>
      <c r="E113" s="61"/>
      <c r="F113" s="61"/>
      <c r="G113" s="61"/>
      <c r="H113" s="61"/>
      <c r="I113" s="61"/>
      <c r="J113" s="61"/>
      <c r="K113" s="61"/>
      <c r="L113" s="61"/>
    </row>
    <row r="114" spans="1:13" s="8" customFormat="1" ht="75" x14ac:dyDescent="0.25">
      <c r="A114" s="62" t="s">
        <v>5</v>
      </c>
      <c r="B114" s="63"/>
      <c r="C114" s="63"/>
      <c r="D114" s="63"/>
      <c r="E114" s="64"/>
      <c r="F114" s="23" t="s">
        <v>6</v>
      </c>
      <c r="G114" s="53" t="s">
        <v>1</v>
      </c>
      <c r="H114" s="23" t="s">
        <v>66</v>
      </c>
      <c r="I114" s="23" t="s">
        <v>67</v>
      </c>
      <c r="J114" s="23" t="s">
        <v>68</v>
      </c>
      <c r="K114" s="24" t="s">
        <v>69</v>
      </c>
      <c r="L114" s="33"/>
    </row>
    <row r="115" spans="1:13" s="8" customFormat="1" ht="15" hidden="1" customHeight="1" x14ac:dyDescent="0.25">
      <c r="A115" s="55" t="s">
        <v>3</v>
      </c>
      <c r="B115" s="55"/>
      <c r="C115" s="55"/>
      <c r="D115" s="55"/>
      <c r="E115" s="55"/>
      <c r="F115" s="38">
        <f>'Услуга №1'!F87</f>
        <v>16626</v>
      </c>
      <c r="G115" s="7">
        <v>0.01</v>
      </c>
      <c r="H115" s="3">
        <f>F115*G115*12</f>
        <v>1995.12</v>
      </c>
      <c r="I115" s="7">
        <f>H115*1.302</f>
        <v>2597.64624</v>
      </c>
      <c r="J115" s="7">
        <v>56</v>
      </c>
      <c r="K115" s="7">
        <f>I115/J115</f>
        <v>46.386540000000004</v>
      </c>
      <c r="L115" s="34"/>
    </row>
    <row r="116" spans="1:13" ht="33" customHeight="1" x14ac:dyDescent="0.25">
      <c r="A116" s="89" t="s">
        <v>22</v>
      </c>
      <c r="B116" s="90"/>
      <c r="C116" s="90"/>
      <c r="D116" s="90"/>
      <c r="E116" s="91"/>
      <c r="F116" s="2">
        <v>26601.599999999999</v>
      </c>
      <c r="G116" s="2">
        <f>SUM(G115)</f>
        <v>0.01</v>
      </c>
      <c r="H116" s="2">
        <f>F116*G116*12</f>
        <v>3192.1919999999996</v>
      </c>
      <c r="I116" s="2">
        <f>H116*1.302</f>
        <v>4156.2339839999995</v>
      </c>
      <c r="J116" s="2">
        <v>56</v>
      </c>
      <c r="K116" s="2">
        <f>I116/J115</f>
        <v>74.218463999999997</v>
      </c>
      <c r="L116" s="54"/>
      <c r="M116" s="8"/>
    </row>
    <row r="117" spans="1:13" s="8" customFormat="1" ht="12" customHeight="1" x14ac:dyDescent="0.25">
      <c r="F117" s="42"/>
      <c r="G117" s="42"/>
      <c r="H117" s="42"/>
      <c r="I117" s="42"/>
      <c r="J117" s="42"/>
      <c r="K117" s="42"/>
      <c r="L117" s="42"/>
    </row>
    <row r="118" spans="1:13" x14ac:dyDescent="0.25">
      <c r="A118" s="58" t="s">
        <v>78</v>
      </c>
      <c r="B118" s="58"/>
      <c r="C118" s="58"/>
      <c r="D118" s="58"/>
      <c r="E118" s="58"/>
      <c r="F118" s="58"/>
      <c r="G118" s="58"/>
      <c r="H118" s="58"/>
      <c r="I118" s="58"/>
      <c r="J118" s="58"/>
      <c r="K118" s="58"/>
      <c r="L118" s="59"/>
      <c r="M118" s="8"/>
    </row>
    <row r="119" spans="1:13" ht="44.25" customHeight="1" x14ac:dyDescent="0.25">
      <c r="A119" s="79" t="s">
        <v>54</v>
      </c>
      <c r="B119" s="79"/>
      <c r="C119" s="79"/>
      <c r="D119" s="79"/>
      <c r="E119" s="79"/>
      <c r="F119" s="23" t="s">
        <v>7</v>
      </c>
      <c r="G119" s="23" t="s">
        <v>65</v>
      </c>
      <c r="H119" s="23" t="s">
        <v>64</v>
      </c>
      <c r="I119" s="23" t="s">
        <v>73</v>
      </c>
      <c r="J119" s="23" t="s">
        <v>68</v>
      </c>
      <c r="K119" s="27" t="s">
        <v>69</v>
      </c>
      <c r="L119" s="28"/>
      <c r="M119" s="8"/>
    </row>
    <row r="120" spans="1:13" ht="23.25" customHeight="1" x14ac:dyDescent="0.25">
      <c r="A120" s="65" t="s">
        <v>122</v>
      </c>
      <c r="B120" s="68"/>
      <c r="C120" s="68"/>
      <c r="D120" s="68"/>
      <c r="E120" s="69"/>
      <c r="F120" s="23"/>
      <c r="G120" s="43"/>
      <c r="H120" s="43"/>
      <c r="I120" s="43">
        <f>124060*1%</f>
        <v>1240.6000000000001</v>
      </c>
      <c r="J120" s="43">
        <v>56</v>
      </c>
      <c r="K120" s="32">
        <f>I120/J120</f>
        <v>22.153571428571432</v>
      </c>
      <c r="L120" s="28"/>
      <c r="M120" s="8"/>
    </row>
    <row r="121" spans="1:13" ht="30.75" customHeight="1" x14ac:dyDescent="0.25">
      <c r="A121" s="71" t="s">
        <v>123</v>
      </c>
      <c r="B121" s="72"/>
      <c r="C121" s="72"/>
      <c r="D121" s="72"/>
      <c r="E121" s="73"/>
      <c r="F121" s="23"/>
      <c r="G121" s="43"/>
      <c r="H121" s="43"/>
      <c r="I121" s="43">
        <f>200000*1%</f>
        <v>2000</v>
      </c>
      <c r="J121" s="43">
        <v>56</v>
      </c>
      <c r="K121" s="32">
        <f t="shared" ref="K121" si="10">I121/J121</f>
        <v>35.714285714285715</v>
      </c>
      <c r="L121" s="28"/>
      <c r="M121" s="8"/>
    </row>
    <row r="122" spans="1:13" x14ac:dyDescent="0.25">
      <c r="A122" s="56" t="s">
        <v>79</v>
      </c>
      <c r="B122" s="57"/>
      <c r="C122" s="57"/>
      <c r="D122" s="57"/>
      <c r="E122" s="57"/>
      <c r="F122" s="57"/>
      <c r="G122" s="57"/>
      <c r="H122" s="57"/>
      <c r="I122" s="5">
        <f>SUM(I120:I121)</f>
        <v>3240.6000000000004</v>
      </c>
      <c r="J122" s="5">
        <v>56</v>
      </c>
      <c r="K122" s="5">
        <f>SUM(K120:K121)</f>
        <v>57.867857142857147</v>
      </c>
      <c r="L122" s="30"/>
      <c r="M122" s="8"/>
    </row>
    <row r="123" spans="1:13" x14ac:dyDescent="0.25">
      <c r="A123" s="44"/>
      <c r="B123" s="44"/>
      <c r="C123" s="44"/>
      <c r="D123" s="44"/>
      <c r="E123" s="44"/>
      <c r="F123" s="44"/>
      <c r="G123" s="44"/>
      <c r="H123" s="44"/>
      <c r="I123" s="15"/>
      <c r="J123" s="15"/>
      <c r="K123" s="15"/>
      <c r="L123" s="34"/>
      <c r="M123" s="8"/>
    </row>
    <row r="124" spans="1:13" x14ac:dyDescent="0.25">
      <c r="A124" s="59" t="s">
        <v>124</v>
      </c>
      <c r="B124" s="59"/>
      <c r="C124" s="59"/>
      <c r="D124" s="59"/>
      <c r="E124" s="59"/>
      <c r="F124" s="59"/>
      <c r="G124" s="59"/>
      <c r="H124" s="59"/>
      <c r="I124" s="59"/>
      <c r="J124" s="59"/>
      <c r="K124" s="59"/>
      <c r="L124" s="59"/>
      <c r="M124" s="8"/>
    </row>
    <row r="125" spans="1:13" ht="44.25" customHeight="1" x14ac:dyDescent="0.25">
      <c r="A125" s="79" t="s">
        <v>54</v>
      </c>
      <c r="B125" s="79"/>
      <c r="C125" s="79"/>
      <c r="D125" s="79"/>
      <c r="E125" s="79"/>
      <c r="F125" s="23" t="s">
        <v>7</v>
      </c>
      <c r="G125" s="23" t="s">
        <v>65</v>
      </c>
      <c r="H125" s="23" t="s">
        <v>64</v>
      </c>
      <c r="I125" s="23" t="s">
        <v>73</v>
      </c>
      <c r="J125" s="23" t="s">
        <v>68</v>
      </c>
      <c r="K125" s="24" t="s">
        <v>69</v>
      </c>
      <c r="L125" s="28"/>
      <c r="M125" s="8"/>
    </row>
    <row r="126" spans="1:13" ht="23.25" customHeight="1" x14ac:dyDescent="0.25">
      <c r="A126" s="65" t="s">
        <v>125</v>
      </c>
      <c r="B126" s="68"/>
      <c r="C126" s="68"/>
      <c r="D126" s="68"/>
      <c r="E126" s="69"/>
      <c r="F126" s="23"/>
      <c r="G126" s="43"/>
      <c r="H126" s="43"/>
      <c r="I126" s="43">
        <f>138850*1%</f>
        <v>1388.5</v>
      </c>
      <c r="J126" s="43">
        <v>56</v>
      </c>
      <c r="K126" s="32">
        <f>I126/J126</f>
        <v>24.794642857142858</v>
      </c>
      <c r="L126" s="28"/>
      <c r="M126" s="8"/>
    </row>
    <row r="127" spans="1:13" x14ac:dyDescent="0.25">
      <c r="A127" s="56" t="s">
        <v>126</v>
      </c>
      <c r="B127" s="57"/>
      <c r="C127" s="57"/>
      <c r="D127" s="57"/>
      <c r="E127" s="57"/>
      <c r="F127" s="57"/>
      <c r="G127" s="57"/>
      <c r="H127" s="57"/>
      <c r="I127" s="5">
        <f>SUM(I126:I126)</f>
        <v>1388.5</v>
      </c>
      <c r="J127" s="5">
        <v>56</v>
      </c>
      <c r="K127" s="5">
        <f>SUM(K126:K126)</f>
        <v>24.794642857142858</v>
      </c>
      <c r="L127" s="30"/>
      <c r="M127" s="8"/>
    </row>
    <row r="128" spans="1:13" x14ac:dyDescent="0.25">
      <c r="A128" s="44"/>
      <c r="B128" s="44"/>
      <c r="C128" s="44"/>
      <c r="D128" s="44"/>
      <c r="E128" s="44"/>
      <c r="F128" s="44"/>
      <c r="G128" s="44"/>
      <c r="H128" s="44"/>
      <c r="I128" s="15"/>
      <c r="J128" s="15"/>
      <c r="K128" s="15"/>
      <c r="L128" s="34"/>
      <c r="M128" s="8"/>
    </row>
    <row r="129" spans="1:12" s="8" customFormat="1" ht="12.75" customHeight="1" x14ac:dyDescent="0.25">
      <c r="A129" s="58" t="s">
        <v>23</v>
      </c>
      <c r="B129" s="58"/>
      <c r="C129" s="58"/>
      <c r="D129" s="58"/>
      <c r="E129" s="58"/>
      <c r="F129" s="58"/>
      <c r="G129" s="58"/>
      <c r="H129" s="58"/>
      <c r="I129" s="58"/>
      <c r="J129" s="58"/>
      <c r="K129" s="58"/>
      <c r="L129" s="58"/>
    </row>
    <row r="130" spans="1:12" s="8" customFormat="1" ht="15" customHeight="1" x14ac:dyDescent="0.25">
      <c r="A130" s="80" t="s">
        <v>24</v>
      </c>
      <c r="B130" s="80"/>
      <c r="C130" s="80"/>
      <c r="D130" s="62" t="s">
        <v>25</v>
      </c>
      <c r="E130" s="63"/>
      <c r="F130" s="63"/>
      <c r="G130" s="63"/>
      <c r="H130" s="63"/>
      <c r="I130" s="63"/>
      <c r="J130" s="64"/>
      <c r="K130" s="80" t="s">
        <v>36</v>
      </c>
      <c r="L130" s="80"/>
    </row>
    <row r="131" spans="1:12" s="8" customFormat="1" ht="30" x14ac:dyDescent="0.25">
      <c r="A131" s="7" t="s">
        <v>26</v>
      </c>
      <c r="B131" s="25" t="s">
        <v>27</v>
      </c>
      <c r="C131" s="7" t="s">
        <v>28</v>
      </c>
      <c r="D131" s="7" t="s">
        <v>29</v>
      </c>
      <c r="E131" s="7" t="s">
        <v>30</v>
      </c>
      <c r="F131" s="7" t="s">
        <v>31</v>
      </c>
      <c r="G131" s="7" t="s">
        <v>32</v>
      </c>
      <c r="H131" s="7" t="s">
        <v>33</v>
      </c>
      <c r="I131" s="7" t="s">
        <v>34</v>
      </c>
      <c r="J131" s="7" t="s">
        <v>35</v>
      </c>
      <c r="K131" s="80"/>
      <c r="L131" s="80"/>
    </row>
    <row r="132" spans="1:12" s="8" customFormat="1" x14ac:dyDescent="0.25">
      <c r="A132" s="7">
        <f>K78</f>
        <v>2802.9437865000004</v>
      </c>
      <c r="B132" s="7"/>
      <c r="C132" s="7"/>
      <c r="D132" s="7">
        <f>K87</f>
        <v>216.0447892857143</v>
      </c>
      <c r="E132" s="7">
        <f>K96</f>
        <v>94.339071428571444</v>
      </c>
      <c r="F132" s="7"/>
      <c r="G132" s="7">
        <f>K111</f>
        <v>10.237500000000001</v>
      </c>
      <c r="H132" s="7">
        <f>K103</f>
        <v>12.104625</v>
      </c>
      <c r="I132" s="7">
        <f>K116</f>
        <v>74.218463999999997</v>
      </c>
      <c r="J132" s="7">
        <f>K122+K127</f>
        <v>82.662500000000009</v>
      </c>
      <c r="K132" s="77">
        <f>SUM(A132:J132)</f>
        <v>3292.5507362142862</v>
      </c>
      <c r="L132" s="78"/>
    </row>
    <row r="133" spans="1:12" s="8" customFormat="1" x14ac:dyDescent="0.25"/>
    <row r="134" spans="1:12" s="8" customFormat="1" ht="15.75" x14ac:dyDescent="0.25">
      <c r="A134" s="16" t="s">
        <v>60</v>
      </c>
      <c r="B134" s="16"/>
      <c r="C134" s="16"/>
      <c r="D134" s="16"/>
      <c r="E134" s="16"/>
      <c r="F134" s="16" t="s">
        <v>61</v>
      </c>
    </row>
    <row r="135" spans="1:12" s="8" customFormat="1" x14ac:dyDescent="0.25">
      <c r="I135" s="11">
        <f>I78+I87+I96+I103+I111+I122+I127+I116</f>
        <v>184382.84122800003</v>
      </c>
      <c r="K135" s="11">
        <f>K132*J126</f>
        <v>184382.84122800003</v>
      </c>
    </row>
    <row r="136" spans="1:12" s="8" customFormat="1" x14ac:dyDescent="0.25"/>
    <row r="137" spans="1:12" s="8" customFormat="1" x14ac:dyDescent="0.25"/>
    <row r="138" spans="1:12" s="8" customFormat="1" x14ac:dyDescent="0.25"/>
    <row r="139" spans="1:12" s="8" customFormat="1" x14ac:dyDescent="0.25">
      <c r="A139" s="45" t="s">
        <v>127</v>
      </c>
      <c r="B139" s="45"/>
      <c r="C139" s="45"/>
    </row>
    <row r="140" spans="1:12" s="8" customFormat="1" x14ac:dyDescent="0.25">
      <c r="A140" s="45" t="s">
        <v>62</v>
      </c>
      <c r="B140" s="45"/>
      <c r="C140" s="45"/>
    </row>
  </sheetData>
  <mergeCells count="141">
    <mergeCell ref="A19:E19"/>
    <mergeCell ref="G19:K19"/>
    <mergeCell ref="A20:E20"/>
    <mergeCell ref="G20:K20"/>
    <mergeCell ref="A21:E21"/>
    <mergeCell ref="G21:K21"/>
    <mergeCell ref="A25:E25"/>
    <mergeCell ref="G25:K25"/>
    <mergeCell ref="A26:E26"/>
    <mergeCell ref="G26:K26"/>
    <mergeCell ref="A4:F4"/>
    <mergeCell ref="A5:D5"/>
    <mergeCell ref="A17:E17"/>
    <mergeCell ref="G17:K17"/>
    <mergeCell ref="A18:E18"/>
    <mergeCell ref="A9:L9"/>
    <mergeCell ref="A8:L8"/>
    <mergeCell ref="A10:L10"/>
    <mergeCell ref="G18:K18"/>
    <mergeCell ref="A95:E95"/>
    <mergeCell ref="A82:E82"/>
    <mergeCell ref="A83:E83"/>
    <mergeCell ref="A84:E84"/>
    <mergeCell ref="A85:E85"/>
    <mergeCell ref="A89:L89"/>
    <mergeCell ref="A87:H87"/>
    <mergeCell ref="A62:E62"/>
    <mergeCell ref="A63:E63"/>
    <mergeCell ref="A64:E64"/>
    <mergeCell ref="A80:L80"/>
    <mergeCell ref="A81:E81"/>
    <mergeCell ref="A69:E69"/>
    <mergeCell ref="A70:E70"/>
    <mergeCell ref="A71:E71"/>
    <mergeCell ref="A72:E72"/>
    <mergeCell ref="A90:E90"/>
    <mergeCell ref="A91:E91"/>
    <mergeCell ref="A92:E92"/>
    <mergeCell ref="A93:E93"/>
    <mergeCell ref="A94:E94"/>
    <mergeCell ref="A73:E73"/>
    <mergeCell ref="A74:E74"/>
    <mergeCell ref="A86:E86"/>
    <mergeCell ref="K132:L132"/>
    <mergeCell ref="A118:L118"/>
    <mergeCell ref="A113:L113"/>
    <mergeCell ref="A114:E114"/>
    <mergeCell ref="A115:E115"/>
    <mergeCell ref="A129:L129"/>
    <mergeCell ref="A106:E106"/>
    <mergeCell ref="A107:E107"/>
    <mergeCell ref="A108:E108"/>
    <mergeCell ref="A109:E109"/>
    <mergeCell ref="A110:E110"/>
    <mergeCell ref="A111:H111"/>
    <mergeCell ref="A119:E119"/>
    <mergeCell ref="A120:E120"/>
    <mergeCell ref="A121:E121"/>
    <mergeCell ref="A122:H122"/>
    <mergeCell ref="A105:L105"/>
    <mergeCell ref="A100:E100"/>
    <mergeCell ref="A101:E101"/>
    <mergeCell ref="A98:L98"/>
    <mergeCell ref="A99:E99"/>
    <mergeCell ref="A96:H96"/>
    <mergeCell ref="A102:E102"/>
    <mergeCell ref="A103:H103"/>
    <mergeCell ref="A130:C130"/>
    <mergeCell ref="D130:J130"/>
    <mergeCell ref="K130:L131"/>
    <mergeCell ref="A124:L124"/>
    <mergeCell ref="A125:E125"/>
    <mergeCell ref="A126:E126"/>
    <mergeCell ref="A127:H127"/>
    <mergeCell ref="A116:E116"/>
    <mergeCell ref="G27:K27"/>
    <mergeCell ref="A22:E22"/>
    <mergeCell ref="G22:K22"/>
    <mergeCell ref="A23:E23"/>
    <mergeCell ref="G23:K23"/>
    <mergeCell ref="A24:E24"/>
    <mergeCell ref="G24:K24"/>
    <mergeCell ref="A31:E31"/>
    <mergeCell ref="G31:K31"/>
    <mergeCell ref="A27:E27"/>
    <mergeCell ref="A32:E32"/>
    <mergeCell ref="G32:K32"/>
    <mergeCell ref="A33:E33"/>
    <mergeCell ref="G33:K33"/>
    <mergeCell ref="A28:E28"/>
    <mergeCell ref="G28:K28"/>
    <mergeCell ref="A29:E29"/>
    <mergeCell ref="G29:K29"/>
    <mergeCell ref="A30:E30"/>
    <mergeCell ref="G30:K30"/>
    <mergeCell ref="A54:E54"/>
    <mergeCell ref="A34:E34"/>
    <mergeCell ref="G34:K34"/>
    <mergeCell ref="A35:E35"/>
    <mergeCell ref="G35:K35"/>
    <mergeCell ref="A39:E39"/>
    <mergeCell ref="G39:K39"/>
    <mergeCell ref="A36:E36"/>
    <mergeCell ref="G36:K36"/>
    <mergeCell ref="A37:E37"/>
    <mergeCell ref="G37:K37"/>
    <mergeCell ref="A38:E38"/>
    <mergeCell ref="G38:K38"/>
    <mergeCell ref="A40:E40"/>
    <mergeCell ref="G40:K40"/>
    <mergeCell ref="A41:E41"/>
    <mergeCell ref="G41:K41"/>
    <mergeCell ref="A42:E42"/>
    <mergeCell ref="G42:K42"/>
    <mergeCell ref="G46:K46"/>
    <mergeCell ref="A44:E44"/>
    <mergeCell ref="G44:K44"/>
    <mergeCell ref="A75:E75"/>
    <mergeCell ref="A76:E76"/>
    <mergeCell ref="A77:E77"/>
    <mergeCell ref="A43:E43"/>
    <mergeCell ref="G43:K43"/>
    <mergeCell ref="A65:E65"/>
    <mergeCell ref="A66:E66"/>
    <mergeCell ref="A67:E67"/>
    <mergeCell ref="A68:E68"/>
    <mergeCell ref="A56:E56"/>
    <mergeCell ref="A57:E57"/>
    <mergeCell ref="A58:E58"/>
    <mergeCell ref="A59:E59"/>
    <mergeCell ref="A60:E60"/>
    <mergeCell ref="A61:E61"/>
    <mergeCell ref="A49:E49"/>
    <mergeCell ref="A50:E50"/>
    <mergeCell ref="A51:E51"/>
    <mergeCell ref="A52:E52"/>
    <mergeCell ref="A53:E53"/>
    <mergeCell ref="A55:E55"/>
    <mergeCell ref="A45:E45"/>
    <mergeCell ref="G45:K45"/>
    <mergeCell ref="A46:E46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СВОД</vt:lpstr>
      <vt:lpstr>Услуга №1</vt:lpstr>
      <vt:lpstr>Услуга №2 </vt:lpstr>
      <vt:lpstr>Работа №1</vt:lpstr>
      <vt:lpstr>Работа №2</vt:lpstr>
      <vt:lpstr>Работа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2020-03-03T10:44:54Z</dcterms:modified>
</cp:coreProperties>
</file>