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465" windowWidth="15120" windowHeight="7650" firstSheet="1" activeTab="6"/>
  </bookViews>
  <sheets>
    <sheet name="СВОД" sheetId="10" r:id="rId1"/>
    <sheet name="Услуга №1 " sheetId="4" r:id="rId2"/>
    <sheet name="Услуга №2" sheetId="6" r:id="rId3"/>
    <sheet name="Работа №1." sheetId="8" r:id="rId4"/>
    <sheet name="Работа №2" sheetId="7" r:id="rId5"/>
    <sheet name="Работа №3" sheetId="12" r:id="rId6"/>
    <sheet name="Работа №4" sheetId="9" r:id="rId7"/>
  </sheets>
  <calcPr calcId="162913"/>
</workbook>
</file>

<file path=xl/calcChain.xml><?xml version="1.0" encoding="utf-8"?>
<calcChain xmlns="http://schemas.openxmlformats.org/spreadsheetml/2006/main">
  <c r="H84" i="6" l="1"/>
  <c r="I84" i="6"/>
  <c r="I88" i="4"/>
  <c r="I100" i="6" l="1"/>
  <c r="H53" i="7" l="1"/>
  <c r="K85" i="9"/>
  <c r="I85" i="9"/>
  <c r="H85" i="9"/>
  <c r="K83" i="12"/>
  <c r="I83" i="12"/>
  <c r="H83" i="12"/>
  <c r="K83" i="7"/>
  <c r="I83" i="7"/>
  <c r="H83" i="7"/>
  <c r="K83" i="8"/>
  <c r="I83" i="8"/>
  <c r="H83" i="8"/>
  <c r="K84" i="6"/>
  <c r="K84" i="4"/>
  <c r="K77" i="4"/>
  <c r="I84" i="4"/>
  <c r="H84" i="4"/>
  <c r="K54" i="4"/>
  <c r="H54" i="4"/>
  <c r="L17" i="7"/>
  <c r="F19" i="4"/>
  <c r="F18" i="4"/>
  <c r="I54" i="9" l="1"/>
  <c r="G85" i="9"/>
  <c r="H53" i="12"/>
  <c r="I53" i="12" s="1"/>
  <c r="G83" i="12"/>
  <c r="G83" i="7"/>
  <c r="I53" i="7"/>
  <c r="H53" i="8"/>
  <c r="I53" i="8" s="1"/>
  <c r="G83" i="8"/>
  <c r="G84" i="6"/>
  <c r="H53" i="6"/>
  <c r="I53" i="6" s="1"/>
  <c r="G84" i="4"/>
  <c r="H82" i="4" l="1"/>
  <c r="J113" i="9" l="1"/>
  <c r="J111" i="12"/>
  <c r="J111" i="7"/>
  <c r="J110" i="8"/>
  <c r="I106" i="9" l="1"/>
  <c r="I104" i="12"/>
  <c r="I104" i="7"/>
  <c r="I103" i="8"/>
  <c r="I105" i="6"/>
  <c r="I105" i="4"/>
  <c r="I101" i="9"/>
  <c r="I99" i="12"/>
  <c r="I99" i="7"/>
  <c r="I98" i="8"/>
  <c r="I100" i="4"/>
  <c r="I95" i="9"/>
  <c r="I93" i="12"/>
  <c r="I93" i="7"/>
  <c r="I93" i="8"/>
  <c r="I94" i="6"/>
  <c r="I94" i="4"/>
  <c r="I89" i="9"/>
  <c r="I87" i="12"/>
  <c r="I87" i="7"/>
  <c r="I87" i="8"/>
  <c r="I88" i="6"/>
  <c r="I74" i="7"/>
  <c r="I78" i="9"/>
  <c r="I77" i="9"/>
  <c r="I76" i="9"/>
  <c r="I76" i="12"/>
  <c r="I75" i="12"/>
  <c r="I74" i="12"/>
  <c r="I76" i="7"/>
  <c r="I75" i="7"/>
  <c r="I76" i="8"/>
  <c r="I75" i="8"/>
  <c r="I74" i="8"/>
  <c r="I77" i="6"/>
  <c r="I76" i="6"/>
  <c r="I75" i="6"/>
  <c r="I77" i="4"/>
  <c r="I76" i="4"/>
  <c r="I75" i="4"/>
  <c r="I71" i="9"/>
  <c r="I70" i="9"/>
  <c r="I69" i="9"/>
  <c r="I68" i="9"/>
  <c r="I69" i="12"/>
  <c r="I68" i="12"/>
  <c r="I67" i="12"/>
  <c r="I66" i="12"/>
  <c r="I69" i="7"/>
  <c r="I68" i="7"/>
  <c r="I67" i="7"/>
  <c r="I66" i="7"/>
  <c r="I70" i="8"/>
  <c r="I69" i="8"/>
  <c r="I68" i="8"/>
  <c r="I67" i="8"/>
  <c r="I66" i="8"/>
  <c r="I57" i="8"/>
  <c r="I70" i="6"/>
  <c r="I69" i="6"/>
  <c r="I68" i="6"/>
  <c r="I67" i="6"/>
  <c r="I71" i="4"/>
  <c r="I70" i="4"/>
  <c r="I69" i="4"/>
  <c r="I68" i="4"/>
  <c r="I67" i="4"/>
  <c r="I63" i="9"/>
  <c r="I62" i="9"/>
  <c r="I61" i="9"/>
  <c r="I60" i="9"/>
  <c r="I59" i="9"/>
  <c r="I61" i="12"/>
  <c r="I60" i="12"/>
  <c r="I59" i="12"/>
  <c r="I58" i="12"/>
  <c r="I57" i="12"/>
  <c r="I61" i="7"/>
  <c r="I60" i="7"/>
  <c r="I59" i="7"/>
  <c r="I58" i="7"/>
  <c r="I57" i="7"/>
  <c r="I61" i="8"/>
  <c r="I60" i="8"/>
  <c r="I59" i="8"/>
  <c r="I58" i="8"/>
  <c r="I62" i="6"/>
  <c r="I61" i="6"/>
  <c r="I60" i="6"/>
  <c r="I59" i="6"/>
  <c r="I58" i="6"/>
  <c r="I62" i="4"/>
  <c r="I61" i="4"/>
  <c r="I60" i="4"/>
  <c r="I59" i="4"/>
  <c r="I58" i="4"/>
  <c r="G54" i="9"/>
  <c r="G53" i="12"/>
  <c r="G53" i="7"/>
  <c r="G53" i="8"/>
  <c r="F34" i="8"/>
  <c r="F35" i="9"/>
  <c r="J66" i="12" l="1"/>
  <c r="J53" i="12"/>
  <c r="J57" i="12"/>
  <c r="J74" i="8"/>
  <c r="J66" i="8"/>
  <c r="J57" i="8"/>
  <c r="J75" i="6"/>
  <c r="J67" i="6"/>
  <c r="J58" i="6"/>
  <c r="J105" i="12"/>
  <c r="I105" i="12"/>
  <c r="K104" i="12"/>
  <c r="K105" i="12" s="1"/>
  <c r="I100" i="12"/>
  <c r="K99" i="12"/>
  <c r="K100" i="12" s="1"/>
  <c r="J94" i="12"/>
  <c r="I94" i="12"/>
  <c r="K93" i="12"/>
  <c r="K94" i="12" s="1"/>
  <c r="J88" i="12"/>
  <c r="I88" i="12"/>
  <c r="K87" i="12"/>
  <c r="K88" i="12" s="1"/>
  <c r="J83" i="12"/>
  <c r="J82" i="12"/>
  <c r="F82" i="12"/>
  <c r="H82" i="12" s="1"/>
  <c r="I82" i="12" s="1"/>
  <c r="F81" i="12"/>
  <c r="J77" i="12"/>
  <c r="I77" i="12"/>
  <c r="J76" i="12"/>
  <c r="K76" i="12" s="1"/>
  <c r="K75" i="12"/>
  <c r="K74" i="12"/>
  <c r="J70" i="12"/>
  <c r="I70" i="12"/>
  <c r="K69" i="12"/>
  <c r="K68" i="12"/>
  <c r="K67" i="12"/>
  <c r="K66" i="12"/>
  <c r="I62" i="12"/>
  <c r="J58" i="12"/>
  <c r="J60" i="12" s="1"/>
  <c r="K57" i="12"/>
  <c r="F52" i="12"/>
  <c r="H52" i="12" s="1"/>
  <c r="I52" i="12" s="1"/>
  <c r="K52" i="12" s="1"/>
  <c r="H51" i="12"/>
  <c r="I51" i="12" s="1"/>
  <c r="F51" i="12"/>
  <c r="F50" i="12"/>
  <c r="H50" i="12" s="1"/>
  <c r="I50" i="12" s="1"/>
  <c r="H49" i="12"/>
  <c r="I49" i="12" s="1"/>
  <c r="F49" i="12"/>
  <c r="F48" i="12"/>
  <c r="H48" i="12" s="1"/>
  <c r="I48" i="12" s="1"/>
  <c r="H47" i="12"/>
  <c r="I47" i="12" s="1"/>
  <c r="F47" i="12"/>
  <c r="F46" i="12"/>
  <c r="H46" i="12" s="1"/>
  <c r="I46" i="12" s="1"/>
  <c r="H45" i="12"/>
  <c r="I45" i="12" s="1"/>
  <c r="F45" i="12"/>
  <c r="F44" i="12"/>
  <c r="H44" i="12" s="1"/>
  <c r="I44" i="12" s="1"/>
  <c r="H43" i="12"/>
  <c r="I43" i="12" s="1"/>
  <c r="F43" i="12"/>
  <c r="F42" i="12"/>
  <c r="H42" i="12" s="1"/>
  <c r="I42" i="12" s="1"/>
  <c r="H41" i="12"/>
  <c r="I41" i="12" s="1"/>
  <c r="F41" i="12"/>
  <c r="F40" i="12"/>
  <c r="H40" i="12" s="1"/>
  <c r="I40" i="12" s="1"/>
  <c r="H39" i="12"/>
  <c r="I39" i="12" s="1"/>
  <c r="F39" i="12"/>
  <c r="J38" i="12"/>
  <c r="J40" i="12" s="1"/>
  <c r="F38" i="12"/>
  <c r="H38" i="12" s="1"/>
  <c r="I38" i="12" s="1"/>
  <c r="K38" i="12" s="1"/>
  <c r="L34" i="12"/>
  <c r="F34" i="12"/>
  <c r="H81" i="12" l="1"/>
  <c r="K82" i="12"/>
  <c r="K77" i="12"/>
  <c r="G111" i="12" s="1"/>
  <c r="K70" i="12"/>
  <c r="E111" i="12" s="1"/>
  <c r="K58" i="12"/>
  <c r="K40" i="12"/>
  <c r="J42" i="12"/>
  <c r="J43" i="12"/>
  <c r="K42" i="12"/>
  <c r="K43" i="12"/>
  <c r="K53" i="12"/>
  <c r="A111" i="12" s="1"/>
  <c r="J62" i="12"/>
  <c r="K60" i="12"/>
  <c r="K62" i="12"/>
  <c r="D111" i="12" s="1"/>
  <c r="J41" i="12"/>
  <c r="K41" i="12" s="1"/>
  <c r="J59" i="12"/>
  <c r="I81" i="12" l="1"/>
  <c r="J44" i="12"/>
  <c r="J45" i="12"/>
  <c r="K45" i="12" s="1"/>
  <c r="J61" i="12"/>
  <c r="K61" i="12" s="1"/>
  <c r="K59" i="12"/>
  <c r="J46" i="12"/>
  <c r="K46" i="12" s="1"/>
  <c r="J39" i="12"/>
  <c r="K39" i="12" s="1"/>
  <c r="J107" i="9"/>
  <c r="J102" i="9"/>
  <c r="J96" i="9"/>
  <c r="J90" i="9"/>
  <c r="J85" i="9"/>
  <c r="J79" i="9"/>
  <c r="J72" i="9"/>
  <c r="J99" i="8"/>
  <c r="J104" i="8"/>
  <c r="J94" i="8"/>
  <c r="J88" i="8"/>
  <c r="J83" i="8"/>
  <c r="J77" i="8"/>
  <c r="J105" i="7"/>
  <c r="J94" i="7"/>
  <c r="J88" i="7"/>
  <c r="J83" i="7"/>
  <c r="J77" i="7"/>
  <c r="J70" i="7"/>
  <c r="J106" i="6"/>
  <c r="J101" i="6"/>
  <c r="J95" i="6"/>
  <c r="J89" i="6"/>
  <c r="J84" i="6"/>
  <c r="J78" i="6"/>
  <c r="J71" i="6"/>
  <c r="J106" i="4"/>
  <c r="J101" i="4"/>
  <c r="J95" i="4"/>
  <c r="J89" i="4"/>
  <c r="J84" i="4"/>
  <c r="J78" i="4"/>
  <c r="J71" i="4"/>
  <c r="J63" i="4"/>
  <c r="J54" i="4"/>
  <c r="I114" i="12" l="1"/>
  <c r="K81" i="12"/>
  <c r="I111" i="12" s="1"/>
  <c r="K111" i="12" s="1"/>
  <c r="L114" i="12" s="1"/>
  <c r="J48" i="12"/>
  <c r="J47" i="12"/>
  <c r="K44" i="12"/>
  <c r="J49" i="12" l="1"/>
  <c r="K49" i="12" s="1"/>
  <c r="K47" i="12"/>
  <c r="J50" i="12"/>
  <c r="K48" i="12"/>
  <c r="F35" i="4"/>
  <c r="G54" i="4" s="1"/>
  <c r="I54" i="4" s="1"/>
  <c r="I107" i="9"/>
  <c r="K106" i="9"/>
  <c r="K107" i="9" s="1"/>
  <c r="I102" i="9"/>
  <c r="K101" i="9"/>
  <c r="K102" i="9" s="1"/>
  <c r="I104" i="8"/>
  <c r="K103" i="8"/>
  <c r="K104" i="8" s="1"/>
  <c r="I99" i="8"/>
  <c r="K98" i="8"/>
  <c r="K99" i="8" s="1"/>
  <c r="I105" i="7"/>
  <c r="K104" i="7"/>
  <c r="K105" i="7" s="1"/>
  <c r="I100" i="7"/>
  <c r="K99" i="7"/>
  <c r="K100" i="7" s="1"/>
  <c r="I106" i="6"/>
  <c r="K105" i="6"/>
  <c r="K106" i="6" s="1"/>
  <c r="I101" i="6"/>
  <c r="I115" i="6" s="1"/>
  <c r="K100" i="6"/>
  <c r="K101" i="6" s="1"/>
  <c r="K105" i="4"/>
  <c r="K106" i="4" s="1"/>
  <c r="K100" i="4"/>
  <c r="K101" i="4" s="1"/>
  <c r="I96" i="9"/>
  <c r="K95" i="9"/>
  <c r="K96" i="9" s="1"/>
  <c r="I94" i="8"/>
  <c r="K93" i="8"/>
  <c r="K94" i="8" s="1"/>
  <c r="I94" i="7"/>
  <c r="K93" i="7"/>
  <c r="K94" i="7" s="1"/>
  <c r="I95" i="6"/>
  <c r="K94" i="6"/>
  <c r="K95" i="6" s="1"/>
  <c r="I90" i="9"/>
  <c r="K89" i="9"/>
  <c r="K90" i="9" s="1"/>
  <c r="I88" i="8"/>
  <c r="K87" i="8"/>
  <c r="K88" i="8" s="1"/>
  <c r="I88" i="7"/>
  <c r="K87" i="7"/>
  <c r="K88" i="7" s="1"/>
  <c r="I89" i="6"/>
  <c r="K88" i="6"/>
  <c r="K89" i="6" s="1"/>
  <c r="K94" i="4"/>
  <c r="K95" i="4" s="1"/>
  <c r="I79" i="9"/>
  <c r="J78" i="9"/>
  <c r="K78" i="9" s="1"/>
  <c r="K77" i="9"/>
  <c r="K76" i="9"/>
  <c r="I77" i="8"/>
  <c r="J76" i="8"/>
  <c r="K76" i="8" s="1"/>
  <c r="K75" i="8"/>
  <c r="K74" i="8"/>
  <c r="I77" i="7"/>
  <c r="J76" i="7"/>
  <c r="K76" i="7" s="1"/>
  <c r="K75" i="7"/>
  <c r="K74" i="7"/>
  <c r="I78" i="6"/>
  <c r="K76" i="6"/>
  <c r="J77" i="6"/>
  <c r="K77" i="6" s="1"/>
  <c r="K76" i="4"/>
  <c r="I72" i="9"/>
  <c r="K71" i="9"/>
  <c r="K70" i="9"/>
  <c r="K69" i="9"/>
  <c r="K68" i="9"/>
  <c r="K69" i="8"/>
  <c r="K68" i="8"/>
  <c r="K67" i="8"/>
  <c r="K66" i="8"/>
  <c r="I70" i="7"/>
  <c r="K69" i="7"/>
  <c r="K68" i="7"/>
  <c r="K67" i="7"/>
  <c r="K66" i="7"/>
  <c r="I71" i="6"/>
  <c r="K70" i="6"/>
  <c r="K69" i="6"/>
  <c r="K68" i="6"/>
  <c r="K67" i="6"/>
  <c r="I64" i="9"/>
  <c r="J60" i="9"/>
  <c r="K60" i="9" s="1"/>
  <c r="K59" i="9"/>
  <c r="I62" i="8"/>
  <c r="J58" i="8"/>
  <c r="K58" i="8" s="1"/>
  <c r="K57" i="8"/>
  <c r="I62" i="7"/>
  <c r="J58" i="7"/>
  <c r="K58" i="7" s="1"/>
  <c r="K57" i="7"/>
  <c r="I63" i="6"/>
  <c r="K58" i="6"/>
  <c r="I63" i="4"/>
  <c r="J112" i="6" l="1"/>
  <c r="J51" i="12"/>
  <c r="K51" i="12" s="1"/>
  <c r="K50" i="12"/>
  <c r="K70" i="8"/>
  <c r="E110" i="8" s="1"/>
  <c r="I106" i="4"/>
  <c r="I101" i="4"/>
  <c r="I95" i="4"/>
  <c r="K79" i="9"/>
  <c r="G113" i="9" s="1"/>
  <c r="K77" i="8"/>
  <c r="G110" i="8" s="1"/>
  <c r="K77" i="7"/>
  <c r="G111" i="7" s="1"/>
  <c r="K75" i="6"/>
  <c r="K78" i="6" s="1"/>
  <c r="G112" i="6" s="1"/>
  <c r="K72" i="9"/>
  <c r="E113" i="9" s="1"/>
  <c r="K70" i="7"/>
  <c r="E111" i="7" s="1"/>
  <c r="K71" i="6"/>
  <c r="E112" i="6" s="1"/>
  <c r="J61" i="9"/>
  <c r="J62" i="9"/>
  <c r="J59" i="8"/>
  <c r="J60" i="8"/>
  <c r="J59" i="7"/>
  <c r="J60" i="7"/>
  <c r="J59" i="6"/>
  <c r="K60" i="7" l="1"/>
  <c r="J62" i="7"/>
  <c r="K62" i="7" s="1"/>
  <c r="D111" i="7" s="1"/>
  <c r="K60" i="8"/>
  <c r="J62" i="8"/>
  <c r="K62" i="8" s="1"/>
  <c r="D110" i="8" s="1"/>
  <c r="K62" i="9"/>
  <c r="J64" i="9"/>
  <c r="K64" i="9" s="1"/>
  <c r="D113" i="9" s="1"/>
  <c r="K61" i="9"/>
  <c r="J63" i="9"/>
  <c r="K63" i="9" s="1"/>
  <c r="K59" i="8"/>
  <c r="J61" i="8"/>
  <c r="K61" i="8" s="1"/>
  <c r="K59" i="7"/>
  <c r="J61" i="7"/>
  <c r="K61" i="7" s="1"/>
  <c r="K59" i="6"/>
  <c r="J61" i="6"/>
  <c r="J60" i="6"/>
  <c r="K61" i="6" l="1"/>
  <c r="J63" i="6"/>
  <c r="K63" i="6" s="1"/>
  <c r="D112" i="6" s="1"/>
  <c r="K60" i="6"/>
  <c r="J62" i="6"/>
  <c r="K62" i="6" s="1"/>
  <c r="L34" i="8" l="1"/>
  <c r="F84" i="9" l="1"/>
  <c r="F83" i="9"/>
  <c r="F82" i="8"/>
  <c r="F81" i="8"/>
  <c r="F82" i="7"/>
  <c r="F81" i="7"/>
  <c r="F83" i="6"/>
  <c r="F82" i="6"/>
  <c r="F52" i="9"/>
  <c r="F53" i="9"/>
  <c r="F51" i="9"/>
  <c r="F51" i="8"/>
  <c r="F52" i="8"/>
  <c r="F50" i="8"/>
  <c r="F51" i="7"/>
  <c r="F52" i="7"/>
  <c r="F50" i="7"/>
  <c r="F51" i="6"/>
  <c r="F52" i="6"/>
  <c r="F50" i="6"/>
  <c r="F49" i="9"/>
  <c r="F50" i="9"/>
  <c r="F48" i="9"/>
  <c r="F48" i="8"/>
  <c r="F49" i="8"/>
  <c r="F47" i="8"/>
  <c r="F48" i="7"/>
  <c r="F49" i="7"/>
  <c r="F47" i="7"/>
  <c r="F48" i="6"/>
  <c r="F49" i="6"/>
  <c r="F47" i="6"/>
  <c r="F46" i="9"/>
  <c r="F47" i="9"/>
  <c r="F45" i="9"/>
  <c r="F45" i="8"/>
  <c r="F46" i="8"/>
  <c r="F44" i="8"/>
  <c r="F45" i="7"/>
  <c r="F46" i="7"/>
  <c r="F44" i="7"/>
  <c r="F45" i="6"/>
  <c r="F46" i="6"/>
  <c r="F44" i="6"/>
  <c r="F44" i="9"/>
  <c r="F43" i="9"/>
  <c r="F43" i="8"/>
  <c r="F42" i="8"/>
  <c r="F43" i="7"/>
  <c r="F42" i="7"/>
  <c r="F43" i="6"/>
  <c r="F42" i="6"/>
  <c r="F40" i="9"/>
  <c r="F41" i="9"/>
  <c r="F42" i="9"/>
  <c r="F39" i="9"/>
  <c r="F39" i="8"/>
  <c r="F40" i="8"/>
  <c r="F41" i="8"/>
  <c r="F38" i="8"/>
  <c r="F39" i="7"/>
  <c r="F40" i="7"/>
  <c r="F41" i="7"/>
  <c r="F38" i="7"/>
  <c r="F40" i="6"/>
  <c r="F41" i="6"/>
  <c r="F39" i="6"/>
  <c r="F38" i="6"/>
  <c r="H82" i="6" l="1"/>
  <c r="I78" i="4"/>
  <c r="H84" i="9" l="1"/>
  <c r="I84" i="9" s="1"/>
  <c r="H83" i="9"/>
  <c r="H53" i="9"/>
  <c r="I53" i="9" s="1"/>
  <c r="H52" i="9"/>
  <c r="I52" i="9" s="1"/>
  <c r="H51" i="9"/>
  <c r="I51" i="9" s="1"/>
  <c r="H50" i="9"/>
  <c r="I50" i="9" s="1"/>
  <c r="H49" i="9"/>
  <c r="I49" i="9" s="1"/>
  <c r="H48" i="9"/>
  <c r="I48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J39" i="9"/>
  <c r="J42" i="9" s="1"/>
  <c r="H39" i="9"/>
  <c r="I39" i="9" s="1"/>
  <c r="L35" i="9"/>
  <c r="H82" i="8"/>
  <c r="I82" i="8" s="1"/>
  <c r="H81" i="8"/>
  <c r="H52" i="8"/>
  <c r="I52" i="8" s="1"/>
  <c r="H51" i="8"/>
  <c r="I51" i="8" s="1"/>
  <c r="H50" i="8"/>
  <c r="I50" i="8" s="1"/>
  <c r="H49" i="8"/>
  <c r="I49" i="8" s="1"/>
  <c r="H48" i="8"/>
  <c r="I48" i="8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J38" i="8"/>
  <c r="J40" i="8" s="1"/>
  <c r="H38" i="8"/>
  <c r="I38" i="8" s="1"/>
  <c r="H82" i="7"/>
  <c r="I82" i="7" s="1"/>
  <c r="H81" i="7"/>
  <c r="H52" i="7"/>
  <c r="I52" i="7" s="1"/>
  <c r="H51" i="7"/>
  <c r="I51" i="7" s="1"/>
  <c r="H50" i="7"/>
  <c r="I50" i="7" s="1"/>
  <c r="H49" i="7"/>
  <c r="I49" i="7" s="1"/>
  <c r="H48" i="7"/>
  <c r="I48" i="7" s="1"/>
  <c r="H47" i="7"/>
  <c r="I47" i="7" s="1"/>
  <c r="H46" i="7"/>
  <c r="I46" i="7" s="1"/>
  <c r="H45" i="7"/>
  <c r="I45" i="7" s="1"/>
  <c r="H44" i="7"/>
  <c r="I44" i="7" s="1"/>
  <c r="H43" i="7"/>
  <c r="I43" i="7" s="1"/>
  <c r="H42" i="7"/>
  <c r="I42" i="7" s="1"/>
  <c r="H41" i="7"/>
  <c r="I41" i="7" s="1"/>
  <c r="H40" i="7"/>
  <c r="I40" i="7" s="1"/>
  <c r="H39" i="7"/>
  <c r="I39" i="7" s="1"/>
  <c r="J38" i="7"/>
  <c r="J40" i="7" s="1"/>
  <c r="H38" i="7"/>
  <c r="I38" i="7" s="1"/>
  <c r="L34" i="7"/>
  <c r="F34" i="7"/>
  <c r="H83" i="6"/>
  <c r="I83" i="6" s="1"/>
  <c r="I82" i="6"/>
  <c r="H52" i="6"/>
  <c r="I52" i="6" s="1"/>
  <c r="H51" i="6"/>
  <c r="I51" i="6" s="1"/>
  <c r="H50" i="6"/>
  <c r="I50" i="6" s="1"/>
  <c r="H49" i="6"/>
  <c r="I49" i="6" s="1"/>
  <c r="H48" i="6"/>
  <c r="I48" i="6" s="1"/>
  <c r="H47" i="6"/>
  <c r="I47" i="6" s="1"/>
  <c r="H46" i="6"/>
  <c r="I46" i="6" s="1"/>
  <c r="H45" i="6"/>
  <c r="I45" i="6" s="1"/>
  <c r="H44" i="6"/>
  <c r="I44" i="6" s="1"/>
  <c r="H43" i="6"/>
  <c r="I43" i="6" s="1"/>
  <c r="H42" i="6"/>
  <c r="I42" i="6" s="1"/>
  <c r="H41" i="6"/>
  <c r="I41" i="6" s="1"/>
  <c r="H40" i="6"/>
  <c r="I40" i="6" s="1"/>
  <c r="H39" i="6"/>
  <c r="I39" i="6" s="1"/>
  <c r="J38" i="6"/>
  <c r="J41" i="6" s="1"/>
  <c r="H38" i="6"/>
  <c r="I38" i="6" s="1"/>
  <c r="L34" i="6"/>
  <c r="F34" i="6"/>
  <c r="G53" i="6" s="1"/>
  <c r="H83" i="4"/>
  <c r="I82" i="4"/>
  <c r="H40" i="4"/>
  <c r="I40" i="4" s="1"/>
  <c r="H41" i="4"/>
  <c r="I41" i="4" s="1"/>
  <c r="H42" i="4"/>
  <c r="I42" i="4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39" i="4"/>
  <c r="I39" i="4" s="1"/>
  <c r="J39" i="4"/>
  <c r="J42" i="4" s="1"/>
  <c r="I81" i="7" l="1"/>
  <c r="I81" i="8"/>
  <c r="I83" i="4"/>
  <c r="I83" i="9"/>
  <c r="I116" i="9"/>
  <c r="I114" i="7"/>
  <c r="I113" i="8"/>
  <c r="J41" i="4"/>
  <c r="J43" i="4" s="1"/>
  <c r="J45" i="4" s="1"/>
  <c r="K42" i="4"/>
  <c r="K38" i="6"/>
  <c r="K39" i="4"/>
  <c r="K39" i="9"/>
  <c r="K38" i="8"/>
  <c r="K38" i="7"/>
  <c r="K41" i="6"/>
  <c r="K42" i="9"/>
  <c r="J41" i="9"/>
  <c r="J42" i="8"/>
  <c r="K42" i="8" s="1"/>
  <c r="J43" i="8"/>
  <c r="K40" i="8"/>
  <c r="J41" i="8"/>
  <c r="K41" i="8" s="1"/>
  <c r="J42" i="7"/>
  <c r="J43" i="7"/>
  <c r="K40" i="7"/>
  <c r="J41" i="7"/>
  <c r="K41" i="7" s="1"/>
  <c r="J40" i="6"/>
  <c r="K53" i="6" l="1"/>
  <c r="K53" i="8"/>
  <c r="K53" i="7"/>
  <c r="J46" i="4"/>
  <c r="K46" i="4" s="1"/>
  <c r="K43" i="4"/>
  <c r="J44" i="4"/>
  <c r="K44" i="4" s="1"/>
  <c r="K41" i="4"/>
  <c r="J48" i="4"/>
  <c r="J49" i="4"/>
  <c r="K45" i="4"/>
  <c r="J44" i="9"/>
  <c r="J43" i="9"/>
  <c r="K41" i="9"/>
  <c r="J44" i="8"/>
  <c r="J45" i="8"/>
  <c r="K45" i="8" s="1"/>
  <c r="J46" i="8"/>
  <c r="K46" i="8" s="1"/>
  <c r="J39" i="8"/>
  <c r="K39" i="8" s="1"/>
  <c r="K43" i="8"/>
  <c r="J44" i="7"/>
  <c r="J45" i="7"/>
  <c r="K45" i="7" s="1"/>
  <c r="J46" i="7"/>
  <c r="K46" i="7" s="1"/>
  <c r="J39" i="7"/>
  <c r="K39" i="7" s="1"/>
  <c r="K43" i="7"/>
  <c r="K42" i="7"/>
  <c r="J43" i="6"/>
  <c r="J42" i="6"/>
  <c r="K40" i="6"/>
  <c r="J40" i="4" l="1"/>
  <c r="K40" i="4" s="1"/>
  <c r="J47" i="4"/>
  <c r="K47" i="4" s="1"/>
  <c r="J50" i="4"/>
  <c r="K48" i="4"/>
  <c r="J51" i="4"/>
  <c r="K49" i="4"/>
  <c r="J46" i="9"/>
  <c r="K46" i="9" s="1"/>
  <c r="J45" i="9"/>
  <c r="K43" i="9"/>
  <c r="J40" i="9"/>
  <c r="K40" i="9" s="1"/>
  <c r="J47" i="9"/>
  <c r="K47" i="9" s="1"/>
  <c r="K44" i="9"/>
  <c r="J48" i="8"/>
  <c r="J47" i="8"/>
  <c r="K44" i="8"/>
  <c r="J47" i="7"/>
  <c r="J48" i="7"/>
  <c r="K44" i="7"/>
  <c r="J46" i="6"/>
  <c r="K46" i="6" s="1"/>
  <c r="J39" i="6"/>
  <c r="K39" i="6" s="1"/>
  <c r="K43" i="6"/>
  <c r="J45" i="6"/>
  <c r="K45" i="6" s="1"/>
  <c r="J44" i="6"/>
  <c r="K42" i="6"/>
  <c r="K50" i="4" l="1"/>
  <c r="J52" i="4"/>
  <c r="K51" i="4"/>
  <c r="J48" i="9"/>
  <c r="J49" i="9"/>
  <c r="K45" i="9"/>
  <c r="J50" i="8"/>
  <c r="K48" i="8"/>
  <c r="J49" i="8"/>
  <c r="K47" i="8"/>
  <c r="J50" i="7"/>
  <c r="K48" i="7"/>
  <c r="J49" i="7"/>
  <c r="K47" i="7"/>
  <c r="J48" i="6"/>
  <c r="J47" i="6"/>
  <c r="K44" i="6"/>
  <c r="K52" i="4" l="1"/>
  <c r="J53" i="4"/>
  <c r="J50" i="9"/>
  <c r="K48" i="9"/>
  <c r="J51" i="9"/>
  <c r="K49" i="9"/>
  <c r="K49" i="8"/>
  <c r="J51" i="8"/>
  <c r="K50" i="8"/>
  <c r="J51" i="7"/>
  <c r="K51" i="7" s="1"/>
  <c r="K50" i="7"/>
  <c r="K49" i="7"/>
  <c r="J49" i="6"/>
  <c r="K47" i="6"/>
  <c r="J50" i="6"/>
  <c r="K48" i="6"/>
  <c r="K51" i="8" l="1"/>
  <c r="J52" i="8"/>
  <c r="J53" i="8" s="1"/>
  <c r="K53" i="4"/>
  <c r="A112" i="4" s="1"/>
  <c r="J58" i="4"/>
  <c r="J59" i="4" s="1"/>
  <c r="K50" i="9"/>
  <c r="J52" i="9"/>
  <c r="J53" i="9" s="1"/>
  <c r="J54" i="9" s="1"/>
  <c r="K54" i="9" s="1"/>
  <c r="K51" i="9"/>
  <c r="J51" i="6"/>
  <c r="K50" i="6"/>
  <c r="K49" i="6"/>
  <c r="K51" i="6" l="1"/>
  <c r="J52" i="6"/>
  <c r="J53" i="6" s="1"/>
  <c r="K52" i="8"/>
  <c r="A110" i="8"/>
  <c r="K52" i="9"/>
  <c r="K52" i="7"/>
  <c r="A111" i="7" s="1"/>
  <c r="J61" i="4"/>
  <c r="J69" i="4" s="1"/>
  <c r="J67" i="4"/>
  <c r="J60" i="4"/>
  <c r="J68" i="4" s="1"/>
  <c r="K53" i="9"/>
  <c r="J62" i="4" l="1"/>
  <c r="K63" i="4" s="1"/>
  <c r="D112" i="4" s="1"/>
  <c r="A113" i="9"/>
  <c r="K52" i="6"/>
  <c r="A112" i="6" s="1"/>
  <c r="K62" i="4" l="1"/>
  <c r="J70" i="4"/>
  <c r="J75" i="4" l="1"/>
  <c r="J77" i="4" s="1"/>
  <c r="K70" i="4"/>
  <c r="J82" i="7" l="1"/>
  <c r="K81" i="7"/>
  <c r="J84" i="9" l="1"/>
  <c r="K83" i="9"/>
  <c r="K82" i="7"/>
  <c r="I111" i="7" l="1"/>
  <c r="K111" i="7" s="1"/>
  <c r="L114" i="7" s="1"/>
  <c r="K81" i="8"/>
  <c r="J82" i="8"/>
  <c r="K84" i="9"/>
  <c r="I113" i="9" l="1"/>
  <c r="K113" i="9" s="1"/>
  <c r="L116" i="9" s="1"/>
  <c r="K82" i="8"/>
  <c r="K82" i="6"/>
  <c r="J83" i="6"/>
  <c r="L35" i="4"/>
  <c r="I110" i="8" l="1"/>
  <c r="K110" i="8" s="1"/>
  <c r="L113" i="8" s="1"/>
  <c r="K83" i="6"/>
  <c r="I112" i="6" s="1"/>
  <c r="K112" i="6" s="1"/>
  <c r="L115" i="6" s="1"/>
  <c r="K69" i="4"/>
  <c r="K68" i="4"/>
  <c r="K67" i="4"/>
  <c r="K71" i="4" l="1"/>
  <c r="E112" i="4" s="1"/>
  <c r="K61" i="4"/>
  <c r="K59" i="4"/>
  <c r="K60" i="4" l="1"/>
  <c r="K58" i="4"/>
  <c r="I89" i="4" l="1"/>
  <c r="I115" i="4" s="1"/>
  <c r="A2" i="10" s="1"/>
  <c r="J82" i="4" l="1"/>
  <c r="K75" i="4"/>
  <c r="K78" i="4" s="1"/>
  <c r="G112" i="4" s="1"/>
  <c r="J83" i="4" l="1"/>
  <c r="K82" i="4"/>
  <c r="J88" i="4" l="1"/>
  <c r="K83" i="4"/>
  <c r="I112" i="4" s="1"/>
  <c r="K88" i="4" l="1"/>
  <c r="K89" i="4" s="1"/>
  <c r="J112" i="4" s="1"/>
  <c r="K112" i="4" l="1"/>
  <c r="L115" i="4" s="1"/>
  <c r="B2" i="10" s="1"/>
</calcChain>
</file>

<file path=xl/sharedStrings.xml><?xml version="1.0" encoding="utf-8"?>
<sst xmlns="http://schemas.openxmlformats.org/spreadsheetml/2006/main" count="1078" uniqueCount="126">
  <si>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</si>
  <si>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</si>
  <si>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</si>
  <si>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</si>
  <si>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</si>
  <si>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</si>
  <si>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</si>
  <si>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</si>
  <si>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</si>
  <si>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</si>
  <si>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</si>
  <si>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</si>
  <si>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</si>
  <si>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</si>
  <si>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</si>
  <si>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</si>
  <si>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</si>
  <si>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</si>
  <si>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</si>
  <si>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</si>
  <si>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</si>
  <si>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</si>
  <si>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</si>
  <si>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</si>
  <si>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</si>
  <si>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</si>
  <si>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</si>
  <si>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</si>
  <si>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</si>
  <si>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</si>
  <si>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</si>
  <si>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</si>
  <si>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</si>
  <si>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</si>
  <si>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</si>
  <si>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</si>
  <si>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</si>
  <si>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</si>
  <si>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</si>
  <si>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</si>
  <si>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</si>
  <si>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</si>
  <si>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</si>
  <si>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</si>
  <si>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Тех.обслуживание КТС</t>
  </si>
  <si>
    <t>Зам. директора (по основной деятельности)</t>
  </si>
  <si>
    <t>Заведующий отделом(отдел по финансово-хозяйственной деятельности)</t>
  </si>
  <si>
    <t>Заместитель директора (по основной деятельности)</t>
  </si>
  <si>
    <t>Хормейстер</t>
  </si>
  <si>
    <t>Руководитель студии</t>
  </si>
  <si>
    <t xml:space="preserve">ИСХОДНЫЕ ДАННЫЕ И РЕЗУЛЬТАТЫ РАСЧЕТОВ  МБУК  "КДЦ"ЮБИЛЕЙНЫЙ"г.НАЗАРОВО </t>
  </si>
  <si>
    <t>Утверждаю</t>
  </si>
  <si>
    <t xml:space="preserve">Приказ № ____  от _________________ </t>
  </si>
  <si>
    <t>_______________________ Н.Н.Гурулев</t>
  </si>
  <si>
    <t>"________"____________20      г.</t>
  </si>
  <si>
    <t>Директор МБУК "КДЦ "Юбилейный"</t>
  </si>
  <si>
    <t>8(39155) 7-45-95</t>
  </si>
  <si>
    <t>С.М. Веденякин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</si>
  <si>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</si>
  <si>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</si>
  <si>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</si>
  <si>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</si>
  <si>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</si>
  <si>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</si>
  <si>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Сумма в год</t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</si>
  <si>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</si>
  <si>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Реагирование на срабатывание средств тревожной сигнализации</t>
  </si>
  <si>
    <t>Затраты на прочие расходы</t>
  </si>
  <si>
    <t>Итого прочие расходы</t>
  </si>
  <si>
    <t>Прочие затраты</t>
  </si>
  <si>
    <t>Контролер билетов</t>
  </si>
  <si>
    <t>Старший администратор</t>
  </si>
  <si>
    <t>Руководитель коллектива</t>
  </si>
  <si>
    <t>Заведующий  отделом( отдел по работе с детьми)</t>
  </si>
  <si>
    <t>Администратор</t>
  </si>
  <si>
    <t>Методист</t>
  </si>
  <si>
    <t>Художественный руководитель</t>
  </si>
  <si>
    <t>Аккомпаниатор</t>
  </si>
  <si>
    <t>Художник-декоратор</t>
  </si>
  <si>
    <t>Кассир билетный</t>
  </si>
  <si>
    <t>Звукорежиссер</t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</si>
  <si>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Показ (организация показа) спектаклей (театральных постановок) </t>
    </r>
  </si>
  <si>
    <t>Итого работники,  связанные с оказанием услуг</t>
  </si>
  <si>
    <t xml:space="preserve">Содержание услуги: </t>
  </si>
  <si>
    <r>
      <t xml:space="preserve">Наименование показателя объема: 12 </t>
    </r>
    <r>
      <rPr>
        <sz val="11"/>
        <color theme="1"/>
        <rFont val="Times New Roman"/>
        <family val="1"/>
        <charset val="204"/>
      </rPr>
      <t>постановок</t>
    </r>
  </si>
  <si>
    <t>Планируемое число постановок в год</t>
  </si>
  <si>
    <t>Планируемое число концертов в год</t>
  </si>
  <si>
    <r>
      <t xml:space="preserve">Наименование показателя объема: 38 </t>
    </r>
    <r>
      <rPr>
        <sz val="11"/>
        <color theme="1"/>
        <rFont val="Times New Roman"/>
        <family val="1"/>
        <charset val="204"/>
      </rPr>
      <t>клубных формирований</t>
    </r>
  </si>
  <si>
    <t>Планируемое число клубных формирований в год</t>
  </si>
  <si>
    <t>Затраты на услуги связи</t>
  </si>
  <si>
    <t>Интернет</t>
  </si>
  <si>
    <t>кол-во точек, ед</t>
  </si>
  <si>
    <t>СВОД (рубли)</t>
  </si>
  <si>
    <t>СВОД (норматив)</t>
  </si>
  <si>
    <t xml:space="preserve">ИСХОДНЫЕ ДАННЫЕ И РЕЗУЛЬТАТЫ РАСЧЕТОВ  МБУК  "КДЦ "ЮБИЛЕЙНЫЙ" г.НАЗАРОВО </t>
  </si>
  <si>
    <t>БАЗОВОГО НОРМАТИВА ЗАТРАТ НА ОКАЗАНИЕ МУНИЦИПАЛЬНЫХ УСЛУГ (РАБОТ)</t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</si>
  <si>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спектаклей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</si>
  <si>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</si>
  <si>
    <t>Заведующий  отделом (отдел по работе с детьми)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</si>
  <si>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«Юбилейный»" г. Назарово Красноярского края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</si>
  <si>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«Юбилейный» г. Назарово Красноярского края</t>
    </r>
  </si>
  <si>
    <t xml:space="preserve"> НА 2020г. </t>
  </si>
  <si>
    <r>
      <t>Наименование показателя объема: 3586</t>
    </r>
    <r>
      <rPr>
        <sz val="11"/>
        <color theme="1"/>
        <rFont val="Times New Roman"/>
        <family val="1"/>
        <charset val="204"/>
      </rPr>
      <t xml:space="preserve"> человек.</t>
    </r>
  </si>
  <si>
    <t>Штатное расписание: 21,5 человек</t>
  </si>
  <si>
    <t>Опллата услуг ОПС, автоматического пожаротушения</t>
  </si>
  <si>
    <t>Тех.обслуживание узла учета тепловой энергии</t>
  </si>
  <si>
    <t>ТО системы дымоудаления</t>
  </si>
  <si>
    <t>Услуги междугородней связи</t>
  </si>
  <si>
    <t>Социальные пособия и коипенсация персоналу в денежной форме</t>
  </si>
  <si>
    <t>Компенс.выплата по уходу за ребенком до 3-х лет</t>
  </si>
  <si>
    <t>Итого соц. пособия</t>
  </si>
  <si>
    <t xml:space="preserve">Увеличение стоимости прочих оборотных активов </t>
  </si>
  <si>
    <t>Мероприятия</t>
  </si>
  <si>
    <t>Увеличение стоимости материальных запасов однократного применения</t>
  </si>
  <si>
    <t>Итого прочих активов</t>
  </si>
  <si>
    <t>Призовая продукция</t>
  </si>
  <si>
    <t>Итого призовая продукция</t>
  </si>
  <si>
    <t>Лонская Клавдия Алексеевна</t>
  </si>
  <si>
    <r>
      <t xml:space="preserve">Содержание услуги: Жанры (формы) спектаклей (театральных постановок) </t>
    </r>
    <r>
      <rPr>
        <sz val="11"/>
        <color theme="1"/>
        <rFont val="Times New Roman"/>
        <family val="1"/>
        <charset val="204"/>
      </rPr>
      <t>Стационар, на выезде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</si>
  <si>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 Показ  (организация показа) и концертных программ 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</si>
  <si>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 концертов и концертных прграмм</t>
    </r>
  </si>
  <si>
    <t>Наименование показателя объема: 427 концертов</t>
  </si>
  <si>
    <t>Наименование показателя объема: 427  концертов</t>
  </si>
  <si>
    <r>
      <t xml:space="preserve">Работа: </t>
    </r>
    <r>
      <rPr>
        <sz val="11"/>
        <color theme="1"/>
        <rFont val="Times New Roman"/>
        <family val="1"/>
        <charset val="204"/>
      </rPr>
      <t xml:space="preserve"> Организация показа концертов и концертных программ</t>
    </r>
  </si>
  <si>
    <r>
      <t xml:space="preserve">Наименование показателя объема: 31232 </t>
    </r>
    <r>
      <rPr>
        <sz val="11"/>
        <color theme="1"/>
        <rFont val="Times New Roman"/>
        <family val="1"/>
        <charset val="204"/>
      </rPr>
      <t>человек.</t>
    </r>
  </si>
  <si>
    <t>Социальные пособия и компенсация персоналу в денежной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</si>
</sst>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"/>
    <numFmt numFmtId="166" formatCode="#,##0.000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4" fontId="4" fillId="0" borderId="0" xfId="0" applyNumberFormat="1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4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7" fillId="0" borderId="2" xfId="0" applyNumberFormat="1" applyFont="1" applyBorder="1" applyAlignment="1">
      <alignment horizontal="right"/>
    </xf>
    <xf numFmtId="4" fontId="7" fillId="0" borderId="1" xfId="0" applyNumberFormat="1" applyFont="1" applyBorder="1" applyAlignment="1"/>
    <xf numFmtId="4" fontId="8" fillId="0" borderId="0" xfId="0" applyNumberFormat="1" applyFont="1"/>
    <xf numFmtId="4" fontId="0" fillId="0" borderId="0" xfId="0" applyNumberFormat="1"/>
    <xf numFmtId="4" fontId="8" fillId="0" borderId="1" xfId="0" applyNumberFormat="1" applyFont="1" applyBorder="1"/>
    <xf numFmtId="0" fontId="9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4" fillId="2" borderId="1" xfId="0" applyNumberFormat="1" applyFont="1" applyFill="1" applyBorder="1"/>
    <xf numFmtId="164" fontId="0" fillId="0" borderId="0" xfId="0" applyNumberFormat="1"/>
    <xf numFmtId="4" fontId="7" fillId="0" borderId="0" xfId="0" applyNumberFormat="1" applyFont="1" applyBorder="1" applyAlignment="1"/>
    <xf numFmtId="4" fontId="7" fillId="0" borderId="5" xfId="0" applyNumberFormat="1" applyFont="1" applyBorder="1" applyAlignment="1"/>
    <xf numFmtId="4" fontId="2" fillId="0" borderId="0" xfId="0" applyNumberFormat="1" applyFont="1"/>
    <xf numFmtId="4" fontId="2" fillId="0" borderId="0" xfId="0" applyNumberFormat="1" applyFont="1" applyAlignment="1">
      <alignment horizontal="left"/>
    </xf>
    <xf numFmtId="4" fontId="1" fillId="0" borderId="0" xfId="0" applyNumberFormat="1" applyFont="1" applyAlignment="1">
      <alignment horizontal="center"/>
    </xf>
    <xf numFmtId="4" fontId="7" fillId="0" borderId="0" xfId="0" applyNumberFormat="1" applyFont="1"/>
    <xf numFmtId="4" fontId="8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/>
    <xf numFmtId="4" fontId="8" fillId="0" borderId="6" xfId="0" applyNumberFormat="1" applyFont="1" applyBorder="1"/>
    <xf numFmtId="4" fontId="8" fillId="0" borderId="2" xfId="0" applyNumberFormat="1" applyFont="1" applyFill="1" applyBorder="1"/>
    <xf numFmtId="4" fontId="8" fillId="0" borderId="2" xfId="0" applyNumberFormat="1" applyFont="1" applyFill="1" applyBorder="1" applyAlignment="1">
      <alignment horizontal="center" wrapText="1"/>
    </xf>
    <xf numFmtId="4" fontId="8" fillId="0" borderId="1" xfId="0" applyNumberFormat="1" applyFont="1" applyBorder="1" applyAlignment="1">
      <alignment wrapText="1"/>
    </xf>
    <xf numFmtId="4" fontId="6" fillId="0" borderId="1" xfId="0" applyNumberFormat="1" applyFont="1" applyBorder="1"/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8" fillId="0" borderId="0" xfId="0" applyNumberFormat="1" applyFont="1" applyBorder="1" applyAlignment="1">
      <alignment horizontal="center"/>
    </xf>
    <xf numFmtId="4" fontId="8" fillId="0" borderId="0" xfId="0" applyNumberFormat="1" applyFont="1" applyBorder="1"/>
    <xf numFmtId="4" fontId="8" fillId="0" borderId="6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right" wrapText="1"/>
    </xf>
    <xf numFmtId="4" fontId="8" fillId="0" borderId="2" xfId="0" applyNumberFormat="1" applyFont="1" applyBorder="1" applyAlignment="1">
      <alignment wrapText="1"/>
    </xf>
    <xf numFmtId="4" fontId="8" fillId="0" borderId="2" xfId="0" applyNumberFormat="1" applyFont="1" applyBorder="1" applyAlignment="1">
      <alignment horizontal="right" wrapText="1"/>
    </xf>
    <xf numFmtId="4" fontId="8" fillId="0" borderId="0" xfId="0" applyNumberFormat="1" applyFont="1" applyBorder="1" applyAlignment="1">
      <alignment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Border="1" applyAlignment="1"/>
    <xf numFmtId="4" fontId="7" fillId="0" borderId="1" xfId="0" applyNumberFormat="1" applyFont="1" applyBorder="1" applyAlignment="1">
      <alignment horizontal="left"/>
    </xf>
    <xf numFmtId="4" fontId="7" fillId="0" borderId="0" xfId="0" applyNumberFormat="1" applyFont="1" applyAlignment="1">
      <alignment horizontal="center"/>
    </xf>
    <xf numFmtId="4" fontId="7" fillId="0" borderId="0" xfId="0" applyNumberFormat="1" applyFont="1" applyBorder="1" applyAlignment="1">
      <alignment horizontal="left"/>
    </xf>
    <xf numFmtId="4" fontId="7" fillId="0" borderId="5" xfId="0" applyNumberFormat="1" applyFont="1" applyBorder="1" applyAlignment="1">
      <alignment horizontal="left"/>
    </xf>
    <xf numFmtId="4" fontId="3" fillId="0" borderId="0" xfId="0" applyNumberFormat="1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top"/>
    </xf>
    <xf numFmtId="4" fontId="4" fillId="0" borderId="0" xfId="0" applyNumberFormat="1" applyFont="1" applyBorder="1" applyAlignment="1"/>
    <xf numFmtId="4" fontId="8" fillId="0" borderId="0" xfId="0" applyNumberFormat="1" applyFont="1" applyAlignment="1"/>
    <xf numFmtId="4" fontId="5" fillId="0" borderId="0" xfId="0" applyNumberFormat="1" applyFont="1"/>
    <xf numFmtId="4" fontId="8" fillId="0" borderId="1" xfId="0" applyNumberFormat="1" applyFont="1" applyFill="1" applyBorder="1"/>
    <xf numFmtId="4" fontId="7" fillId="0" borderId="1" xfId="0" applyNumberFormat="1" applyFont="1" applyBorder="1"/>
    <xf numFmtId="4" fontId="8" fillId="0" borderId="2" xfId="0" applyNumberFormat="1" applyFont="1" applyBorder="1"/>
    <xf numFmtId="4" fontId="7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/>
    <xf numFmtId="4" fontId="1" fillId="0" borderId="0" xfId="0" applyNumberFormat="1" applyFont="1" applyAlignment="1">
      <alignment horizontal="center"/>
    </xf>
    <xf numFmtId="165" fontId="8" fillId="0" borderId="1" xfId="0" applyNumberFormat="1" applyFont="1" applyBorder="1"/>
    <xf numFmtId="165" fontId="8" fillId="0" borderId="1" xfId="0" applyNumberFormat="1" applyFont="1" applyFill="1" applyBorder="1"/>
    <xf numFmtId="166" fontId="8" fillId="0" borderId="1" xfId="0" applyNumberFormat="1" applyFont="1" applyBorder="1"/>
    <xf numFmtId="166" fontId="8" fillId="0" borderId="1" xfId="0" applyNumberFormat="1" applyFont="1" applyFill="1" applyBorder="1"/>
    <xf numFmtId="165" fontId="7" fillId="0" borderId="1" xfId="0" applyNumberFormat="1" applyFont="1" applyBorder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0" fillId="0" borderId="0" xfId="0" applyNumberFormat="1" applyBorder="1"/>
    <xf numFmtId="165" fontId="7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left"/>
    </xf>
    <xf numFmtId="4" fontId="7" fillId="0" borderId="3" xfId="0" applyNumberFormat="1" applyFont="1" applyBorder="1" applyAlignment="1">
      <alignment horizontal="left"/>
    </xf>
    <xf numFmtId="4" fontId="7" fillId="0" borderId="4" xfId="0" applyNumberFormat="1" applyFont="1" applyBorder="1" applyAlignment="1">
      <alignment horizontal="left"/>
    </xf>
    <xf numFmtId="4" fontId="7" fillId="0" borderId="5" xfId="0" applyNumberFormat="1" applyFont="1" applyBorder="1" applyAlignment="1">
      <alignment horizontal="center"/>
    </xf>
    <xf numFmtId="4" fontId="7" fillId="0" borderId="0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left" wrapText="1"/>
    </xf>
    <xf numFmtId="4" fontId="7" fillId="0" borderId="0" xfId="0" applyNumberFormat="1" applyFont="1" applyAlignment="1">
      <alignment horizontal="center"/>
    </xf>
    <xf numFmtId="4" fontId="8" fillId="0" borderId="2" xfId="0" applyNumberFormat="1" applyFont="1" applyBorder="1" applyAlignment="1">
      <alignment horizontal="left" wrapText="1"/>
    </xf>
    <xf numFmtId="4" fontId="8" fillId="0" borderId="3" xfId="0" applyNumberFormat="1" applyFont="1" applyBorder="1" applyAlignment="1">
      <alignment horizontal="left" wrapText="1"/>
    </xf>
    <xf numFmtId="4" fontId="8" fillId="0" borderId="4" xfId="0" applyNumberFormat="1" applyFont="1" applyBorder="1" applyAlignment="1">
      <alignment horizontal="left" wrapText="1"/>
    </xf>
    <xf numFmtId="4" fontId="8" fillId="0" borderId="2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4" fontId="7" fillId="0" borderId="2" xfId="0" applyNumberFormat="1" applyFont="1" applyBorder="1" applyAlignment="1">
      <alignment horizontal="left" wrapText="1"/>
    </xf>
    <xf numFmtId="4" fontId="7" fillId="0" borderId="3" xfId="0" applyNumberFormat="1" applyFont="1" applyBorder="1" applyAlignment="1">
      <alignment horizontal="left" wrapText="1"/>
    </xf>
    <xf numFmtId="4" fontId="7" fillId="0" borderId="4" xfId="0" applyNumberFormat="1" applyFont="1" applyBorder="1" applyAlignment="1">
      <alignment horizontal="left" wrapText="1"/>
    </xf>
    <xf numFmtId="4" fontId="2" fillId="0" borderId="0" xfId="0" applyNumberFormat="1" applyFont="1" applyAlignment="1">
      <alignment horizontal="left"/>
    </xf>
    <xf numFmtId="4" fontId="8" fillId="0" borderId="0" xfId="0" applyNumberFormat="1" applyFont="1" applyAlignment="1"/>
    <xf numFmtId="4" fontId="2" fillId="0" borderId="0" xfId="0" applyNumberFormat="1" applyFont="1" applyAlignment="1"/>
    <xf numFmtId="4" fontId="1" fillId="0" borderId="0" xfId="0" applyNumberFormat="1" applyFont="1" applyAlignment="1">
      <alignment horizontal="center"/>
    </xf>
    <xf numFmtId="4" fontId="8" fillId="0" borderId="1" xfId="0" applyNumberFormat="1" applyFont="1" applyBorder="1" applyAlignment="1">
      <alignment horizontal="center" wrapText="1"/>
    </xf>
    <xf numFmtId="4" fontId="8" fillId="0" borderId="2" xfId="0" applyNumberFormat="1" applyFont="1" applyBorder="1" applyAlignment="1">
      <alignment horizontal="center"/>
    </xf>
    <xf numFmtId="4" fontId="8" fillId="0" borderId="3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4" fontId="8" fillId="0" borderId="2" xfId="0" applyNumberFormat="1" applyFont="1" applyBorder="1"/>
    <xf numFmtId="4" fontId="8" fillId="0" borderId="4" xfId="0" applyNumberFormat="1" applyFont="1" applyBorder="1"/>
    <xf numFmtId="4" fontId="7" fillId="0" borderId="1" xfId="0" applyNumberFormat="1" applyFont="1" applyBorder="1" applyAlignment="1">
      <alignment horizontal="left"/>
    </xf>
    <xf numFmtId="4" fontId="8" fillId="0" borderId="7" xfId="0" applyNumberFormat="1" applyFont="1" applyBorder="1" applyAlignment="1">
      <alignment horizontal="center" wrapText="1"/>
    </xf>
    <xf numFmtId="4" fontId="8" fillId="0" borderId="8" xfId="0" applyNumberFormat="1" applyFont="1" applyBorder="1" applyAlignment="1">
      <alignment horizontal="center" wrapText="1"/>
    </xf>
    <xf numFmtId="4" fontId="8" fillId="0" borderId="9" xfId="0" applyNumberFormat="1" applyFont="1" applyBorder="1" applyAlignment="1">
      <alignment horizontal="center" wrapText="1"/>
    </xf>
    <xf numFmtId="4" fontId="8" fillId="0" borderId="10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3" sqref="A3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10" t="s">
        <v>92</v>
      </c>
      <c r="B1" s="10" t="s">
        <v>93</v>
      </c>
    </row>
    <row r="2" spans="1:2" ht="42" customHeight="1" x14ac:dyDescent="0.25">
      <c r="A2" s="11">
        <f>'Услуга №1 '!I115+'Услуга №2'!I115+'Работа №1.'!I113+'Работа №2'!I114+'Работа №3'!I114+'Работа №4'!I116</f>
        <v>7758930.4366472</v>
      </c>
      <c r="B2" s="11">
        <f>'Услуга №1 '!L115+'Услуга №2'!L115+'Работа №1.'!L113+'Работа №2'!L114+'Работа №3'!L114+'Работа №4'!L116</f>
        <v>7758930.4366471991</v>
      </c>
    </row>
    <row r="5" spans="1:2" x14ac:dyDescent="0.25">
      <c r="A5" s="8"/>
    </row>
    <row r="7" spans="1:2" x14ac:dyDescent="0.25">
      <c r="A7" s="8"/>
    </row>
    <row r="8" spans="1:2" x14ac:dyDescent="0.25">
      <c r="A8" s="8"/>
    </row>
    <row r="9" spans="1:2" x14ac:dyDescent="0.25">
      <c r="A9" s="8"/>
    </row>
    <row r="10" spans="1:2" x14ac:dyDescent="0.25">
      <c r="A10" s="13"/>
    </row>
    <row r="11" spans="1:2" x14ac:dyDescent="0.25">
      <c r="A11" s="8"/>
    </row>
    <row r="13" spans="1:2" x14ac:dyDescent="0.25">
      <c r="A13" s="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9"/>
  <sheetViews>
    <sheetView zoomScale="90" zoomScaleNormal="90" workbookViewId="0">
      <selection activeCell="I54" sqref="I54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0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customWidth="1"/>
    <col min="14" max="14" width="11.5703125" style="7" bestFit="1" customWidth="1"/>
    <col min="15" max="16384" width="9.140625" style="7"/>
  </cols>
  <sheetData>
    <row r="1" spans="1:12" ht="15.75" x14ac:dyDescent="0.25">
      <c r="A1" s="16" t="s">
        <v>51</v>
      </c>
      <c r="B1" s="16"/>
      <c r="C1" s="16"/>
    </row>
    <row r="2" spans="1:12" ht="15.75" x14ac:dyDescent="0.25">
      <c r="A2" s="17" t="s">
        <v>52</v>
      </c>
      <c r="B2" s="17"/>
      <c r="C2" s="17"/>
    </row>
    <row r="3" spans="1:12" ht="15.75" x14ac:dyDescent="0.25">
      <c r="A3" s="18"/>
      <c r="B3" s="18"/>
      <c r="C3" s="18"/>
    </row>
    <row r="4" spans="1:12" ht="15.75" x14ac:dyDescent="0.25">
      <c r="A4" s="86" t="s">
        <v>53</v>
      </c>
      <c r="B4" s="86"/>
      <c r="C4" s="86"/>
      <c r="D4" s="87"/>
      <c r="E4" s="87"/>
    </row>
    <row r="5" spans="1:12" ht="15.75" x14ac:dyDescent="0.25">
      <c r="A5" s="17"/>
      <c r="B5" s="17"/>
      <c r="C5" s="17"/>
    </row>
    <row r="6" spans="1:12" ht="15.75" x14ac:dyDescent="0.25">
      <c r="A6" s="88" t="s">
        <v>54</v>
      </c>
      <c r="B6" s="88"/>
      <c r="C6" s="88"/>
      <c r="D6" s="87"/>
      <c r="E6" s="87"/>
    </row>
    <row r="8" spans="1:12" ht="15.75" x14ac:dyDescent="0.25">
      <c r="A8" s="89" t="s">
        <v>94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ht="15.75" x14ac:dyDescent="0.25">
      <c r="A9" s="89" t="s">
        <v>95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5.75" x14ac:dyDescent="0.25">
      <c r="A10" s="89" t="s">
        <v>101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1" spans="1:12" ht="11.25" customHeight="1" x14ac:dyDescent="0.25"/>
    <row r="12" spans="1:12" x14ac:dyDescent="0.25">
      <c r="A12" s="19" t="s">
        <v>99</v>
      </c>
    </row>
    <row r="13" spans="1:12" x14ac:dyDescent="0.25">
      <c r="A13" s="19" t="s">
        <v>81</v>
      </c>
    </row>
    <row r="14" spans="1:12" x14ac:dyDescent="0.25">
      <c r="A14" s="19" t="s">
        <v>118</v>
      </c>
    </row>
    <row r="15" spans="1:12" x14ac:dyDescent="0.25">
      <c r="A15" s="19" t="s">
        <v>102</v>
      </c>
    </row>
    <row r="16" spans="1:12" x14ac:dyDescent="0.25">
      <c r="A16" s="19" t="s">
        <v>103</v>
      </c>
    </row>
    <row r="17" spans="1:13" ht="33" customHeight="1" x14ac:dyDescent="0.25">
      <c r="A17" s="90" t="s">
        <v>0</v>
      </c>
      <c r="B17" s="90"/>
      <c r="C17" s="90"/>
      <c r="D17" s="90"/>
      <c r="E17" s="90"/>
      <c r="F17" s="20" t="s">
        <v>1</v>
      </c>
      <c r="G17" s="90" t="s">
        <v>2</v>
      </c>
      <c r="H17" s="90"/>
      <c r="I17" s="90"/>
      <c r="J17" s="90"/>
      <c r="K17" s="90"/>
      <c r="L17" s="9" t="s">
        <v>1</v>
      </c>
    </row>
    <row r="18" spans="1:13" ht="30" customHeight="1" x14ac:dyDescent="0.25">
      <c r="A18" s="76" t="s">
        <v>46</v>
      </c>
      <c r="B18" s="77"/>
      <c r="C18" s="77"/>
      <c r="D18" s="77"/>
      <c r="E18" s="78"/>
      <c r="F18" s="9">
        <f>1*10%</f>
        <v>0.1</v>
      </c>
      <c r="G18" s="74" t="s">
        <v>3</v>
      </c>
      <c r="H18" s="74"/>
      <c r="I18" s="74"/>
      <c r="J18" s="74"/>
      <c r="K18" s="74"/>
      <c r="L18" s="21">
        <v>0.1</v>
      </c>
      <c r="M18" s="22"/>
    </row>
    <row r="19" spans="1:13" x14ac:dyDescent="0.25">
      <c r="A19" s="67" t="s">
        <v>73</v>
      </c>
      <c r="B19" s="67"/>
      <c r="C19" s="67"/>
      <c r="D19" s="67"/>
      <c r="E19" s="67"/>
      <c r="F19" s="9">
        <f>1*10%</f>
        <v>0.1</v>
      </c>
      <c r="G19" s="74" t="s">
        <v>47</v>
      </c>
      <c r="H19" s="74"/>
      <c r="I19" s="74"/>
      <c r="J19" s="74"/>
      <c r="K19" s="74"/>
      <c r="L19" s="21">
        <v>0.1</v>
      </c>
      <c r="M19" s="22"/>
    </row>
    <row r="20" spans="1:13" ht="15" customHeight="1" x14ac:dyDescent="0.25">
      <c r="A20" s="67" t="s">
        <v>76</v>
      </c>
      <c r="B20" s="67"/>
      <c r="C20" s="67"/>
      <c r="D20" s="67"/>
      <c r="E20" s="67"/>
      <c r="F20" s="9">
        <v>0.1</v>
      </c>
      <c r="G20" s="67"/>
      <c r="H20" s="67"/>
      <c r="I20" s="67"/>
      <c r="J20" s="67"/>
      <c r="K20" s="67"/>
      <c r="L20" s="21"/>
      <c r="M20" s="22"/>
    </row>
    <row r="21" spans="1:13" ht="17.25" customHeight="1" x14ac:dyDescent="0.25">
      <c r="A21" s="67" t="s">
        <v>71</v>
      </c>
      <c r="B21" s="67"/>
      <c r="C21" s="67"/>
      <c r="D21" s="67"/>
      <c r="E21" s="67"/>
      <c r="F21" s="9">
        <v>0.1</v>
      </c>
      <c r="G21" s="74"/>
      <c r="H21" s="74"/>
      <c r="I21" s="74"/>
      <c r="J21" s="74"/>
      <c r="K21" s="74"/>
      <c r="L21" s="21"/>
      <c r="M21" s="22"/>
    </row>
    <row r="22" spans="1:13" ht="14.25" customHeight="1" x14ac:dyDescent="0.25">
      <c r="A22" s="67" t="s">
        <v>74</v>
      </c>
      <c r="B22" s="67"/>
      <c r="C22" s="67"/>
      <c r="D22" s="67"/>
      <c r="E22" s="67"/>
      <c r="F22" s="9">
        <v>0.05</v>
      </c>
      <c r="G22" s="74"/>
      <c r="H22" s="74"/>
      <c r="I22" s="74"/>
      <c r="J22" s="74"/>
      <c r="K22" s="74"/>
      <c r="L22" s="21"/>
      <c r="M22" s="22"/>
    </row>
    <row r="23" spans="1:13" ht="15" customHeight="1" x14ac:dyDescent="0.25">
      <c r="A23" s="67" t="s">
        <v>78</v>
      </c>
      <c r="B23" s="67"/>
      <c r="C23" s="67"/>
      <c r="D23" s="67"/>
      <c r="E23" s="67"/>
      <c r="F23" s="9">
        <v>0.1</v>
      </c>
      <c r="G23" s="74"/>
      <c r="H23" s="74"/>
      <c r="I23" s="74"/>
      <c r="J23" s="74"/>
      <c r="K23" s="74"/>
      <c r="L23" s="21"/>
      <c r="M23" s="22"/>
    </row>
    <row r="24" spans="1:13" ht="15" customHeight="1" x14ac:dyDescent="0.25">
      <c r="A24" s="74" t="s">
        <v>41</v>
      </c>
      <c r="B24" s="74"/>
      <c r="C24" s="74"/>
      <c r="D24" s="74"/>
      <c r="E24" s="74"/>
      <c r="F24" s="9">
        <v>0.16</v>
      </c>
      <c r="G24" s="74"/>
      <c r="H24" s="74"/>
      <c r="I24" s="74"/>
      <c r="J24" s="74"/>
      <c r="K24" s="74"/>
      <c r="L24" s="21"/>
      <c r="M24" s="22"/>
    </row>
    <row r="25" spans="1:13" x14ac:dyDescent="0.25">
      <c r="A25" s="79" t="s">
        <v>79</v>
      </c>
      <c r="B25" s="81"/>
      <c r="C25" s="81"/>
      <c r="D25" s="81"/>
      <c r="E25" s="82"/>
      <c r="F25" s="9">
        <v>0.1</v>
      </c>
      <c r="G25" s="74"/>
      <c r="H25" s="74"/>
      <c r="I25" s="74"/>
      <c r="J25" s="74"/>
      <c r="K25" s="74"/>
      <c r="L25" s="23"/>
      <c r="M25" s="22"/>
    </row>
    <row r="26" spans="1:13" x14ac:dyDescent="0.25">
      <c r="A26" s="67" t="s">
        <v>70</v>
      </c>
      <c r="B26" s="67"/>
      <c r="C26" s="67"/>
      <c r="D26" s="67"/>
      <c r="E26" s="67"/>
      <c r="F26" s="9">
        <v>0.1</v>
      </c>
      <c r="G26" s="67"/>
      <c r="H26" s="67"/>
      <c r="I26" s="67"/>
      <c r="J26" s="67"/>
      <c r="K26" s="67"/>
      <c r="L26" s="21"/>
      <c r="M26" s="22"/>
    </row>
    <row r="27" spans="1:13" ht="15" customHeight="1" x14ac:dyDescent="0.25">
      <c r="A27" s="67" t="s">
        <v>80</v>
      </c>
      <c r="B27" s="67"/>
      <c r="C27" s="67"/>
      <c r="D27" s="67"/>
      <c r="E27" s="67"/>
      <c r="F27" s="9">
        <v>0.1</v>
      </c>
      <c r="G27" s="67"/>
      <c r="H27" s="67"/>
      <c r="I27" s="67"/>
      <c r="J27" s="67"/>
      <c r="K27" s="67"/>
      <c r="L27" s="21"/>
      <c r="M27" s="22"/>
    </row>
    <row r="28" spans="1:13" ht="15" customHeight="1" x14ac:dyDescent="0.25">
      <c r="A28" s="74" t="s">
        <v>48</v>
      </c>
      <c r="B28" s="74"/>
      <c r="C28" s="74"/>
      <c r="D28" s="74"/>
      <c r="E28" s="74"/>
      <c r="F28" s="9">
        <v>0.3</v>
      </c>
      <c r="G28" s="67"/>
      <c r="H28" s="67"/>
      <c r="I28" s="67"/>
      <c r="J28" s="67"/>
      <c r="K28" s="67"/>
      <c r="L28" s="21"/>
      <c r="M28" s="22"/>
    </row>
    <row r="29" spans="1:13" x14ac:dyDescent="0.25">
      <c r="A29" s="74" t="s">
        <v>77</v>
      </c>
      <c r="B29" s="74"/>
      <c r="C29" s="74"/>
      <c r="D29" s="74"/>
      <c r="E29" s="74"/>
      <c r="F29" s="9">
        <v>0.2</v>
      </c>
      <c r="G29" s="74"/>
      <c r="H29" s="74"/>
      <c r="I29" s="74"/>
      <c r="J29" s="74"/>
      <c r="K29" s="74"/>
      <c r="L29" s="23"/>
      <c r="M29" s="22"/>
    </row>
    <row r="30" spans="1:13" x14ac:dyDescent="0.25">
      <c r="A30" s="74" t="s">
        <v>72</v>
      </c>
      <c r="B30" s="74"/>
      <c r="C30" s="74"/>
      <c r="D30" s="74"/>
      <c r="E30" s="74"/>
      <c r="F30" s="9">
        <v>0.1</v>
      </c>
      <c r="G30" s="67"/>
      <c r="H30" s="67"/>
      <c r="I30" s="67"/>
      <c r="J30" s="67"/>
      <c r="K30" s="67"/>
      <c r="L30" s="21"/>
      <c r="M30" s="22"/>
    </row>
    <row r="31" spans="1:13" ht="15" customHeight="1" x14ac:dyDescent="0.25">
      <c r="A31" s="74" t="s">
        <v>75</v>
      </c>
      <c r="B31" s="74"/>
      <c r="C31" s="74"/>
      <c r="D31" s="74"/>
      <c r="E31" s="74"/>
      <c r="F31" s="9">
        <v>0.24</v>
      </c>
      <c r="G31" s="67"/>
      <c r="H31" s="67"/>
      <c r="I31" s="67"/>
      <c r="J31" s="67"/>
      <c r="K31" s="67"/>
      <c r="L31" s="21"/>
      <c r="M31" s="22"/>
    </row>
    <row r="32" spans="1:13" x14ac:dyDescent="0.25">
      <c r="A32" s="74" t="s">
        <v>49</v>
      </c>
      <c r="B32" s="74"/>
      <c r="C32" s="74"/>
      <c r="D32" s="74"/>
      <c r="E32" s="74"/>
      <c r="F32" s="9">
        <v>0.1</v>
      </c>
      <c r="G32" s="67"/>
      <c r="H32" s="67"/>
      <c r="I32" s="67"/>
      <c r="J32" s="67"/>
      <c r="K32" s="67"/>
      <c r="L32" s="21"/>
      <c r="M32" s="22"/>
    </row>
    <row r="33" spans="1:12" hidden="1" x14ac:dyDescent="0.25">
      <c r="A33" s="79"/>
      <c r="B33" s="81"/>
      <c r="C33" s="81"/>
      <c r="D33" s="81"/>
      <c r="E33" s="82"/>
      <c r="F33" s="9"/>
      <c r="G33" s="67"/>
      <c r="H33" s="67"/>
      <c r="I33" s="67"/>
      <c r="J33" s="67"/>
      <c r="K33" s="67"/>
      <c r="L33" s="9"/>
    </row>
    <row r="34" spans="1:12" ht="9.75" hidden="1" customHeight="1" x14ac:dyDescent="0.25">
      <c r="A34" s="79"/>
      <c r="B34" s="81"/>
      <c r="C34" s="81"/>
      <c r="D34" s="81"/>
      <c r="E34" s="82"/>
      <c r="F34" s="9"/>
      <c r="G34" s="76"/>
      <c r="H34" s="77"/>
      <c r="I34" s="77"/>
      <c r="J34" s="77"/>
      <c r="K34" s="78"/>
      <c r="L34" s="9"/>
    </row>
    <row r="35" spans="1:12" x14ac:dyDescent="0.25">
      <c r="A35" s="73" t="s">
        <v>4</v>
      </c>
      <c r="B35" s="73"/>
      <c r="C35" s="73"/>
      <c r="D35" s="73"/>
      <c r="E35" s="73"/>
      <c r="F35" s="9">
        <f>SUM(F18:F34)+0.6</f>
        <v>2.5500000000000003</v>
      </c>
      <c r="G35" s="73" t="s">
        <v>4</v>
      </c>
      <c r="H35" s="73"/>
      <c r="I35" s="73"/>
      <c r="J35" s="73"/>
      <c r="K35" s="73"/>
      <c r="L35" s="9">
        <f>SUM(L18:L34)</f>
        <v>0.2</v>
      </c>
    </row>
    <row r="37" spans="1:12" x14ac:dyDescent="0.25">
      <c r="A37" s="19" t="s">
        <v>65</v>
      </c>
      <c r="F37" s="7">
        <v>3586</v>
      </c>
    </row>
    <row r="38" spans="1:12" ht="60" x14ac:dyDescent="0.25">
      <c r="A38" s="91" t="s">
        <v>5</v>
      </c>
      <c r="B38" s="92"/>
      <c r="C38" s="92"/>
      <c r="D38" s="92"/>
      <c r="E38" s="93"/>
      <c r="F38" s="20" t="s">
        <v>6</v>
      </c>
      <c r="G38" s="20" t="s">
        <v>1</v>
      </c>
      <c r="H38" s="20" t="s">
        <v>60</v>
      </c>
      <c r="I38" s="20" t="s">
        <v>61</v>
      </c>
      <c r="J38" s="20" t="s">
        <v>62</v>
      </c>
      <c r="K38" s="62" t="s">
        <v>63</v>
      </c>
      <c r="L38" s="35"/>
    </row>
    <row r="39" spans="1:12" ht="30.75" hidden="1" customHeight="1" x14ac:dyDescent="0.25">
      <c r="A39" s="76" t="s">
        <v>46</v>
      </c>
      <c r="B39" s="77"/>
      <c r="C39" s="77"/>
      <c r="D39" s="77"/>
      <c r="E39" s="78"/>
      <c r="F39" s="26">
        <v>11538</v>
      </c>
      <c r="G39" s="9">
        <v>0.1</v>
      </c>
      <c r="H39" s="4">
        <f>G39*F39*12</f>
        <v>13845.599999999999</v>
      </c>
      <c r="I39" s="4">
        <f>H39*1.302</f>
        <v>18026.9712</v>
      </c>
      <c r="J39" s="9">
        <f>F37</f>
        <v>3586</v>
      </c>
      <c r="K39" s="9">
        <f>I39/J39</f>
        <v>5.027041606246514</v>
      </c>
      <c r="L39" s="30"/>
    </row>
    <row r="40" spans="1:12" ht="14.25" hidden="1" customHeight="1" x14ac:dyDescent="0.25">
      <c r="A40" s="67" t="s">
        <v>73</v>
      </c>
      <c r="B40" s="67"/>
      <c r="C40" s="67"/>
      <c r="D40" s="67"/>
      <c r="E40" s="67"/>
      <c r="F40" s="26">
        <v>11538</v>
      </c>
      <c r="G40" s="9">
        <v>0.1</v>
      </c>
      <c r="H40" s="4">
        <f t="shared" ref="H40:H53" si="0">G40*F40*12</f>
        <v>13845.599999999999</v>
      </c>
      <c r="I40" s="4">
        <f t="shared" ref="I40:I53" si="1">H40*1.302</f>
        <v>18026.9712</v>
      </c>
      <c r="J40" s="9">
        <f>J44</f>
        <v>3586</v>
      </c>
      <c r="K40" s="9">
        <f t="shared" ref="K40:K53" si="2">I40/J40</f>
        <v>5.027041606246514</v>
      </c>
      <c r="L40" s="30"/>
    </row>
    <row r="41" spans="1:12" ht="14.25" hidden="1" customHeight="1" x14ac:dyDescent="0.25">
      <c r="A41" s="67" t="s">
        <v>76</v>
      </c>
      <c r="B41" s="67"/>
      <c r="C41" s="67"/>
      <c r="D41" s="67"/>
      <c r="E41" s="67"/>
      <c r="F41" s="9">
        <v>11538</v>
      </c>
      <c r="G41" s="9">
        <v>0.1</v>
      </c>
      <c r="H41" s="4">
        <f t="shared" si="0"/>
        <v>13845.599999999999</v>
      </c>
      <c r="I41" s="4">
        <f t="shared" si="1"/>
        <v>18026.9712</v>
      </c>
      <c r="J41" s="9">
        <f>J39</f>
        <v>3586</v>
      </c>
      <c r="K41" s="9">
        <f t="shared" si="2"/>
        <v>5.027041606246514</v>
      </c>
      <c r="L41" s="30"/>
    </row>
    <row r="42" spans="1:12" ht="13.5" hidden="1" customHeight="1" x14ac:dyDescent="0.25">
      <c r="A42" s="67" t="s">
        <v>71</v>
      </c>
      <c r="B42" s="67"/>
      <c r="C42" s="67"/>
      <c r="D42" s="67"/>
      <c r="E42" s="67"/>
      <c r="F42" s="26">
        <v>8837</v>
      </c>
      <c r="G42" s="9">
        <v>0.1</v>
      </c>
      <c r="H42" s="4">
        <f t="shared" si="0"/>
        <v>10604.400000000001</v>
      </c>
      <c r="I42" s="4">
        <f t="shared" si="1"/>
        <v>13806.928800000002</v>
      </c>
      <c r="J42" s="9">
        <f>J39</f>
        <v>3586</v>
      </c>
      <c r="K42" s="9">
        <f t="shared" si="2"/>
        <v>3.8502311210262135</v>
      </c>
      <c r="L42" s="30"/>
    </row>
    <row r="43" spans="1:12" hidden="1" x14ac:dyDescent="0.25">
      <c r="A43" s="67" t="s">
        <v>74</v>
      </c>
      <c r="B43" s="67"/>
      <c r="C43" s="67"/>
      <c r="D43" s="67"/>
      <c r="E43" s="67"/>
      <c r="F43" s="26">
        <v>4418.5</v>
      </c>
      <c r="G43" s="9">
        <v>0.05</v>
      </c>
      <c r="H43" s="4">
        <f t="shared" si="0"/>
        <v>2651.1000000000004</v>
      </c>
      <c r="I43" s="4">
        <f t="shared" si="1"/>
        <v>3451.7322000000004</v>
      </c>
      <c r="J43" s="9">
        <f>J41</f>
        <v>3586</v>
      </c>
      <c r="K43" s="9">
        <f t="shared" si="2"/>
        <v>0.96255778025655336</v>
      </c>
      <c r="L43" s="30"/>
    </row>
    <row r="44" spans="1:12" hidden="1" x14ac:dyDescent="0.25">
      <c r="A44" s="67" t="s">
        <v>78</v>
      </c>
      <c r="B44" s="67"/>
      <c r="C44" s="67"/>
      <c r="D44" s="67"/>
      <c r="E44" s="67"/>
      <c r="F44" s="9">
        <v>8837</v>
      </c>
      <c r="G44" s="9">
        <v>0.1</v>
      </c>
      <c r="H44" s="4">
        <f t="shared" si="0"/>
        <v>10604.400000000001</v>
      </c>
      <c r="I44" s="4">
        <f t="shared" si="1"/>
        <v>13806.928800000002</v>
      </c>
      <c r="J44" s="9">
        <f>J41</f>
        <v>3586</v>
      </c>
      <c r="K44" s="9">
        <f t="shared" si="2"/>
        <v>3.8502311210262135</v>
      </c>
      <c r="L44" s="30"/>
    </row>
    <row r="45" spans="1:12" ht="15" hidden="1" customHeight="1" x14ac:dyDescent="0.25">
      <c r="A45" s="74" t="s">
        <v>41</v>
      </c>
      <c r="B45" s="74"/>
      <c r="C45" s="74"/>
      <c r="D45" s="74"/>
      <c r="E45" s="74"/>
      <c r="F45" s="9">
        <v>6556</v>
      </c>
      <c r="G45" s="9">
        <v>0.16</v>
      </c>
      <c r="H45" s="4">
        <f t="shared" si="0"/>
        <v>12587.52</v>
      </c>
      <c r="I45" s="4">
        <f t="shared" si="1"/>
        <v>16388.95104</v>
      </c>
      <c r="J45" s="9">
        <f>J43</f>
        <v>3586</v>
      </c>
      <c r="K45" s="9">
        <f t="shared" si="2"/>
        <v>4.5702596319018403</v>
      </c>
      <c r="L45" s="30"/>
    </row>
    <row r="46" spans="1:12" hidden="1" x14ac:dyDescent="0.25">
      <c r="A46" s="79" t="s">
        <v>79</v>
      </c>
      <c r="B46" s="81"/>
      <c r="C46" s="81"/>
      <c r="D46" s="81"/>
      <c r="E46" s="82"/>
      <c r="F46" s="26">
        <v>3933</v>
      </c>
      <c r="G46" s="9">
        <v>0.1</v>
      </c>
      <c r="H46" s="4">
        <f t="shared" si="0"/>
        <v>4719.6000000000004</v>
      </c>
      <c r="I46" s="4">
        <f t="shared" si="1"/>
        <v>6144.9192000000003</v>
      </c>
      <c r="J46" s="9">
        <f>J43</f>
        <v>3586</v>
      </c>
      <c r="K46" s="9">
        <f t="shared" si="2"/>
        <v>1.7135859453430007</v>
      </c>
      <c r="L46" s="30"/>
    </row>
    <row r="47" spans="1:12" ht="15.75" hidden="1" customHeight="1" x14ac:dyDescent="0.25">
      <c r="A47" s="67" t="s">
        <v>70</v>
      </c>
      <c r="B47" s="67"/>
      <c r="C47" s="67"/>
      <c r="D47" s="67"/>
      <c r="E47" s="67"/>
      <c r="F47" s="26">
        <v>4496</v>
      </c>
      <c r="G47" s="9">
        <v>0.1</v>
      </c>
      <c r="H47" s="4">
        <f t="shared" si="0"/>
        <v>5395.2000000000007</v>
      </c>
      <c r="I47" s="4">
        <f t="shared" si="1"/>
        <v>7024.550400000001</v>
      </c>
      <c r="J47" s="9">
        <f>J44</f>
        <v>3586</v>
      </c>
      <c r="K47" s="9">
        <f t="shared" si="2"/>
        <v>1.9588818739542668</v>
      </c>
      <c r="L47" s="30"/>
    </row>
    <row r="48" spans="1:12" hidden="1" x14ac:dyDescent="0.25">
      <c r="A48" s="67" t="s">
        <v>80</v>
      </c>
      <c r="B48" s="67"/>
      <c r="C48" s="67"/>
      <c r="D48" s="67"/>
      <c r="E48" s="67"/>
      <c r="F48" s="9">
        <v>11538</v>
      </c>
      <c r="G48" s="9">
        <v>0.1</v>
      </c>
      <c r="H48" s="4">
        <f t="shared" si="0"/>
        <v>13845.599999999999</v>
      </c>
      <c r="I48" s="4">
        <f t="shared" si="1"/>
        <v>18026.9712</v>
      </c>
      <c r="J48" s="9">
        <f>J45</f>
        <v>3586</v>
      </c>
      <c r="K48" s="9">
        <f t="shared" si="2"/>
        <v>5.027041606246514</v>
      </c>
      <c r="L48" s="30"/>
    </row>
    <row r="49" spans="1:13" ht="15" hidden="1" customHeight="1" x14ac:dyDescent="0.25">
      <c r="A49" s="74" t="s">
        <v>48</v>
      </c>
      <c r="B49" s="74"/>
      <c r="C49" s="74"/>
      <c r="D49" s="74"/>
      <c r="E49" s="74"/>
      <c r="F49" s="9">
        <v>11538</v>
      </c>
      <c r="G49" s="9">
        <v>0.3</v>
      </c>
      <c r="H49" s="4">
        <f t="shared" si="0"/>
        <v>41536.800000000003</v>
      </c>
      <c r="I49" s="4">
        <f t="shared" si="1"/>
        <v>54080.913600000007</v>
      </c>
      <c r="J49" s="9">
        <f>J45</f>
        <v>3586</v>
      </c>
      <c r="K49" s="9">
        <f t="shared" si="2"/>
        <v>15.081124818739545</v>
      </c>
      <c r="L49" s="30"/>
    </row>
    <row r="50" spans="1:13" ht="15" hidden="1" customHeight="1" x14ac:dyDescent="0.25">
      <c r="A50" s="74" t="s">
        <v>77</v>
      </c>
      <c r="B50" s="74"/>
      <c r="C50" s="74"/>
      <c r="D50" s="74"/>
      <c r="E50" s="74"/>
      <c r="F50" s="9">
        <v>6556</v>
      </c>
      <c r="G50" s="9">
        <v>0.2</v>
      </c>
      <c r="H50" s="4">
        <f t="shared" si="0"/>
        <v>15734.400000000001</v>
      </c>
      <c r="I50" s="4">
        <f t="shared" si="1"/>
        <v>20486.188800000004</v>
      </c>
      <c r="J50" s="9">
        <f>J48</f>
        <v>3586</v>
      </c>
      <c r="K50" s="9">
        <f t="shared" si="2"/>
        <v>5.7128245398773014</v>
      </c>
      <c r="L50" s="30"/>
    </row>
    <row r="51" spans="1:13" ht="17.25" hidden="1" customHeight="1" x14ac:dyDescent="0.25">
      <c r="A51" s="74" t="s">
        <v>72</v>
      </c>
      <c r="B51" s="74"/>
      <c r="C51" s="74"/>
      <c r="D51" s="74"/>
      <c r="E51" s="74"/>
      <c r="F51" s="26">
        <v>11538</v>
      </c>
      <c r="G51" s="9">
        <v>0.1</v>
      </c>
      <c r="H51" s="4">
        <f t="shared" si="0"/>
        <v>13845.599999999999</v>
      </c>
      <c r="I51" s="4">
        <f t="shared" si="1"/>
        <v>18026.9712</v>
      </c>
      <c r="J51" s="9">
        <f>J49</f>
        <v>3586</v>
      </c>
      <c r="K51" s="9">
        <f t="shared" si="2"/>
        <v>5.027041606246514</v>
      </c>
      <c r="L51" s="30"/>
    </row>
    <row r="52" spans="1:13" ht="15" hidden="1" customHeight="1" x14ac:dyDescent="0.25">
      <c r="A52" s="74" t="s">
        <v>75</v>
      </c>
      <c r="B52" s="74"/>
      <c r="C52" s="74"/>
      <c r="D52" s="74"/>
      <c r="E52" s="74"/>
      <c r="F52" s="9">
        <v>8837</v>
      </c>
      <c r="G52" s="9">
        <v>0.24</v>
      </c>
      <c r="H52" s="4">
        <f t="shared" si="0"/>
        <v>25450.560000000001</v>
      </c>
      <c r="I52" s="4">
        <f t="shared" si="1"/>
        <v>33136.629120000005</v>
      </c>
      <c r="J52" s="9">
        <f>J51</f>
        <v>3586</v>
      </c>
      <c r="K52" s="9">
        <f t="shared" si="2"/>
        <v>9.240554690462913</v>
      </c>
      <c r="L52" s="30"/>
    </row>
    <row r="53" spans="1:13" ht="15" hidden="1" customHeight="1" x14ac:dyDescent="0.25">
      <c r="A53" s="74" t="s">
        <v>49</v>
      </c>
      <c r="B53" s="74"/>
      <c r="C53" s="74"/>
      <c r="D53" s="74"/>
      <c r="E53" s="74"/>
      <c r="F53" s="9">
        <v>11538</v>
      </c>
      <c r="G53" s="9">
        <v>0.1</v>
      </c>
      <c r="H53" s="4">
        <f t="shared" si="0"/>
        <v>13845.599999999999</v>
      </c>
      <c r="I53" s="4">
        <f t="shared" si="1"/>
        <v>18026.9712</v>
      </c>
      <c r="J53" s="9">
        <f>J52</f>
        <v>3586</v>
      </c>
      <c r="K53" s="9">
        <f t="shared" si="2"/>
        <v>5.027041606246514</v>
      </c>
      <c r="L53" s="30"/>
    </row>
    <row r="54" spans="1:13" s="8" customFormat="1" ht="14.25" customHeight="1" x14ac:dyDescent="0.25">
      <c r="A54" s="27" t="s">
        <v>82</v>
      </c>
      <c r="B54" s="28"/>
      <c r="C54" s="28"/>
      <c r="D54" s="28"/>
      <c r="E54" s="28"/>
      <c r="F54" s="3">
        <v>15478.94</v>
      </c>
      <c r="G54" s="3">
        <f>F35</f>
        <v>2.5500000000000003</v>
      </c>
      <c r="H54" s="3">
        <f>(F54*G54)*12</f>
        <v>473655.56400000007</v>
      </c>
      <c r="I54" s="3">
        <f>(H54*1.302)</f>
        <v>616699.54432800016</v>
      </c>
      <c r="J54" s="3">
        <f>F37</f>
        <v>3586</v>
      </c>
      <c r="K54" s="3">
        <f>I54/F37</f>
        <v>171.97421760401565</v>
      </c>
      <c r="L54" s="30"/>
      <c r="M54" s="7"/>
    </row>
    <row r="55" spans="1:13" x14ac:dyDescent="0.25">
      <c r="A55" s="29"/>
      <c r="B55" s="29"/>
      <c r="C55" s="29"/>
      <c r="D55" s="29"/>
      <c r="E55" s="29"/>
      <c r="F55" s="30"/>
      <c r="G55" s="30"/>
      <c r="H55" s="30"/>
      <c r="I55" s="30"/>
      <c r="J55" s="30"/>
      <c r="K55" s="30"/>
      <c r="L55" s="30"/>
    </row>
    <row r="56" spans="1:13" ht="18" customHeight="1" x14ac:dyDescent="0.25">
      <c r="A56" s="75" t="s">
        <v>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</row>
    <row r="57" spans="1:13" ht="45" x14ac:dyDescent="0.25">
      <c r="A57" s="73" t="s">
        <v>9</v>
      </c>
      <c r="B57" s="73"/>
      <c r="C57" s="73"/>
      <c r="D57" s="73"/>
      <c r="E57" s="73"/>
      <c r="F57" s="20" t="s">
        <v>7</v>
      </c>
      <c r="G57" s="20" t="s">
        <v>59</v>
      </c>
      <c r="H57" s="20" t="s">
        <v>58</v>
      </c>
      <c r="I57" s="20" t="s">
        <v>64</v>
      </c>
      <c r="J57" s="20" t="s">
        <v>62</v>
      </c>
      <c r="K57" s="24" t="s">
        <v>63</v>
      </c>
      <c r="L57" s="31"/>
    </row>
    <row r="58" spans="1:13" x14ac:dyDescent="0.25">
      <c r="A58" s="79" t="s">
        <v>42</v>
      </c>
      <c r="B58" s="81"/>
      <c r="C58" s="81"/>
      <c r="D58" s="81"/>
      <c r="E58" s="82"/>
      <c r="F58" s="25" t="s">
        <v>43</v>
      </c>
      <c r="G58" s="25">
        <v>35000</v>
      </c>
      <c r="H58" s="25">
        <v>4.5</v>
      </c>
      <c r="I58" s="32">
        <f>157500*10%</f>
        <v>15750</v>
      </c>
      <c r="J58" s="9">
        <f>J53</f>
        <v>3586</v>
      </c>
      <c r="K58" s="33">
        <f>I58/J58</f>
        <v>4.3920803123257111</v>
      </c>
      <c r="L58" s="31"/>
    </row>
    <row r="59" spans="1:13" x14ac:dyDescent="0.25">
      <c r="A59" s="67" t="s">
        <v>10</v>
      </c>
      <c r="B59" s="67"/>
      <c r="C59" s="67"/>
      <c r="D59" s="67"/>
      <c r="E59" s="67"/>
      <c r="F59" s="9" t="s">
        <v>13</v>
      </c>
      <c r="G59" s="9">
        <v>160</v>
      </c>
      <c r="H59" s="9">
        <v>1690.46</v>
      </c>
      <c r="I59" s="32">
        <f>270474.6*10%</f>
        <v>27047.46</v>
      </c>
      <c r="J59" s="9">
        <f>J58</f>
        <v>3586</v>
      </c>
      <c r="K59" s="33">
        <f t="shared" ref="K59:K62" si="3">I59/J59</f>
        <v>7.5425153374233123</v>
      </c>
      <c r="L59" s="22"/>
    </row>
    <row r="60" spans="1:13" x14ac:dyDescent="0.25">
      <c r="A60" s="67" t="s">
        <v>11</v>
      </c>
      <c r="B60" s="67"/>
      <c r="C60" s="67"/>
      <c r="D60" s="67"/>
      <c r="E60" s="67"/>
      <c r="F60" s="9" t="s">
        <v>14</v>
      </c>
      <c r="G60" s="9">
        <v>200</v>
      </c>
      <c r="H60" s="9">
        <v>40.96</v>
      </c>
      <c r="I60" s="32">
        <f>8192*10%</f>
        <v>819.2</v>
      </c>
      <c r="J60" s="9">
        <f>J59</f>
        <v>3586</v>
      </c>
      <c r="K60" s="33">
        <f t="shared" si="3"/>
        <v>0.22844394868934748</v>
      </c>
      <c r="L60" s="22"/>
    </row>
    <row r="61" spans="1:13" x14ac:dyDescent="0.25">
      <c r="A61" s="67" t="s">
        <v>12</v>
      </c>
      <c r="B61" s="67"/>
      <c r="C61" s="67"/>
      <c r="D61" s="67"/>
      <c r="E61" s="67"/>
      <c r="F61" s="9" t="s">
        <v>14</v>
      </c>
      <c r="G61" s="9">
        <v>200</v>
      </c>
      <c r="H61" s="9">
        <v>59.65</v>
      </c>
      <c r="I61" s="32">
        <f>11930*10%</f>
        <v>1193</v>
      </c>
      <c r="J61" s="9">
        <f>J59</f>
        <v>3586</v>
      </c>
      <c r="K61" s="33">
        <f t="shared" si="3"/>
        <v>0.33268265476854436</v>
      </c>
      <c r="L61" s="22"/>
    </row>
    <row r="62" spans="1:13" x14ac:dyDescent="0.25">
      <c r="A62" s="79" t="s">
        <v>17</v>
      </c>
      <c r="B62" s="80"/>
      <c r="C62" s="80"/>
      <c r="D62" s="80"/>
      <c r="E62" s="80"/>
      <c r="F62" s="9" t="s">
        <v>14</v>
      </c>
      <c r="G62" s="9">
        <v>12</v>
      </c>
      <c r="H62" s="9">
        <v>1833.34</v>
      </c>
      <c r="I62" s="34">
        <f>22000.1*10%</f>
        <v>2200.0099999999998</v>
      </c>
      <c r="J62" s="9">
        <f>J60</f>
        <v>3586</v>
      </c>
      <c r="K62" s="33">
        <f t="shared" si="3"/>
        <v>0.61349972113775786</v>
      </c>
      <c r="L62" s="22"/>
    </row>
    <row r="63" spans="1:13" s="8" customFormat="1" ht="15" customHeight="1" x14ac:dyDescent="0.25">
      <c r="A63" s="83" t="s">
        <v>15</v>
      </c>
      <c r="B63" s="84"/>
      <c r="C63" s="84"/>
      <c r="D63" s="84"/>
      <c r="E63" s="84"/>
      <c r="F63" s="84"/>
      <c r="G63" s="84"/>
      <c r="H63" s="85"/>
      <c r="I63" s="5">
        <f>SUM(I58:I62)</f>
        <v>47009.67</v>
      </c>
      <c r="J63" s="5">
        <f>F37</f>
        <v>3586</v>
      </c>
      <c r="K63" s="5">
        <f>I63/J62</f>
        <v>13.109221974344674</v>
      </c>
      <c r="L63" s="22"/>
      <c r="M63" s="7"/>
    </row>
    <row r="65" spans="1:13" x14ac:dyDescent="0.25">
      <c r="A65" s="75" t="s">
        <v>16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</row>
    <row r="66" spans="1:13" ht="45" x14ac:dyDescent="0.25">
      <c r="A66" s="73" t="s">
        <v>20</v>
      </c>
      <c r="B66" s="73"/>
      <c r="C66" s="73"/>
      <c r="D66" s="73"/>
      <c r="E66" s="73"/>
      <c r="F66" s="25" t="s">
        <v>7</v>
      </c>
      <c r="G66" s="25" t="s">
        <v>59</v>
      </c>
      <c r="H66" s="25" t="s">
        <v>58</v>
      </c>
      <c r="I66" s="25" t="s">
        <v>64</v>
      </c>
      <c r="J66" s="25" t="s">
        <v>62</v>
      </c>
      <c r="K66" s="33" t="s">
        <v>63</v>
      </c>
      <c r="L66" s="31"/>
    </row>
    <row r="67" spans="1:13" ht="14.25" customHeight="1" x14ac:dyDescent="0.25">
      <c r="A67" s="67" t="s">
        <v>44</v>
      </c>
      <c r="B67" s="67"/>
      <c r="C67" s="67"/>
      <c r="D67" s="67"/>
      <c r="E67" s="67"/>
      <c r="F67" s="9" t="s">
        <v>18</v>
      </c>
      <c r="G67" s="9">
        <v>12</v>
      </c>
      <c r="H67" s="9">
        <v>785.4</v>
      </c>
      <c r="I67" s="9">
        <f>9424.8*10%</f>
        <v>942.48</v>
      </c>
      <c r="J67" s="9">
        <f>J59</f>
        <v>3586</v>
      </c>
      <c r="K67" s="21">
        <f t="shared" ref="K67:K70" si="4">I67/J67</f>
        <v>0.26282208588957057</v>
      </c>
      <c r="L67" s="22"/>
    </row>
    <row r="68" spans="1:13" ht="14.25" customHeight="1" x14ac:dyDescent="0.25">
      <c r="A68" s="67" t="s">
        <v>104</v>
      </c>
      <c r="B68" s="67"/>
      <c r="C68" s="67"/>
      <c r="D68" s="67"/>
      <c r="E68" s="67"/>
      <c r="F68" s="9" t="s">
        <v>18</v>
      </c>
      <c r="G68" s="9">
        <v>12</v>
      </c>
      <c r="H68" s="9">
        <v>2900</v>
      </c>
      <c r="I68" s="9">
        <f>34800*10%</f>
        <v>3480</v>
      </c>
      <c r="J68" s="9">
        <f t="shared" ref="J68:J70" si="5">J60</f>
        <v>3586</v>
      </c>
      <c r="K68" s="21">
        <f t="shared" si="4"/>
        <v>0.97044060234244278</v>
      </c>
      <c r="L68" s="22"/>
    </row>
    <row r="69" spans="1:13" ht="14.25" customHeight="1" x14ac:dyDescent="0.25">
      <c r="A69" s="67" t="s">
        <v>105</v>
      </c>
      <c r="B69" s="67"/>
      <c r="C69" s="67"/>
      <c r="D69" s="67"/>
      <c r="E69" s="67"/>
      <c r="F69" s="9" t="s">
        <v>18</v>
      </c>
      <c r="G69" s="9">
        <v>12</v>
      </c>
      <c r="H69" s="9">
        <v>2100</v>
      </c>
      <c r="I69" s="9">
        <f>25200*10%</f>
        <v>2520</v>
      </c>
      <c r="J69" s="9">
        <f t="shared" si="5"/>
        <v>3586</v>
      </c>
      <c r="K69" s="21">
        <f t="shared" si="4"/>
        <v>0.70273284997211383</v>
      </c>
      <c r="L69" s="22"/>
    </row>
    <row r="70" spans="1:13" ht="23.25" customHeight="1" x14ac:dyDescent="0.25">
      <c r="A70" s="76" t="s">
        <v>106</v>
      </c>
      <c r="B70" s="77"/>
      <c r="C70" s="77"/>
      <c r="D70" s="77"/>
      <c r="E70" s="78"/>
      <c r="F70" s="9" t="s">
        <v>18</v>
      </c>
      <c r="G70" s="9">
        <v>12</v>
      </c>
      <c r="H70" s="9">
        <v>800</v>
      </c>
      <c r="I70" s="9">
        <f>9600*10%</f>
        <v>960</v>
      </c>
      <c r="J70" s="9">
        <f t="shared" si="5"/>
        <v>3586</v>
      </c>
      <c r="K70" s="9">
        <f t="shared" si="4"/>
        <v>0.26770775237032907</v>
      </c>
      <c r="L70" s="30"/>
    </row>
    <row r="71" spans="1:13" s="8" customFormat="1" ht="15.75" customHeight="1" x14ac:dyDescent="0.25">
      <c r="A71" s="68" t="s">
        <v>19</v>
      </c>
      <c r="B71" s="69"/>
      <c r="C71" s="69"/>
      <c r="D71" s="69"/>
      <c r="E71" s="69"/>
      <c r="F71" s="69"/>
      <c r="G71" s="69"/>
      <c r="H71" s="70"/>
      <c r="I71" s="3">
        <f>SUM(I67:I70)</f>
        <v>7902.48</v>
      </c>
      <c r="J71" s="3">
        <f>F37</f>
        <v>3586</v>
      </c>
      <c r="K71" s="3">
        <f>SUM(K67:K70)</f>
        <v>2.203703290574456</v>
      </c>
      <c r="L71" s="22"/>
      <c r="M71" s="7"/>
    </row>
    <row r="73" spans="1:13" x14ac:dyDescent="0.25">
      <c r="A73" s="75" t="s">
        <v>89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</row>
    <row r="74" spans="1:13" ht="45" x14ac:dyDescent="0.25">
      <c r="A74" s="91" t="s">
        <v>20</v>
      </c>
      <c r="B74" s="92"/>
      <c r="C74" s="92"/>
      <c r="D74" s="92"/>
      <c r="E74" s="93"/>
      <c r="F74" s="20" t="s">
        <v>7</v>
      </c>
      <c r="G74" s="20" t="s">
        <v>59</v>
      </c>
      <c r="H74" s="20" t="s">
        <v>58</v>
      </c>
      <c r="I74" s="20" t="s">
        <v>64</v>
      </c>
      <c r="J74" s="20" t="s">
        <v>62</v>
      </c>
      <c r="K74" s="24" t="s">
        <v>63</v>
      </c>
      <c r="L74" s="31"/>
      <c r="M74" s="35"/>
    </row>
    <row r="75" spans="1:13" ht="34.5" customHeight="1" x14ac:dyDescent="0.25">
      <c r="A75" s="67" t="s">
        <v>21</v>
      </c>
      <c r="B75" s="67"/>
      <c r="C75" s="67"/>
      <c r="D75" s="67"/>
      <c r="E75" s="67"/>
      <c r="F75" s="36" t="s">
        <v>22</v>
      </c>
      <c r="G75" s="9">
        <v>2</v>
      </c>
      <c r="H75" s="37">
        <v>400</v>
      </c>
      <c r="I75" s="9">
        <f>9600*10%</f>
        <v>960</v>
      </c>
      <c r="J75" s="9">
        <f>J70</f>
        <v>3586</v>
      </c>
      <c r="K75" s="21">
        <f>I75/J75</f>
        <v>0.26770775237032907</v>
      </c>
      <c r="L75" s="22"/>
      <c r="M75" s="30"/>
    </row>
    <row r="76" spans="1:13" ht="35.25" customHeight="1" x14ac:dyDescent="0.25">
      <c r="A76" s="79" t="s">
        <v>107</v>
      </c>
      <c r="B76" s="81"/>
      <c r="C76" s="81"/>
      <c r="D76" s="81"/>
      <c r="E76" s="82"/>
      <c r="F76" s="36" t="s">
        <v>22</v>
      </c>
      <c r="G76" s="9">
        <v>1</v>
      </c>
      <c r="H76" s="37"/>
      <c r="I76" s="9">
        <f>4200*10%</f>
        <v>420</v>
      </c>
      <c r="J76" s="9">
        <v>3586</v>
      </c>
      <c r="K76" s="21">
        <f>I76/J76</f>
        <v>0.11712214166201897</v>
      </c>
      <c r="L76" s="22"/>
      <c r="M76" s="30"/>
    </row>
    <row r="77" spans="1:13" ht="35.25" customHeight="1" x14ac:dyDescent="0.25">
      <c r="A77" s="67" t="s">
        <v>90</v>
      </c>
      <c r="B77" s="67"/>
      <c r="C77" s="67"/>
      <c r="D77" s="67"/>
      <c r="E77" s="67"/>
      <c r="F77" s="36" t="s">
        <v>91</v>
      </c>
      <c r="G77" s="9">
        <v>9</v>
      </c>
      <c r="H77" s="37">
        <v>5000</v>
      </c>
      <c r="I77" s="9">
        <f>60000*10%</f>
        <v>6000</v>
      </c>
      <c r="J77" s="9">
        <f>J75</f>
        <v>3586</v>
      </c>
      <c r="K77" s="21">
        <f>I77/J77</f>
        <v>1.6731734523145567</v>
      </c>
      <c r="L77" s="22"/>
      <c r="M77" s="30"/>
    </row>
    <row r="78" spans="1:13" x14ac:dyDescent="0.25">
      <c r="A78" s="68" t="s">
        <v>23</v>
      </c>
      <c r="B78" s="69"/>
      <c r="C78" s="69"/>
      <c r="D78" s="69"/>
      <c r="E78" s="69"/>
      <c r="F78" s="69"/>
      <c r="G78" s="69"/>
      <c r="H78" s="70"/>
      <c r="I78" s="6">
        <f>SUM(I75:I77)</f>
        <v>7380</v>
      </c>
      <c r="J78" s="6">
        <f>F37</f>
        <v>3586</v>
      </c>
      <c r="K78" s="6">
        <f>SUM(K75:K77)</f>
        <v>2.0580033463469047</v>
      </c>
      <c r="L78" s="14"/>
      <c r="M78" s="30"/>
    </row>
    <row r="80" spans="1:13" x14ac:dyDescent="0.25">
      <c r="A80" s="75" t="s">
        <v>40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</row>
    <row r="81" spans="1:13" ht="57.75" customHeight="1" x14ac:dyDescent="0.25">
      <c r="A81" s="91" t="s">
        <v>5</v>
      </c>
      <c r="B81" s="92"/>
      <c r="C81" s="92"/>
      <c r="D81" s="92"/>
      <c r="E81" s="93"/>
      <c r="F81" s="63" t="s">
        <v>6</v>
      </c>
      <c r="G81" s="63" t="s">
        <v>1</v>
      </c>
      <c r="H81" s="63" t="s">
        <v>60</v>
      </c>
      <c r="I81" s="63" t="s">
        <v>61</v>
      </c>
      <c r="J81" s="63" t="s">
        <v>62</v>
      </c>
      <c r="K81" s="64" t="s">
        <v>63</v>
      </c>
      <c r="L81" s="31"/>
    </row>
    <row r="82" spans="1:13" hidden="1" x14ac:dyDescent="0.25">
      <c r="A82" s="67" t="s">
        <v>3</v>
      </c>
      <c r="B82" s="67"/>
      <c r="C82" s="67"/>
      <c r="D82" s="67"/>
      <c r="E82" s="67"/>
      <c r="F82" s="26">
        <v>15898</v>
      </c>
      <c r="G82" s="9">
        <v>0.1</v>
      </c>
      <c r="H82" s="4">
        <f>F82*G82*12</f>
        <v>19077.600000000002</v>
      </c>
      <c r="I82" s="9">
        <f>H82*1.302-0.03</f>
        <v>24839.005200000003</v>
      </c>
      <c r="J82" s="9">
        <f>J75</f>
        <v>3586</v>
      </c>
      <c r="K82" s="21">
        <f>I82/J82</f>
        <v>6.926660680423872</v>
      </c>
      <c r="L82" s="22"/>
    </row>
    <row r="83" spans="1:13" ht="18.75" hidden="1" customHeight="1" x14ac:dyDescent="0.25">
      <c r="A83" s="67" t="s">
        <v>45</v>
      </c>
      <c r="B83" s="67"/>
      <c r="C83" s="67"/>
      <c r="D83" s="67"/>
      <c r="E83" s="67"/>
      <c r="F83" s="26">
        <v>14309</v>
      </c>
      <c r="G83" s="9">
        <v>0.1</v>
      </c>
      <c r="H83" s="4">
        <f>F83*G83*12</f>
        <v>17170.800000000003</v>
      </c>
      <c r="I83" s="9">
        <f>H83*1.302</f>
        <v>22356.381600000004</v>
      </c>
      <c r="J83" s="9">
        <f>J82</f>
        <v>3586</v>
      </c>
      <c r="K83" s="21">
        <f>I83/J83</f>
        <v>6.2343506971556062</v>
      </c>
      <c r="L83" s="22"/>
    </row>
    <row r="84" spans="1:13" x14ac:dyDescent="0.25">
      <c r="A84" s="38" t="s">
        <v>24</v>
      </c>
      <c r="B84" s="38"/>
      <c r="C84" s="38"/>
      <c r="D84" s="38"/>
      <c r="E84" s="38"/>
      <c r="F84" s="48">
        <v>24165.599999999999</v>
      </c>
      <c r="G84" s="48">
        <f>SUM(G82:G83)</f>
        <v>0.2</v>
      </c>
      <c r="H84" s="48">
        <f>F84*G84*12</f>
        <v>57997.440000000002</v>
      </c>
      <c r="I84" s="6">
        <f>H84*1.302</f>
        <v>75512.666880000004</v>
      </c>
      <c r="J84" s="6">
        <f>F37</f>
        <v>3586</v>
      </c>
      <c r="K84" s="6">
        <f>I84/J84</f>
        <v>21.057631589514781</v>
      </c>
      <c r="L84" s="22"/>
    </row>
    <row r="85" spans="1:13" ht="10.5" customHeight="1" x14ac:dyDescent="0.25">
      <c r="F85" s="39"/>
      <c r="G85" s="39"/>
      <c r="H85" s="39"/>
      <c r="I85" s="39"/>
      <c r="J85" s="39"/>
      <c r="K85" s="39"/>
      <c r="L85" s="39"/>
    </row>
    <row r="86" spans="1:13" s="8" customFormat="1" x14ac:dyDescent="0.25">
      <c r="A86" s="71" t="s">
        <v>67</v>
      </c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2"/>
      <c r="M86" s="7"/>
    </row>
    <row r="87" spans="1:13" ht="49.5" customHeight="1" x14ac:dyDescent="0.25">
      <c r="A87" s="73" t="s">
        <v>69</v>
      </c>
      <c r="B87" s="73"/>
      <c r="C87" s="73"/>
      <c r="D87" s="73"/>
      <c r="E87" s="73"/>
      <c r="F87" s="20" t="s">
        <v>7</v>
      </c>
      <c r="G87" s="20" t="s">
        <v>59</v>
      </c>
      <c r="H87" s="20" t="s">
        <v>58</v>
      </c>
      <c r="I87" s="20" t="s">
        <v>64</v>
      </c>
      <c r="J87" s="20" t="s">
        <v>62</v>
      </c>
      <c r="K87" s="24" t="s">
        <v>63</v>
      </c>
      <c r="L87" s="31"/>
    </row>
    <row r="88" spans="1:13" ht="33" customHeight="1" x14ac:dyDescent="0.25">
      <c r="A88" s="76" t="s">
        <v>66</v>
      </c>
      <c r="B88" s="77"/>
      <c r="C88" s="77"/>
      <c r="D88" s="77"/>
      <c r="E88" s="78"/>
      <c r="F88" s="9" t="s">
        <v>25</v>
      </c>
      <c r="G88" s="9">
        <v>11</v>
      </c>
      <c r="H88" s="4">
        <v>5525.3</v>
      </c>
      <c r="I88" s="9">
        <f>60778.32*10%+0.01</f>
        <v>6077.8420000000006</v>
      </c>
      <c r="J88" s="9">
        <f>J83</f>
        <v>3586</v>
      </c>
      <c r="K88" s="21">
        <f>I88/J88</f>
        <v>1.6948806469604016</v>
      </c>
      <c r="L88" s="22"/>
    </row>
    <row r="89" spans="1:13" s="8" customFormat="1" x14ac:dyDescent="0.25">
      <c r="A89" s="68" t="s">
        <v>68</v>
      </c>
      <c r="B89" s="69"/>
      <c r="C89" s="69"/>
      <c r="D89" s="69"/>
      <c r="E89" s="69"/>
      <c r="F89" s="69"/>
      <c r="G89" s="69"/>
      <c r="H89" s="69"/>
      <c r="I89" s="6">
        <f>SUM(I88:I88)</f>
        <v>6077.8420000000006</v>
      </c>
      <c r="J89" s="6">
        <f>F37</f>
        <v>3586</v>
      </c>
      <c r="K89" s="6">
        <f>SUM(K88:K88)</f>
        <v>1.6948806469604016</v>
      </c>
      <c r="L89" s="22"/>
      <c r="M89" s="7"/>
    </row>
    <row r="90" spans="1:13" s="8" customFormat="1" x14ac:dyDescent="0.25">
      <c r="A90" s="40"/>
      <c r="B90" s="40"/>
      <c r="C90" s="40"/>
      <c r="D90" s="40"/>
      <c r="E90" s="40"/>
      <c r="F90" s="40"/>
      <c r="G90" s="40"/>
      <c r="H90" s="40"/>
      <c r="I90" s="14"/>
      <c r="J90" s="14"/>
      <c r="K90" s="14"/>
      <c r="L90" s="30"/>
      <c r="M90" s="7"/>
    </row>
    <row r="91" spans="1:13" s="8" customFormat="1" x14ac:dyDescent="0.25">
      <c r="A91" s="41"/>
      <c r="B91" s="41"/>
      <c r="C91" s="41"/>
      <c r="D91" s="41"/>
      <c r="E91" s="41"/>
      <c r="F91" s="41"/>
      <c r="G91" s="41"/>
      <c r="H91" s="41"/>
      <c r="I91" s="15"/>
      <c r="J91" s="15"/>
      <c r="K91" s="15"/>
      <c r="L91" s="30"/>
      <c r="M91" s="7"/>
    </row>
    <row r="92" spans="1:13" s="8" customFormat="1" x14ac:dyDescent="0.25">
      <c r="A92" s="71" t="s">
        <v>108</v>
      </c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2"/>
      <c r="M92" s="7"/>
    </row>
    <row r="93" spans="1:13" ht="49.5" customHeight="1" x14ac:dyDescent="0.25">
      <c r="A93" s="73" t="s">
        <v>69</v>
      </c>
      <c r="B93" s="73"/>
      <c r="C93" s="73"/>
      <c r="D93" s="73"/>
      <c r="E93" s="73"/>
      <c r="F93" s="20" t="s">
        <v>7</v>
      </c>
      <c r="G93" s="20" t="s">
        <v>59</v>
      </c>
      <c r="H93" s="20" t="s">
        <v>58</v>
      </c>
      <c r="I93" s="20" t="s">
        <v>64</v>
      </c>
      <c r="J93" s="20" t="s">
        <v>62</v>
      </c>
      <c r="K93" s="24" t="s">
        <v>63</v>
      </c>
      <c r="L93" s="31"/>
    </row>
    <row r="94" spans="1:13" x14ac:dyDescent="0.25">
      <c r="A94" s="67" t="s">
        <v>109</v>
      </c>
      <c r="B94" s="67"/>
      <c r="C94" s="67"/>
      <c r="D94" s="67"/>
      <c r="E94" s="67"/>
      <c r="F94" s="9"/>
      <c r="G94" s="9"/>
      <c r="H94" s="4"/>
      <c r="I94" s="9">
        <f>720*10%</f>
        <v>72</v>
      </c>
      <c r="J94" s="9">
        <v>3586</v>
      </c>
      <c r="K94" s="21">
        <f>I94/J94</f>
        <v>2.0078081427774678E-2</v>
      </c>
      <c r="L94" s="22"/>
    </row>
    <row r="95" spans="1:13" s="8" customFormat="1" x14ac:dyDescent="0.25">
      <c r="A95" s="96" t="s">
        <v>110</v>
      </c>
      <c r="B95" s="96"/>
      <c r="C95" s="96"/>
      <c r="D95" s="96"/>
      <c r="E95" s="96"/>
      <c r="F95" s="96"/>
      <c r="G95" s="96"/>
      <c r="H95" s="96"/>
      <c r="I95" s="6">
        <f>SUM(I94:I94)</f>
        <v>72</v>
      </c>
      <c r="J95" s="6">
        <f>F37</f>
        <v>3586</v>
      </c>
      <c r="K95" s="6">
        <f>SUM(K94:K94)</f>
        <v>2.0078081427774678E-2</v>
      </c>
      <c r="L95" s="22"/>
      <c r="M95" s="7"/>
    </row>
    <row r="96" spans="1:13" s="65" customFormat="1" x14ac:dyDescent="0.25">
      <c r="A96" s="40"/>
      <c r="B96" s="40"/>
      <c r="C96" s="40"/>
      <c r="D96" s="40"/>
      <c r="E96" s="40"/>
      <c r="F96" s="40"/>
      <c r="G96" s="40"/>
      <c r="H96" s="40"/>
      <c r="I96" s="14"/>
      <c r="J96" s="14"/>
      <c r="K96" s="14"/>
      <c r="L96" s="30"/>
      <c r="M96" s="30"/>
    </row>
    <row r="97" spans="1:13" s="65" customFormat="1" x14ac:dyDescent="0.25">
      <c r="A97" s="40"/>
      <c r="B97" s="40"/>
      <c r="C97" s="40"/>
      <c r="D97" s="40"/>
      <c r="E97" s="40"/>
      <c r="F97" s="40"/>
      <c r="G97" s="40"/>
      <c r="H97" s="40"/>
      <c r="I97" s="14"/>
      <c r="J97" s="14"/>
      <c r="K97" s="14"/>
      <c r="L97" s="30"/>
      <c r="M97" s="30"/>
    </row>
    <row r="98" spans="1:13" s="8" customFormat="1" x14ac:dyDescent="0.25">
      <c r="A98" s="71" t="s">
        <v>111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2"/>
      <c r="M98" s="7"/>
    </row>
    <row r="99" spans="1:13" ht="49.5" customHeight="1" x14ac:dyDescent="0.25">
      <c r="A99" s="73" t="s">
        <v>69</v>
      </c>
      <c r="B99" s="73"/>
      <c r="C99" s="73"/>
      <c r="D99" s="73"/>
      <c r="E99" s="73"/>
      <c r="F99" s="20" t="s">
        <v>7</v>
      </c>
      <c r="G99" s="20" t="s">
        <v>59</v>
      </c>
      <c r="H99" s="20" t="s">
        <v>58</v>
      </c>
      <c r="I99" s="20" t="s">
        <v>64</v>
      </c>
      <c r="J99" s="20" t="s">
        <v>62</v>
      </c>
      <c r="K99" s="24" t="s">
        <v>63</v>
      </c>
      <c r="L99" s="31"/>
    </row>
    <row r="100" spans="1:13" x14ac:dyDescent="0.25">
      <c r="A100" s="67" t="s">
        <v>112</v>
      </c>
      <c r="B100" s="67"/>
      <c r="C100" s="67"/>
      <c r="D100" s="67"/>
      <c r="E100" s="67"/>
      <c r="F100" s="9"/>
      <c r="G100" s="9"/>
      <c r="H100" s="4"/>
      <c r="I100" s="9">
        <f>49300*10%</f>
        <v>4930</v>
      </c>
      <c r="J100" s="9">
        <v>3586</v>
      </c>
      <c r="K100" s="21">
        <f>I100/J100</f>
        <v>1.3747908533184607</v>
      </c>
      <c r="L100" s="22"/>
    </row>
    <row r="101" spans="1:13" s="8" customFormat="1" x14ac:dyDescent="0.25">
      <c r="A101" s="68" t="s">
        <v>114</v>
      </c>
      <c r="B101" s="69"/>
      <c r="C101" s="69"/>
      <c r="D101" s="69"/>
      <c r="E101" s="69"/>
      <c r="F101" s="69"/>
      <c r="G101" s="69"/>
      <c r="H101" s="69"/>
      <c r="I101" s="6">
        <f>SUM(I100:I100)</f>
        <v>4930</v>
      </c>
      <c r="J101" s="6">
        <f>F37</f>
        <v>3586</v>
      </c>
      <c r="K101" s="6">
        <f>SUM(K100:K100)</f>
        <v>1.3747908533184607</v>
      </c>
      <c r="L101" s="22"/>
      <c r="M101" s="7"/>
    </row>
    <row r="102" spans="1:13" s="8" customFormat="1" x14ac:dyDescent="0.25">
      <c r="A102" s="41"/>
      <c r="B102" s="41"/>
      <c r="C102" s="41"/>
      <c r="D102" s="41"/>
      <c r="E102" s="41"/>
      <c r="F102" s="41"/>
      <c r="G102" s="41"/>
      <c r="H102" s="41"/>
      <c r="I102" s="15"/>
      <c r="J102" s="15"/>
      <c r="K102" s="15"/>
      <c r="L102" s="30"/>
      <c r="M102" s="7"/>
    </row>
    <row r="103" spans="1:13" s="8" customFormat="1" x14ac:dyDescent="0.25">
      <c r="A103" s="71" t="s">
        <v>113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2"/>
      <c r="M103" s="7"/>
    </row>
    <row r="104" spans="1:13" ht="49.5" customHeight="1" x14ac:dyDescent="0.25">
      <c r="A104" s="73" t="s">
        <v>69</v>
      </c>
      <c r="B104" s="73"/>
      <c r="C104" s="73"/>
      <c r="D104" s="73"/>
      <c r="E104" s="73"/>
      <c r="F104" s="20" t="s">
        <v>7</v>
      </c>
      <c r="G104" s="20" t="s">
        <v>59</v>
      </c>
      <c r="H104" s="20" t="s">
        <v>58</v>
      </c>
      <c r="I104" s="20" t="s">
        <v>64</v>
      </c>
      <c r="J104" s="20" t="s">
        <v>62</v>
      </c>
      <c r="K104" s="24" t="s">
        <v>63</v>
      </c>
      <c r="L104" s="31"/>
    </row>
    <row r="105" spans="1:13" x14ac:dyDescent="0.25">
      <c r="A105" s="67" t="s">
        <v>115</v>
      </c>
      <c r="B105" s="67"/>
      <c r="C105" s="67"/>
      <c r="D105" s="67"/>
      <c r="E105" s="67"/>
      <c r="F105" s="9"/>
      <c r="G105" s="9"/>
      <c r="H105" s="4"/>
      <c r="I105" s="9">
        <f>103090*10%</f>
        <v>10309</v>
      </c>
      <c r="J105" s="9">
        <v>3586</v>
      </c>
      <c r="K105" s="21">
        <f>I105/J105</f>
        <v>2.8747908533184607</v>
      </c>
      <c r="L105" s="22"/>
    </row>
    <row r="106" spans="1:13" s="8" customFormat="1" x14ac:dyDescent="0.25">
      <c r="A106" s="68" t="s">
        <v>116</v>
      </c>
      <c r="B106" s="69"/>
      <c r="C106" s="69"/>
      <c r="D106" s="69"/>
      <c r="E106" s="69"/>
      <c r="F106" s="69"/>
      <c r="G106" s="69"/>
      <c r="H106" s="69"/>
      <c r="I106" s="6">
        <f>SUM(I105:I105)</f>
        <v>10309</v>
      </c>
      <c r="J106" s="6">
        <f>F37</f>
        <v>3586</v>
      </c>
      <c r="K106" s="6">
        <f>SUM(K105:K105)</f>
        <v>2.8747908533184607</v>
      </c>
      <c r="L106" s="22"/>
      <c r="M106" s="7"/>
    </row>
    <row r="107" spans="1:13" x14ac:dyDescent="0.25">
      <c r="F107" s="39"/>
      <c r="G107" s="39"/>
      <c r="H107" s="39"/>
      <c r="I107" s="39"/>
      <c r="J107" s="39"/>
      <c r="K107" s="39"/>
      <c r="L107" s="39"/>
    </row>
    <row r="108" spans="1:13" x14ac:dyDescent="0.25">
      <c r="A108" s="75" t="s">
        <v>26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</row>
    <row r="109" spans="1:13" hidden="1" x14ac:dyDescent="0.25"/>
    <row r="110" spans="1:13" ht="15" customHeight="1" x14ac:dyDescent="0.25">
      <c r="A110" s="90" t="s">
        <v>27</v>
      </c>
      <c r="B110" s="90"/>
      <c r="C110" s="90"/>
      <c r="D110" s="91" t="s">
        <v>28</v>
      </c>
      <c r="E110" s="92"/>
      <c r="F110" s="92"/>
      <c r="G110" s="92"/>
      <c r="H110" s="92"/>
      <c r="I110" s="92"/>
      <c r="J110" s="93"/>
      <c r="K110" s="90" t="s">
        <v>39</v>
      </c>
      <c r="L110" s="90"/>
    </row>
    <row r="111" spans="1:13" ht="30" x14ac:dyDescent="0.25">
      <c r="A111" s="9" t="s">
        <v>29</v>
      </c>
      <c r="B111" s="25" t="s">
        <v>30</v>
      </c>
      <c r="C111" s="9" t="s">
        <v>31</v>
      </c>
      <c r="D111" s="9" t="s">
        <v>32</v>
      </c>
      <c r="E111" s="9" t="s">
        <v>33</v>
      </c>
      <c r="F111" s="9" t="s">
        <v>34</v>
      </c>
      <c r="G111" s="9" t="s">
        <v>35</v>
      </c>
      <c r="H111" s="9" t="s">
        <v>36</v>
      </c>
      <c r="I111" s="9" t="s">
        <v>37</v>
      </c>
      <c r="J111" s="9" t="s">
        <v>38</v>
      </c>
      <c r="K111" s="90"/>
      <c r="L111" s="90"/>
    </row>
    <row r="112" spans="1:13" x14ac:dyDescent="0.25">
      <c r="A112" s="9">
        <f>K54</f>
        <v>171.97421760401565</v>
      </c>
      <c r="B112" s="9"/>
      <c r="C112" s="9"/>
      <c r="D112" s="9">
        <f>K63</f>
        <v>13.109221974344674</v>
      </c>
      <c r="E112" s="9">
        <f>K71</f>
        <v>2.203703290574456</v>
      </c>
      <c r="F112" s="9"/>
      <c r="G112" s="9">
        <f>K78</f>
        <v>2.0580033463469047</v>
      </c>
      <c r="H112" s="9">
        <v>0</v>
      </c>
      <c r="I112" s="9">
        <f>K84</f>
        <v>21.057631589514781</v>
      </c>
      <c r="J112" s="9">
        <f>K89+K95+K101+K106</f>
        <v>5.9645404350250981</v>
      </c>
      <c r="K112" s="94">
        <f>SUM(A112:J112)</f>
        <v>216.36731823982157</v>
      </c>
      <c r="L112" s="95"/>
    </row>
    <row r="114" spans="1:12" x14ac:dyDescent="0.25">
      <c r="A114" s="42"/>
      <c r="B114" s="43"/>
      <c r="C114" s="44"/>
      <c r="D114" s="1"/>
      <c r="E114" s="1"/>
      <c r="F114" s="1"/>
    </row>
    <row r="115" spans="1:12" ht="15.75" x14ac:dyDescent="0.25">
      <c r="A115" s="16" t="s">
        <v>55</v>
      </c>
      <c r="B115" s="16"/>
      <c r="C115" s="16"/>
      <c r="D115" s="16"/>
      <c r="E115" s="16"/>
      <c r="F115" s="45"/>
      <c r="G115" s="45" t="s">
        <v>57</v>
      </c>
      <c r="H115" s="45"/>
      <c r="I115" s="12">
        <f>I89+I78+I71+I63+I54+I95+I101+I106+I84</f>
        <v>775893.20320800017</v>
      </c>
      <c r="L115" s="12">
        <f>K112*J105</f>
        <v>775893.20320800017</v>
      </c>
    </row>
    <row r="116" spans="1:12" ht="15.75" x14ac:dyDescent="0.25">
      <c r="A116" s="46"/>
      <c r="B116" s="16"/>
      <c r="C116" s="2"/>
      <c r="D116" s="2"/>
      <c r="E116" s="2"/>
      <c r="F116" s="2"/>
    </row>
    <row r="118" spans="1:12" ht="15.75" x14ac:dyDescent="0.25">
      <c r="A118" s="46" t="s">
        <v>117</v>
      </c>
      <c r="B118" s="16"/>
      <c r="C118" s="46"/>
      <c r="D118" s="16"/>
    </row>
    <row r="119" spans="1:12" ht="15.75" x14ac:dyDescent="0.25">
      <c r="A119" s="46" t="s">
        <v>56</v>
      </c>
      <c r="B119" s="16"/>
      <c r="C119" s="46"/>
      <c r="D119" s="16"/>
    </row>
  </sheetData>
  <mergeCells count="105">
    <mergeCell ref="A39:E39"/>
    <mergeCell ref="K112:L112"/>
    <mergeCell ref="A74:E74"/>
    <mergeCell ref="A75:E75"/>
    <mergeCell ref="A80:L80"/>
    <mergeCell ref="A81:E81"/>
    <mergeCell ref="A82:E82"/>
    <mergeCell ref="A83:E83"/>
    <mergeCell ref="A88:E88"/>
    <mergeCell ref="A110:C110"/>
    <mergeCell ref="K110:L111"/>
    <mergeCell ref="A87:E87"/>
    <mergeCell ref="D110:J110"/>
    <mergeCell ref="A108:L108"/>
    <mergeCell ref="A92:L92"/>
    <mergeCell ref="A93:E93"/>
    <mergeCell ref="A94:E94"/>
    <mergeCell ref="A95:H95"/>
    <mergeCell ref="A76:E76"/>
    <mergeCell ref="A105:E105"/>
    <mergeCell ref="A106:H106"/>
    <mergeCell ref="A98:L98"/>
    <mergeCell ref="A99:E99"/>
    <mergeCell ref="A100:E100"/>
    <mergeCell ref="G31:K31"/>
    <mergeCell ref="A32:E32"/>
    <mergeCell ref="A41:E41"/>
    <mergeCell ref="A4:E4"/>
    <mergeCell ref="A6:E6"/>
    <mergeCell ref="A8:L8"/>
    <mergeCell ref="A9:L9"/>
    <mergeCell ref="A10:L10"/>
    <mergeCell ref="A30:E30"/>
    <mergeCell ref="G30:K30"/>
    <mergeCell ref="G33:K33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A20:E20"/>
    <mergeCell ref="G28:K28"/>
    <mergeCell ref="A38:E38"/>
    <mergeCell ref="A43:E43"/>
    <mergeCell ref="G20:K20"/>
    <mergeCell ref="A21:E21"/>
    <mergeCell ref="G21:K21"/>
    <mergeCell ref="A22:E22"/>
    <mergeCell ref="G22:K22"/>
    <mergeCell ref="A35:E35"/>
    <mergeCell ref="G35:K35"/>
    <mergeCell ref="A25:E25"/>
    <mergeCell ref="G25:K25"/>
    <mergeCell ref="A29:E29"/>
    <mergeCell ref="G29:K29"/>
    <mergeCell ref="A26:E26"/>
    <mergeCell ref="G26:K26"/>
    <mergeCell ref="A27:E27"/>
    <mergeCell ref="G27:K27"/>
    <mergeCell ref="A28:E28"/>
    <mergeCell ref="G34:K34"/>
    <mergeCell ref="A40:E40"/>
    <mergeCell ref="A42:E42"/>
    <mergeCell ref="G32:K32"/>
    <mergeCell ref="A33:E33"/>
    <mergeCell ref="A34:E34"/>
    <mergeCell ref="A31:E31"/>
    <mergeCell ref="A50:E50"/>
    <mergeCell ref="A44:E44"/>
    <mergeCell ref="A70:E70"/>
    <mergeCell ref="A69:E69"/>
    <mergeCell ref="A61:E61"/>
    <mergeCell ref="A65:L65"/>
    <mergeCell ref="A66:E66"/>
    <mergeCell ref="A67:E67"/>
    <mergeCell ref="A68:E68"/>
    <mergeCell ref="A59:E59"/>
    <mergeCell ref="A60:E60"/>
    <mergeCell ref="A62:E62"/>
    <mergeCell ref="A46:E46"/>
    <mergeCell ref="A47:E47"/>
    <mergeCell ref="A56:L56"/>
    <mergeCell ref="A58:E58"/>
    <mergeCell ref="A63:H63"/>
    <mergeCell ref="A45:E45"/>
    <mergeCell ref="A48:E48"/>
    <mergeCell ref="A49:E49"/>
    <mergeCell ref="A57:E57"/>
    <mergeCell ref="A52:E52"/>
    <mergeCell ref="A77:E77"/>
    <mergeCell ref="A71:H71"/>
    <mergeCell ref="A78:H78"/>
    <mergeCell ref="A86:L86"/>
    <mergeCell ref="A101:H101"/>
    <mergeCell ref="A103:L103"/>
    <mergeCell ref="A104:E104"/>
    <mergeCell ref="A51:E51"/>
    <mergeCell ref="A73:L73"/>
    <mergeCell ref="A53:E53"/>
    <mergeCell ref="A89:H89"/>
  </mergeCells>
  <pageMargins left="0.70866141732283472" right="0.47" top="0.26" bottom="0.31" header="0.26" footer="0.2"/>
  <pageSetup paperSize="9" scale="81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9"/>
  <sheetViews>
    <sheetView topLeftCell="A96" zoomScale="90" zoomScaleNormal="90" workbookViewId="0">
      <selection activeCell="H85" sqref="H85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2.57031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4.71093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6" t="s">
        <v>51</v>
      </c>
      <c r="B1" s="16"/>
      <c r="C1" s="16"/>
    </row>
    <row r="2" spans="1:12" ht="15.75" x14ac:dyDescent="0.25">
      <c r="A2" s="17" t="s">
        <v>52</v>
      </c>
      <c r="B2" s="17"/>
      <c r="C2" s="17"/>
    </row>
    <row r="3" spans="1:12" ht="12.75" customHeight="1" x14ac:dyDescent="0.25">
      <c r="A3" s="18"/>
      <c r="B3" s="18"/>
      <c r="C3" s="18"/>
    </row>
    <row r="4" spans="1:12" ht="15.75" x14ac:dyDescent="0.25">
      <c r="A4" s="86" t="s">
        <v>53</v>
      </c>
      <c r="B4" s="86"/>
      <c r="C4" s="86"/>
      <c r="D4" s="87"/>
      <c r="E4" s="87"/>
    </row>
    <row r="5" spans="1:12" ht="12.75" customHeight="1" x14ac:dyDescent="0.25">
      <c r="A5" s="17"/>
      <c r="B5" s="17"/>
      <c r="C5" s="17"/>
    </row>
    <row r="6" spans="1:12" ht="15.75" x14ac:dyDescent="0.25">
      <c r="A6" s="88" t="s">
        <v>54</v>
      </c>
      <c r="B6" s="88"/>
      <c r="C6" s="88"/>
      <c r="D6" s="87"/>
      <c r="E6" s="87"/>
    </row>
    <row r="8" spans="1:12" ht="15.75" x14ac:dyDescent="0.25">
      <c r="A8" s="89" t="s">
        <v>50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ht="15.75" x14ac:dyDescent="0.25">
      <c r="A9" s="89" t="s">
        <v>95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5.75" customHeight="1" x14ac:dyDescent="0.25">
      <c r="A10" s="89" t="s">
        <v>101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2" spans="1:12" x14ac:dyDescent="0.25">
      <c r="A12" s="19" t="s">
        <v>100</v>
      </c>
    </row>
    <row r="13" spans="1:12" x14ac:dyDescent="0.25">
      <c r="A13" s="19" t="s">
        <v>119</v>
      </c>
    </row>
    <row r="14" spans="1:12" x14ac:dyDescent="0.25">
      <c r="A14" s="19" t="s">
        <v>124</v>
      </c>
    </row>
    <row r="15" spans="1:12" ht="18.75" customHeight="1" x14ac:dyDescent="0.25">
      <c r="A15" s="19" t="s">
        <v>103</v>
      </c>
    </row>
    <row r="16" spans="1:12" ht="33" customHeight="1" x14ac:dyDescent="0.25">
      <c r="A16" s="90" t="s">
        <v>0</v>
      </c>
      <c r="B16" s="90"/>
      <c r="C16" s="90"/>
      <c r="D16" s="90"/>
      <c r="E16" s="90"/>
      <c r="F16" s="20" t="s">
        <v>1</v>
      </c>
      <c r="G16" s="90" t="s">
        <v>2</v>
      </c>
      <c r="H16" s="90"/>
      <c r="I16" s="90"/>
      <c r="J16" s="90"/>
      <c r="K16" s="90"/>
      <c r="L16" s="9" t="s">
        <v>1</v>
      </c>
    </row>
    <row r="17" spans="1:12" ht="30.75" customHeight="1" x14ac:dyDescent="0.25">
      <c r="A17" s="76" t="s">
        <v>46</v>
      </c>
      <c r="B17" s="77"/>
      <c r="C17" s="77"/>
      <c r="D17" s="77"/>
      <c r="E17" s="78"/>
      <c r="F17" s="9">
        <v>0.87</v>
      </c>
      <c r="G17" s="74" t="s">
        <v>3</v>
      </c>
      <c r="H17" s="74"/>
      <c r="I17" s="74"/>
      <c r="J17" s="74"/>
      <c r="K17" s="74"/>
      <c r="L17" s="9">
        <v>0.87</v>
      </c>
    </row>
    <row r="18" spans="1:12" ht="15" customHeight="1" x14ac:dyDescent="0.25">
      <c r="A18" s="67" t="s">
        <v>73</v>
      </c>
      <c r="B18" s="67"/>
      <c r="C18" s="67"/>
      <c r="D18" s="67"/>
      <c r="E18" s="67"/>
      <c r="F18" s="9">
        <v>0.87</v>
      </c>
      <c r="G18" s="74" t="s">
        <v>47</v>
      </c>
      <c r="H18" s="74"/>
      <c r="I18" s="74"/>
      <c r="J18" s="74"/>
      <c r="K18" s="74"/>
      <c r="L18" s="9">
        <v>0.87</v>
      </c>
    </row>
    <row r="19" spans="1:12" ht="15" customHeight="1" x14ac:dyDescent="0.25">
      <c r="A19" s="67" t="s">
        <v>76</v>
      </c>
      <c r="B19" s="67"/>
      <c r="C19" s="67"/>
      <c r="D19" s="67"/>
      <c r="E19" s="67"/>
      <c r="F19" s="9">
        <v>0.87</v>
      </c>
      <c r="G19" s="67"/>
      <c r="H19" s="67"/>
      <c r="I19" s="67"/>
      <c r="J19" s="67"/>
      <c r="K19" s="67"/>
      <c r="L19" s="9"/>
    </row>
    <row r="20" spans="1:12" ht="15" customHeight="1" x14ac:dyDescent="0.25">
      <c r="A20" s="67" t="s">
        <v>71</v>
      </c>
      <c r="B20" s="67"/>
      <c r="C20" s="67"/>
      <c r="D20" s="67"/>
      <c r="E20" s="67"/>
      <c r="F20" s="9">
        <v>0.87</v>
      </c>
      <c r="G20" s="67"/>
      <c r="H20" s="67"/>
      <c r="I20" s="67"/>
      <c r="J20" s="67"/>
      <c r="K20" s="67"/>
      <c r="L20" s="9"/>
    </row>
    <row r="21" spans="1:12" ht="14.25" customHeight="1" x14ac:dyDescent="0.25">
      <c r="A21" s="67" t="s">
        <v>74</v>
      </c>
      <c r="B21" s="67"/>
      <c r="C21" s="67"/>
      <c r="D21" s="67"/>
      <c r="E21" s="67"/>
      <c r="F21" s="9">
        <v>0.44</v>
      </c>
      <c r="G21" s="74"/>
      <c r="H21" s="74"/>
      <c r="I21" s="74"/>
      <c r="J21" s="74"/>
      <c r="K21" s="74"/>
      <c r="L21" s="9"/>
    </row>
    <row r="22" spans="1:12" ht="15" customHeight="1" x14ac:dyDescent="0.25">
      <c r="A22" s="67" t="s">
        <v>78</v>
      </c>
      <c r="B22" s="67"/>
      <c r="C22" s="67"/>
      <c r="D22" s="67"/>
      <c r="E22" s="67"/>
      <c r="F22" s="9">
        <v>0.87</v>
      </c>
      <c r="G22" s="74"/>
      <c r="H22" s="74"/>
      <c r="I22" s="74"/>
      <c r="J22" s="74"/>
      <c r="K22" s="74"/>
      <c r="L22" s="9"/>
    </row>
    <row r="23" spans="1:12" ht="15" customHeight="1" x14ac:dyDescent="0.25">
      <c r="A23" s="74" t="s">
        <v>41</v>
      </c>
      <c r="B23" s="74"/>
      <c r="C23" s="74"/>
      <c r="D23" s="74"/>
      <c r="E23" s="74"/>
      <c r="F23" s="9">
        <v>1.42</v>
      </c>
      <c r="G23" s="74"/>
      <c r="H23" s="74"/>
      <c r="I23" s="74"/>
      <c r="J23" s="74"/>
      <c r="K23" s="74"/>
      <c r="L23" s="9"/>
    </row>
    <row r="24" spans="1:12" ht="15" customHeight="1" x14ac:dyDescent="0.25">
      <c r="A24" s="79" t="s">
        <v>79</v>
      </c>
      <c r="B24" s="81"/>
      <c r="C24" s="81"/>
      <c r="D24" s="81"/>
      <c r="E24" s="82"/>
      <c r="F24" s="9">
        <v>0.87</v>
      </c>
      <c r="G24" s="74"/>
      <c r="H24" s="74"/>
      <c r="I24" s="74"/>
      <c r="J24" s="74"/>
      <c r="K24" s="74"/>
      <c r="L24" s="47"/>
    </row>
    <row r="25" spans="1:12" x14ac:dyDescent="0.25">
      <c r="A25" s="67" t="s">
        <v>70</v>
      </c>
      <c r="B25" s="67"/>
      <c r="C25" s="67"/>
      <c r="D25" s="67"/>
      <c r="E25" s="67"/>
      <c r="F25" s="9">
        <v>0.87</v>
      </c>
      <c r="G25" s="67"/>
      <c r="H25" s="67"/>
      <c r="I25" s="67"/>
      <c r="J25" s="67"/>
      <c r="K25" s="67"/>
      <c r="L25" s="9"/>
    </row>
    <row r="26" spans="1:12" ht="15" customHeight="1" x14ac:dyDescent="0.25">
      <c r="A26" s="67" t="s">
        <v>80</v>
      </c>
      <c r="B26" s="67"/>
      <c r="C26" s="67"/>
      <c r="D26" s="67"/>
      <c r="E26" s="67"/>
      <c r="F26" s="9">
        <v>0.87</v>
      </c>
      <c r="G26" s="67"/>
      <c r="H26" s="67"/>
      <c r="I26" s="67"/>
      <c r="J26" s="67"/>
      <c r="K26" s="67"/>
      <c r="L26" s="9"/>
    </row>
    <row r="27" spans="1:12" x14ac:dyDescent="0.25">
      <c r="A27" s="74" t="s">
        <v>48</v>
      </c>
      <c r="B27" s="74"/>
      <c r="C27" s="74"/>
      <c r="D27" s="74"/>
      <c r="E27" s="74"/>
      <c r="F27" s="9">
        <v>2.6</v>
      </c>
      <c r="G27" s="67"/>
      <c r="H27" s="67"/>
      <c r="I27" s="67"/>
      <c r="J27" s="67"/>
      <c r="K27" s="67"/>
      <c r="L27" s="9"/>
    </row>
    <row r="28" spans="1:12" ht="15" customHeight="1" x14ac:dyDescent="0.25">
      <c r="A28" s="74" t="s">
        <v>77</v>
      </c>
      <c r="B28" s="74"/>
      <c r="C28" s="74"/>
      <c r="D28" s="74"/>
      <c r="E28" s="74"/>
      <c r="F28" s="9">
        <v>0.87</v>
      </c>
      <c r="G28" s="74"/>
      <c r="H28" s="74"/>
      <c r="I28" s="74"/>
      <c r="J28" s="74"/>
      <c r="K28" s="74"/>
      <c r="L28" s="47"/>
    </row>
    <row r="29" spans="1:12" x14ac:dyDescent="0.25">
      <c r="A29" s="74" t="s">
        <v>72</v>
      </c>
      <c r="B29" s="74"/>
      <c r="C29" s="74"/>
      <c r="D29" s="74"/>
      <c r="E29" s="74"/>
      <c r="F29" s="9">
        <v>0.87</v>
      </c>
      <c r="G29" s="67"/>
      <c r="H29" s="67"/>
      <c r="I29" s="67"/>
      <c r="J29" s="67"/>
      <c r="K29" s="67"/>
      <c r="L29" s="9"/>
    </row>
    <row r="30" spans="1:12" ht="15" customHeight="1" x14ac:dyDescent="0.25">
      <c r="A30" s="74" t="s">
        <v>75</v>
      </c>
      <c r="B30" s="74"/>
      <c r="C30" s="74"/>
      <c r="D30" s="74"/>
      <c r="E30" s="74"/>
      <c r="F30" s="9">
        <v>2.0699999999999998</v>
      </c>
      <c r="G30" s="67"/>
      <c r="H30" s="67"/>
      <c r="I30" s="67"/>
      <c r="J30" s="67"/>
      <c r="K30" s="67"/>
      <c r="L30" s="9"/>
    </row>
    <row r="31" spans="1:12" x14ac:dyDescent="0.25">
      <c r="A31" s="74" t="s">
        <v>49</v>
      </c>
      <c r="B31" s="74"/>
      <c r="C31" s="74"/>
      <c r="D31" s="74"/>
      <c r="E31" s="74"/>
      <c r="F31" s="9">
        <v>0.87</v>
      </c>
      <c r="G31" s="67"/>
      <c r="H31" s="67"/>
      <c r="I31" s="67"/>
      <c r="J31" s="67"/>
      <c r="K31" s="67"/>
      <c r="L31" s="9"/>
    </row>
    <row r="32" spans="1:12" hidden="1" x14ac:dyDescent="0.25">
      <c r="A32" s="79"/>
      <c r="B32" s="81"/>
      <c r="C32" s="81"/>
      <c r="D32" s="81"/>
      <c r="E32" s="82"/>
      <c r="F32" s="9"/>
      <c r="G32" s="67"/>
      <c r="H32" s="67"/>
      <c r="I32" s="67"/>
      <c r="J32" s="67"/>
      <c r="K32" s="67"/>
      <c r="L32" s="9"/>
    </row>
    <row r="33" spans="1:12" ht="9.75" hidden="1" customHeight="1" x14ac:dyDescent="0.25">
      <c r="A33" s="79"/>
      <c r="B33" s="81"/>
      <c r="C33" s="81"/>
      <c r="D33" s="81"/>
      <c r="E33" s="82"/>
      <c r="F33" s="9"/>
      <c r="G33" s="76"/>
      <c r="H33" s="77"/>
      <c r="I33" s="77"/>
      <c r="J33" s="77"/>
      <c r="K33" s="78"/>
      <c r="L33" s="9"/>
    </row>
    <row r="34" spans="1:12" x14ac:dyDescent="0.25">
      <c r="A34" s="73" t="s">
        <v>4</v>
      </c>
      <c r="B34" s="73"/>
      <c r="C34" s="73"/>
      <c r="D34" s="73"/>
      <c r="E34" s="73"/>
      <c r="F34" s="9">
        <f>SUM(F17:F33)</f>
        <v>16.099999999999998</v>
      </c>
      <c r="G34" s="73" t="s">
        <v>4</v>
      </c>
      <c r="H34" s="73"/>
      <c r="I34" s="73"/>
      <c r="J34" s="73"/>
      <c r="K34" s="73"/>
      <c r="L34" s="9">
        <f>SUM(L17:L33)</f>
        <v>1.74</v>
      </c>
    </row>
    <row r="36" spans="1:12" x14ac:dyDescent="0.25">
      <c r="A36" s="19" t="s">
        <v>65</v>
      </c>
      <c r="F36" s="7">
        <v>31232</v>
      </c>
    </row>
    <row r="37" spans="1:12" ht="60" x14ac:dyDescent="0.25">
      <c r="A37" s="91" t="s">
        <v>5</v>
      </c>
      <c r="B37" s="92"/>
      <c r="C37" s="92"/>
      <c r="D37" s="92"/>
      <c r="E37" s="93"/>
      <c r="F37" s="20" t="s">
        <v>6</v>
      </c>
      <c r="G37" s="20" t="s">
        <v>1</v>
      </c>
      <c r="H37" s="20" t="s">
        <v>60</v>
      </c>
      <c r="I37" s="20" t="s">
        <v>61</v>
      </c>
      <c r="J37" s="20" t="s">
        <v>62</v>
      </c>
      <c r="K37" s="62" t="s">
        <v>63</v>
      </c>
      <c r="L37" s="35"/>
    </row>
    <row r="38" spans="1:12" ht="30.75" hidden="1" customHeight="1" x14ac:dyDescent="0.25">
      <c r="A38" s="76" t="s">
        <v>46</v>
      </c>
      <c r="B38" s="77"/>
      <c r="C38" s="77"/>
      <c r="D38" s="77"/>
      <c r="E38" s="78"/>
      <c r="F38" s="26">
        <f>'Услуга №1 '!F39</f>
        <v>11538</v>
      </c>
      <c r="G38" s="9">
        <v>0.89</v>
      </c>
      <c r="H38" s="4">
        <f>G38*F38*12</f>
        <v>123225.84</v>
      </c>
      <c r="I38" s="4">
        <f>H38*1.302</f>
        <v>160440.04368</v>
      </c>
      <c r="J38" s="9">
        <f>F36</f>
        <v>31232</v>
      </c>
      <c r="K38" s="9">
        <f>I38/J38</f>
        <v>5.1370403329918037</v>
      </c>
      <c r="L38" s="30"/>
    </row>
    <row r="39" spans="1:12" ht="14.25" hidden="1" customHeight="1" x14ac:dyDescent="0.25">
      <c r="A39" s="67" t="s">
        <v>73</v>
      </c>
      <c r="B39" s="67"/>
      <c r="C39" s="67"/>
      <c r="D39" s="67"/>
      <c r="E39" s="67"/>
      <c r="F39" s="26">
        <f>'Услуга №1 '!F40</f>
        <v>11538</v>
      </c>
      <c r="G39" s="9">
        <v>0.89</v>
      </c>
      <c r="H39" s="4">
        <f t="shared" ref="H39:H52" si="0">G39*F39*12</f>
        <v>123225.84</v>
      </c>
      <c r="I39" s="4">
        <f t="shared" ref="I39:I52" si="1">H39*1.302</f>
        <v>160440.04368</v>
      </c>
      <c r="J39" s="9">
        <f>J43</f>
        <v>31232</v>
      </c>
      <c r="K39" s="9">
        <f t="shared" ref="K39:K52" si="2">I39/J39</f>
        <v>5.1370403329918037</v>
      </c>
      <c r="L39" s="30"/>
    </row>
    <row r="40" spans="1:12" ht="14.25" hidden="1" customHeight="1" x14ac:dyDescent="0.25">
      <c r="A40" s="67" t="s">
        <v>76</v>
      </c>
      <c r="B40" s="67"/>
      <c r="C40" s="67"/>
      <c r="D40" s="67"/>
      <c r="E40" s="67"/>
      <c r="F40" s="26">
        <f>'Услуга №1 '!F41</f>
        <v>11538</v>
      </c>
      <c r="G40" s="9">
        <v>0.89</v>
      </c>
      <c r="H40" s="4">
        <f t="shared" si="0"/>
        <v>123225.84</v>
      </c>
      <c r="I40" s="4">
        <f t="shared" si="1"/>
        <v>160440.04368</v>
      </c>
      <c r="J40" s="9">
        <f>J38</f>
        <v>31232</v>
      </c>
      <c r="K40" s="9">
        <f t="shared" si="2"/>
        <v>5.1370403329918037</v>
      </c>
      <c r="L40" s="30"/>
    </row>
    <row r="41" spans="1:12" ht="13.5" hidden="1" customHeight="1" x14ac:dyDescent="0.25">
      <c r="A41" s="67" t="s">
        <v>71</v>
      </c>
      <c r="B41" s="67"/>
      <c r="C41" s="67"/>
      <c r="D41" s="67"/>
      <c r="E41" s="67"/>
      <c r="F41" s="26">
        <f>'Услуга №1 '!F42</f>
        <v>8837</v>
      </c>
      <c r="G41" s="9">
        <v>0.89</v>
      </c>
      <c r="H41" s="4">
        <f t="shared" si="0"/>
        <v>94379.16</v>
      </c>
      <c r="I41" s="4">
        <f t="shared" si="1"/>
        <v>122881.66632</v>
      </c>
      <c r="J41" s="9">
        <f>J38</f>
        <v>31232</v>
      </c>
      <c r="K41" s="9">
        <f t="shared" si="2"/>
        <v>3.9344795824795082</v>
      </c>
      <c r="L41" s="30"/>
    </row>
    <row r="42" spans="1:12" hidden="1" x14ac:dyDescent="0.25">
      <c r="A42" s="67" t="s">
        <v>74</v>
      </c>
      <c r="B42" s="67"/>
      <c r="C42" s="67"/>
      <c r="D42" s="67"/>
      <c r="E42" s="67"/>
      <c r="F42" s="26">
        <f>'Услуга №1 '!F43</f>
        <v>4418.5</v>
      </c>
      <c r="G42" s="9">
        <v>0.44</v>
      </c>
      <c r="H42" s="4">
        <f t="shared" si="0"/>
        <v>23329.68</v>
      </c>
      <c r="I42" s="4">
        <f t="shared" si="1"/>
        <v>30375.24336</v>
      </c>
      <c r="J42" s="9">
        <f>J40</f>
        <v>31232</v>
      </c>
      <c r="K42" s="9">
        <f t="shared" si="2"/>
        <v>0.97256798668032785</v>
      </c>
      <c r="L42" s="30"/>
    </row>
    <row r="43" spans="1:12" hidden="1" x14ac:dyDescent="0.25">
      <c r="A43" s="67" t="s">
        <v>78</v>
      </c>
      <c r="B43" s="67"/>
      <c r="C43" s="67"/>
      <c r="D43" s="67"/>
      <c r="E43" s="67"/>
      <c r="F43" s="26">
        <f>'Услуга №1 '!F44</f>
        <v>8837</v>
      </c>
      <c r="G43" s="9">
        <v>0.89</v>
      </c>
      <c r="H43" s="4">
        <f t="shared" si="0"/>
        <v>94379.16</v>
      </c>
      <c r="I43" s="4">
        <f t="shared" si="1"/>
        <v>122881.66632</v>
      </c>
      <c r="J43" s="9">
        <f>J40</f>
        <v>31232</v>
      </c>
      <c r="K43" s="9">
        <f t="shared" si="2"/>
        <v>3.9344795824795082</v>
      </c>
      <c r="L43" s="30"/>
    </row>
    <row r="44" spans="1:12" ht="15" hidden="1" customHeight="1" x14ac:dyDescent="0.25">
      <c r="A44" s="74" t="s">
        <v>41</v>
      </c>
      <c r="B44" s="74"/>
      <c r="C44" s="74"/>
      <c r="D44" s="74"/>
      <c r="E44" s="74"/>
      <c r="F44" s="9">
        <f>'Услуга №1 '!F45</f>
        <v>6556</v>
      </c>
      <c r="G44" s="9">
        <v>1.44</v>
      </c>
      <c r="H44" s="4">
        <f t="shared" si="0"/>
        <v>113287.67999999999</v>
      </c>
      <c r="I44" s="4">
        <f t="shared" si="1"/>
        <v>147500.55935999998</v>
      </c>
      <c r="J44" s="9">
        <f>J42</f>
        <v>31232</v>
      </c>
      <c r="K44" s="9">
        <f t="shared" si="2"/>
        <v>4.7227381967213109</v>
      </c>
      <c r="L44" s="30"/>
    </row>
    <row r="45" spans="1:12" hidden="1" x14ac:dyDescent="0.25">
      <c r="A45" s="79" t="s">
        <v>79</v>
      </c>
      <c r="B45" s="81"/>
      <c r="C45" s="81"/>
      <c r="D45" s="81"/>
      <c r="E45" s="82"/>
      <c r="F45" s="9">
        <f>'Услуга №1 '!F46</f>
        <v>3933</v>
      </c>
      <c r="G45" s="9">
        <v>0.89</v>
      </c>
      <c r="H45" s="4">
        <f t="shared" si="0"/>
        <v>42004.44</v>
      </c>
      <c r="I45" s="4">
        <f t="shared" si="1"/>
        <v>54689.780880000006</v>
      </c>
      <c r="J45" s="9">
        <f>J42</f>
        <v>31232</v>
      </c>
      <c r="K45" s="9">
        <f t="shared" si="2"/>
        <v>1.751081611168033</v>
      </c>
      <c r="L45" s="30"/>
    </row>
    <row r="46" spans="1:12" ht="15.75" hidden="1" customHeight="1" x14ac:dyDescent="0.25">
      <c r="A46" s="67" t="s">
        <v>70</v>
      </c>
      <c r="B46" s="67"/>
      <c r="C46" s="67"/>
      <c r="D46" s="67"/>
      <c r="E46" s="67"/>
      <c r="F46" s="9">
        <f>'Услуга №1 '!F47</f>
        <v>4496</v>
      </c>
      <c r="G46" s="9">
        <v>0.89</v>
      </c>
      <c r="H46" s="4">
        <f t="shared" si="0"/>
        <v>48017.279999999999</v>
      </c>
      <c r="I46" s="4">
        <f t="shared" si="1"/>
        <v>62518.49856</v>
      </c>
      <c r="J46" s="9">
        <f>J43</f>
        <v>31232</v>
      </c>
      <c r="K46" s="9">
        <f t="shared" si="2"/>
        <v>2.0017449590163934</v>
      </c>
      <c r="L46" s="30"/>
    </row>
    <row r="47" spans="1:12" hidden="1" x14ac:dyDescent="0.25">
      <c r="A47" s="67" t="s">
        <v>80</v>
      </c>
      <c r="B47" s="67"/>
      <c r="C47" s="67"/>
      <c r="D47" s="67"/>
      <c r="E47" s="67"/>
      <c r="F47" s="9">
        <f>'Услуга №1 '!F48</f>
        <v>11538</v>
      </c>
      <c r="G47" s="9">
        <v>0.89</v>
      </c>
      <c r="H47" s="4">
        <f t="shared" si="0"/>
        <v>123225.84</v>
      </c>
      <c r="I47" s="4">
        <f t="shared" si="1"/>
        <v>160440.04368</v>
      </c>
      <c r="J47" s="9">
        <f>J44</f>
        <v>31232</v>
      </c>
      <c r="K47" s="9">
        <f t="shared" si="2"/>
        <v>5.1370403329918037</v>
      </c>
      <c r="L47" s="30"/>
    </row>
    <row r="48" spans="1:12" ht="15" hidden="1" customHeight="1" x14ac:dyDescent="0.25">
      <c r="A48" s="74" t="s">
        <v>48</v>
      </c>
      <c r="B48" s="74"/>
      <c r="C48" s="74"/>
      <c r="D48" s="74"/>
      <c r="E48" s="74"/>
      <c r="F48" s="9">
        <f>'Услуга №1 '!F49</f>
        <v>11538</v>
      </c>
      <c r="G48" s="9">
        <v>2.66</v>
      </c>
      <c r="H48" s="4">
        <f t="shared" si="0"/>
        <v>368292.96</v>
      </c>
      <c r="I48" s="4">
        <f t="shared" si="1"/>
        <v>479517.43392000004</v>
      </c>
      <c r="J48" s="9">
        <f>J44</f>
        <v>31232</v>
      </c>
      <c r="K48" s="9">
        <f t="shared" si="2"/>
        <v>15.353401444672132</v>
      </c>
      <c r="L48" s="30"/>
    </row>
    <row r="49" spans="1:13" ht="15" hidden="1" customHeight="1" x14ac:dyDescent="0.25">
      <c r="A49" s="74" t="s">
        <v>77</v>
      </c>
      <c r="B49" s="74"/>
      <c r="C49" s="74"/>
      <c r="D49" s="74"/>
      <c r="E49" s="74"/>
      <c r="F49" s="9">
        <f>'Услуга №1 '!F50</f>
        <v>6556</v>
      </c>
      <c r="G49" s="9">
        <v>0.89</v>
      </c>
      <c r="H49" s="4">
        <f t="shared" si="0"/>
        <v>70018.080000000002</v>
      </c>
      <c r="I49" s="4">
        <f t="shared" si="1"/>
        <v>91163.540160000004</v>
      </c>
      <c r="J49" s="9">
        <f>J47</f>
        <v>31232</v>
      </c>
      <c r="K49" s="9">
        <f t="shared" si="2"/>
        <v>2.9189145799180327</v>
      </c>
      <c r="L49" s="30"/>
    </row>
    <row r="50" spans="1:13" ht="17.25" hidden="1" customHeight="1" x14ac:dyDescent="0.25">
      <c r="A50" s="74" t="s">
        <v>72</v>
      </c>
      <c r="B50" s="74"/>
      <c r="C50" s="74"/>
      <c r="D50" s="74"/>
      <c r="E50" s="74"/>
      <c r="F50" s="26">
        <f>'Услуга №1 '!F51</f>
        <v>11538</v>
      </c>
      <c r="G50" s="9">
        <v>0.89</v>
      </c>
      <c r="H50" s="4">
        <f t="shared" si="0"/>
        <v>123225.84</v>
      </c>
      <c r="I50" s="4">
        <f t="shared" si="1"/>
        <v>160440.04368</v>
      </c>
      <c r="J50" s="9">
        <f>J48</f>
        <v>31232</v>
      </c>
      <c r="K50" s="9">
        <f t="shared" si="2"/>
        <v>5.1370403329918037</v>
      </c>
      <c r="L50" s="30"/>
    </row>
    <row r="51" spans="1:13" ht="15" hidden="1" customHeight="1" x14ac:dyDescent="0.25">
      <c r="A51" s="74" t="s">
        <v>75</v>
      </c>
      <c r="B51" s="74"/>
      <c r="C51" s="74"/>
      <c r="D51" s="74"/>
      <c r="E51" s="74"/>
      <c r="F51" s="26">
        <f>'Услуга №1 '!F52</f>
        <v>8837</v>
      </c>
      <c r="G51" s="9">
        <v>2.1</v>
      </c>
      <c r="H51" s="4">
        <f t="shared" si="0"/>
        <v>222692.40000000002</v>
      </c>
      <c r="I51" s="4">
        <f t="shared" si="1"/>
        <v>289945.50480000005</v>
      </c>
      <c r="J51" s="9">
        <f>J50</f>
        <v>31232</v>
      </c>
      <c r="K51" s="9">
        <f t="shared" si="2"/>
        <v>9.2836035092213134</v>
      </c>
      <c r="L51" s="30"/>
    </row>
    <row r="52" spans="1:13" ht="15" hidden="1" customHeight="1" x14ac:dyDescent="0.25">
      <c r="A52" s="74" t="s">
        <v>49</v>
      </c>
      <c r="B52" s="74"/>
      <c r="C52" s="74"/>
      <c r="D52" s="74"/>
      <c r="E52" s="74"/>
      <c r="F52" s="26">
        <f>'Услуга №1 '!F53</f>
        <v>11538</v>
      </c>
      <c r="G52" s="9">
        <v>0.89</v>
      </c>
      <c r="H52" s="4">
        <f t="shared" si="0"/>
        <v>123225.84</v>
      </c>
      <c r="I52" s="4">
        <f t="shared" si="1"/>
        <v>160440.04368</v>
      </c>
      <c r="J52" s="9">
        <f>J51</f>
        <v>31232</v>
      </c>
      <c r="K52" s="9">
        <f t="shared" si="2"/>
        <v>5.1370403329918037</v>
      </c>
      <c r="L52" s="30"/>
    </row>
    <row r="53" spans="1:13" s="8" customFormat="1" ht="14.25" customHeight="1" x14ac:dyDescent="0.25">
      <c r="A53" s="27" t="s">
        <v>82</v>
      </c>
      <c r="B53" s="28"/>
      <c r="C53" s="28"/>
      <c r="D53" s="28"/>
      <c r="E53" s="28"/>
      <c r="F53" s="3">
        <v>21427.27</v>
      </c>
      <c r="G53" s="3">
        <f>F34</f>
        <v>16.099999999999998</v>
      </c>
      <c r="H53" s="3">
        <f>(F53*G53)*12</f>
        <v>4139748.5639999993</v>
      </c>
      <c r="I53" s="3">
        <f>(H53*1.302)</f>
        <v>5389952.6303279996</v>
      </c>
      <c r="J53" s="48">
        <f>J52</f>
        <v>31232</v>
      </c>
      <c r="K53" s="3">
        <f>I53/F36</f>
        <v>172.5778890345799</v>
      </c>
      <c r="L53" s="30"/>
      <c r="M53" s="7"/>
    </row>
    <row r="54" spans="1:13" x14ac:dyDescent="0.25">
      <c r="A54" s="29"/>
      <c r="B54" s="29"/>
      <c r="C54" s="29"/>
      <c r="D54" s="29"/>
      <c r="E54" s="29"/>
      <c r="F54" s="30"/>
      <c r="G54" s="30"/>
      <c r="H54" s="30"/>
      <c r="I54" s="30"/>
      <c r="J54" s="30"/>
      <c r="K54" s="30"/>
      <c r="L54" s="30"/>
    </row>
    <row r="55" spans="1:13" ht="12" customHeight="1" x14ac:dyDescent="0.25"/>
    <row r="56" spans="1:13" ht="18" customHeight="1" x14ac:dyDescent="0.25">
      <c r="A56" s="75" t="s">
        <v>8</v>
      </c>
      <c r="B56" s="75"/>
      <c r="C56" s="75"/>
      <c r="D56" s="75"/>
      <c r="E56" s="75"/>
      <c r="F56" s="75"/>
      <c r="G56" s="75"/>
      <c r="H56" s="75"/>
      <c r="I56" s="75"/>
      <c r="J56" s="75"/>
      <c r="K56" s="75"/>
      <c r="L56" s="75"/>
    </row>
    <row r="57" spans="1:13" ht="45" x14ac:dyDescent="0.25">
      <c r="A57" s="73" t="s">
        <v>9</v>
      </c>
      <c r="B57" s="73"/>
      <c r="C57" s="73"/>
      <c r="D57" s="73"/>
      <c r="E57" s="73"/>
      <c r="F57" s="20" t="s">
        <v>7</v>
      </c>
      <c r="G57" s="20" t="s">
        <v>59</v>
      </c>
      <c r="H57" s="20" t="s">
        <v>58</v>
      </c>
      <c r="I57" s="20" t="s">
        <v>64</v>
      </c>
      <c r="J57" s="20" t="s">
        <v>62</v>
      </c>
      <c r="K57" s="24" t="s">
        <v>63</v>
      </c>
      <c r="L57" s="31"/>
    </row>
    <row r="58" spans="1:13" x14ac:dyDescent="0.25">
      <c r="A58" s="79" t="s">
        <v>42</v>
      </c>
      <c r="B58" s="81"/>
      <c r="C58" s="81"/>
      <c r="D58" s="81"/>
      <c r="E58" s="82"/>
      <c r="F58" s="25" t="s">
        <v>43</v>
      </c>
      <c r="G58" s="25">
        <v>35000</v>
      </c>
      <c r="H58" s="25">
        <v>4.5</v>
      </c>
      <c r="I58" s="32">
        <f>157500*87.4%</f>
        <v>137655.00000000003</v>
      </c>
      <c r="J58" s="9">
        <f>F36</f>
        <v>31232</v>
      </c>
      <c r="K58" s="33">
        <f>I58/J58</f>
        <v>4.4074987192622963</v>
      </c>
      <c r="L58" s="31"/>
    </row>
    <row r="59" spans="1:13" x14ac:dyDescent="0.25">
      <c r="A59" s="67" t="s">
        <v>10</v>
      </c>
      <c r="B59" s="67"/>
      <c r="C59" s="67"/>
      <c r="D59" s="67"/>
      <c r="E59" s="67"/>
      <c r="F59" s="9" t="s">
        <v>13</v>
      </c>
      <c r="G59" s="9">
        <v>160</v>
      </c>
      <c r="H59" s="9">
        <v>1690.46</v>
      </c>
      <c r="I59" s="32">
        <f>270474.6*87.4%</f>
        <v>236394.80040000001</v>
      </c>
      <c r="J59" s="9">
        <f>J58</f>
        <v>31232</v>
      </c>
      <c r="K59" s="33">
        <f t="shared" ref="K59:K62" si="3">I59/J59</f>
        <v>7.5689933529713116</v>
      </c>
      <c r="L59" s="22"/>
    </row>
    <row r="60" spans="1:13" x14ac:dyDescent="0.25">
      <c r="A60" s="67" t="s">
        <v>11</v>
      </c>
      <c r="B60" s="67"/>
      <c r="C60" s="67"/>
      <c r="D60" s="67"/>
      <c r="E60" s="67"/>
      <c r="F60" s="9" t="s">
        <v>14</v>
      </c>
      <c r="G60" s="9">
        <v>200</v>
      </c>
      <c r="H60" s="9">
        <v>40.96</v>
      </c>
      <c r="I60" s="32">
        <f>8192*87.4%</f>
        <v>7159.8080000000009</v>
      </c>
      <c r="J60" s="9">
        <f>J59</f>
        <v>31232</v>
      </c>
      <c r="K60" s="33">
        <f t="shared" si="3"/>
        <v>0.2292459016393443</v>
      </c>
      <c r="L60" s="22"/>
    </row>
    <row r="61" spans="1:13" x14ac:dyDescent="0.25">
      <c r="A61" s="67" t="s">
        <v>12</v>
      </c>
      <c r="B61" s="67"/>
      <c r="C61" s="67"/>
      <c r="D61" s="67"/>
      <c r="E61" s="67"/>
      <c r="F61" s="9" t="s">
        <v>14</v>
      </c>
      <c r="G61" s="9">
        <v>200</v>
      </c>
      <c r="H61" s="9">
        <v>59.65</v>
      </c>
      <c r="I61" s="32">
        <f>11930*87.4%</f>
        <v>10426.820000000002</v>
      </c>
      <c r="J61" s="9">
        <f>J59</f>
        <v>31232</v>
      </c>
      <c r="K61" s="33">
        <f t="shared" si="3"/>
        <v>0.3338505379098361</v>
      </c>
      <c r="L61" s="22"/>
    </row>
    <row r="62" spans="1:13" x14ac:dyDescent="0.25">
      <c r="A62" s="79" t="s">
        <v>17</v>
      </c>
      <c r="B62" s="80"/>
      <c r="C62" s="80"/>
      <c r="D62" s="80"/>
      <c r="E62" s="80"/>
      <c r="F62" s="9" t="s">
        <v>14</v>
      </c>
      <c r="G62" s="9">
        <v>12</v>
      </c>
      <c r="H62" s="9">
        <v>1833.34</v>
      </c>
      <c r="I62" s="34">
        <f>22000.1*87.4%</f>
        <v>19228.0874</v>
      </c>
      <c r="J62" s="9">
        <f>J60</f>
        <v>31232</v>
      </c>
      <c r="K62" s="33">
        <f t="shared" si="3"/>
        <v>0.61565341316598365</v>
      </c>
      <c r="L62" s="22"/>
    </row>
    <row r="63" spans="1:13" s="8" customFormat="1" ht="15" customHeight="1" x14ac:dyDescent="0.25">
      <c r="A63" s="83" t="s">
        <v>15</v>
      </c>
      <c r="B63" s="84"/>
      <c r="C63" s="84"/>
      <c r="D63" s="84"/>
      <c r="E63" s="84"/>
      <c r="F63" s="84"/>
      <c r="G63" s="84"/>
      <c r="H63" s="85"/>
      <c r="I63" s="5">
        <f>SUM(I58:I62)</f>
        <v>410864.51580000011</v>
      </c>
      <c r="J63" s="48">
        <f>J61</f>
        <v>31232</v>
      </c>
      <c r="K63" s="5">
        <f>I63/J63</f>
        <v>13.155241924948774</v>
      </c>
      <c r="L63" s="22"/>
      <c r="M63" s="7"/>
    </row>
    <row r="65" spans="1:13" x14ac:dyDescent="0.25">
      <c r="A65" s="75" t="s">
        <v>16</v>
      </c>
      <c r="B65" s="75"/>
      <c r="C65" s="75"/>
      <c r="D65" s="75"/>
      <c r="E65" s="75"/>
      <c r="F65" s="75"/>
      <c r="G65" s="75"/>
      <c r="H65" s="75"/>
      <c r="I65" s="75"/>
      <c r="J65" s="75"/>
      <c r="K65" s="75"/>
      <c r="L65" s="75"/>
    </row>
    <row r="66" spans="1:13" ht="45" x14ac:dyDescent="0.25">
      <c r="A66" s="73" t="s">
        <v>20</v>
      </c>
      <c r="B66" s="73"/>
      <c r="C66" s="73"/>
      <c r="D66" s="73"/>
      <c r="E66" s="73"/>
      <c r="F66" s="25" t="s">
        <v>7</v>
      </c>
      <c r="G66" s="25" t="s">
        <v>59</v>
      </c>
      <c r="H66" s="25" t="s">
        <v>58</v>
      </c>
      <c r="I66" s="25" t="s">
        <v>64</v>
      </c>
      <c r="J66" s="25" t="s">
        <v>62</v>
      </c>
      <c r="K66" s="33" t="s">
        <v>63</v>
      </c>
      <c r="L66" s="31"/>
    </row>
    <row r="67" spans="1:13" ht="14.25" customHeight="1" x14ac:dyDescent="0.25">
      <c r="A67" s="67" t="s">
        <v>44</v>
      </c>
      <c r="B67" s="67"/>
      <c r="C67" s="67"/>
      <c r="D67" s="67"/>
      <c r="E67" s="67"/>
      <c r="F67" s="9" t="s">
        <v>18</v>
      </c>
      <c r="G67" s="9">
        <v>12</v>
      </c>
      <c r="H67" s="9">
        <v>785.4</v>
      </c>
      <c r="I67" s="9">
        <f>9424.8*87.4%</f>
        <v>8237.2752</v>
      </c>
      <c r="J67" s="9">
        <f>F36</f>
        <v>31232</v>
      </c>
      <c r="K67" s="21">
        <f t="shared" ref="K67:K70" si="4">I67/J67</f>
        <v>0.26374472336065574</v>
      </c>
      <c r="L67" s="22"/>
    </row>
    <row r="68" spans="1:13" ht="14.25" customHeight="1" x14ac:dyDescent="0.25">
      <c r="A68" s="67" t="s">
        <v>104</v>
      </c>
      <c r="B68" s="67"/>
      <c r="C68" s="67"/>
      <c r="D68" s="67"/>
      <c r="E68" s="67"/>
      <c r="F68" s="9" t="s">
        <v>18</v>
      </c>
      <c r="G68" s="9">
        <v>12</v>
      </c>
      <c r="H68" s="9">
        <v>2900</v>
      </c>
      <c r="I68" s="9">
        <f>34800*87.4%</f>
        <v>30415.200000000004</v>
      </c>
      <c r="J68" s="9">
        <v>31232</v>
      </c>
      <c r="K68" s="21">
        <f t="shared" si="4"/>
        <v>0.97384733606557394</v>
      </c>
      <c r="L68" s="22"/>
    </row>
    <row r="69" spans="1:13" ht="14.25" customHeight="1" x14ac:dyDescent="0.25">
      <c r="A69" s="67" t="s">
        <v>105</v>
      </c>
      <c r="B69" s="67"/>
      <c r="C69" s="67"/>
      <c r="D69" s="67"/>
      <c r="E69" s="67"/>
      <c r="F69" s="9" t="s">
        <v>18</v>
      </c>
      <c r="G69" s="9">
        <v>12</v>
      </c>
      <c r="H69" s="9">
        <v>2100</v>
      </c>
      <c r="I69" s="9">
        <f>25200*87.4%</f>
        <v>22024.800000000003</v>
      </c>
      <c r="J69" s="9">
        <v>31232</v>
      </c>
      <c r="K69" s="21">
        <f t="shared" si="4"/>
        <v>0.70519979508196728</v>
      </c>
      <c r="L69" s="22"/>
    </row>
    <row r="70" spans="1:13" ht="23.25" customHeight="1" x14ac:dyDescent="0.25">
      <c r="A70" s="76" t="s">
        <v>106</v>
      </c>
      <c r="B70" s="77"/>
      <c r="C70" s="77"/>
      <c r="D70" s="77"/>
      <c r="E70" s="78"/>
      <c r="F70" s="9" t="s">
        <v>18</v>
      </c>
      <c r="G70" s="9">
        <v>12</v>
      </c>
      <c r="H70" s="9">
        <v>800</v>
      </c>
      <c r="I70" s="9">
        <f>9600*87.4%</f>
        <v>8390.4000000000015</v>
      </c>
      <c r="J70" s="9">
        <v>31232</v>
      </c>
      <c r="K70" s="9">
        <f t="shared" si="4"/>
        <v>0.2686475409836066</v>
      </c>
      <c r="L70" s="30"/>
    </row>
    <row r="71" spans="1:13" s="8" customFormat="1" ht="15.75" customHeight="1" x14ac:dyDescent="0.25">
      <c r="A71" s="68" t="s">
        <v>19</v>
      </c>
      <c r="B71" s="69"/>
      <c r="C71" s="69"/>
      <c r="D71" s="69"/>
      <c r="E71" s="69"/>
      <c r="F71" s="69"/>
      <c r="G71" s="69"/>
      <c r="H71" s="70"/>
      <c r="I71" s="3">
        <f>SUM(I67:I70)</f>
        <v>69067.675199999998</v>
      </c>
      <c r="J71" s="3">
        <f>F36</f>
        <v>31232</v>
      </c>
      <c r="K71" s="3">
        <f>SUM(K67:K70)</f>
        <v>2.2114393954918037</v>
      </c>
      <c r="L71" s="22"/>
      <c r="M71" s="7"/>
    </row>
    <row r="73" spans="1:13" x14ac:dyDescent="0.25">
      <c r="A73" s="75" t="s">
        <v>89</v>
      </c>
      <c r="B73" s="75"/>
      <c r="C73" s="75"/>
      <c r="D73" s="75"/>
      <c r="E73" s="75"/>
      <c r="F73" s="75"/>
      <c r="G73" s="75"/>
      <c r="H73" s="75"/>
      <c r="I73" s="75"/>
      <c r="J73" s="75"/>
      <c r="K73" s="75"/>
      <c r="L73" s="75"/>
    </row>
    <row r="74" spans="1:13" ht="45" x14ac:dyDescent="0.25">
      <c r="A74" s="91" t="s">
        <v>20</v>
      </c>
      <c r="B74" s="92"/>
      <c r="C74" s="92"/>
      <c r="D74" s="92"/>
      <c r="E74" s="93"/>
      <c r="F74" s="20" t="s">
        <v>7</v>
      </c>
      <c r="G74" s="20" t="s">
        <v>59</v>
      </c>
      <c r="H74" s="20" t="s">
        <v>58</v>
      </c>
      <c r="I74" s="20" t="s">
        <v>64</v>
      </c>
      <c r="J74" s="20" t="s">
        <v>62</v>
      </c>
      <c r="K74" s="24" t="s">
        <v>63</v>
      </c>
      <c r="L74" s="31"/>
      <c r="M74" s="35"/>
    </row>
    <row r="75" spans="1:13" ht="34.5" customHeight="1" x14ac:dyDescent="0.25">
      <c r="A75" s="67" t="s">
        <v>21</v>
      </c>
      <c r="B75" s="67"/>
      <c r="C75" s="67"/>
      <c r="D75" s="67"/>
      <c r="E75" s="67"/>
      <c r="F75" s="36" t="s">
        <v>22</v>
      </c>
      <c r="G75" s="9">
        <v>2</v>
      </c>
      <c r="H75" s="37">
        <v>400</v>
      </c>
      <c r="I75" s="9">
        <f>9600*87.4%</f>
        <v>8390.4000000000015</v>
      </c>
      <c r="J75" s="9">
        <f>F36</f>
        <v>31232</v>
      </c>
      <c r="K75" s="21">
        <f>I75/J75</f>
        <v>0.2686475409836066</v>
      </c>
      <c r="L75" s="22"/>
      <c r="M75" s="30"/>
    </row>
    <row r="76" spans="1:13" ht="35.25" customHeight="1" x14ac:dyDescent="0.25">
      <c r="A76" s="79" t="s">
        <v>107</v>
      </c>
      <c r="B76" s="81"/>
      <c r="C76" s="81"/>
      <c r="D76" s="81"/>
      <c r="E76" s="82"/>
      <c r="F76" s="36" t="s">
        <v>22</v>
      </c>
      <c r="G76" s="9">
        <v>1</v>
      </c>
      <c r="H76" s="37"/>
      <c r="I76" s="9">
        <f>4200*87.4%</f>
        <v>3670.8000000000006</v>
      </c>
      <c r="J76" s="9">
        <v>31232</v>
      </c>
      <c r="K76" s="21">
        <f>I76/J76</f>
        <v>0.11753329918032789</v>
      </c>
      <c r="L76" s="22"/>
      <c r="M76" s="30"/>
    </row>
    <row r="77" spans="1:13" ht="35.25" customHeight="1" x14ac:dyDescent="0.25">
      <c r="A77" s="67" t="s">
        <v>90</v>
      </c>
      <c r="B77" s="67"/>
      <c r="C77" s="67"/>
      <c r="D77" s="67"/>
      <c r="E77" s="67"/>
      <c r="F77" s="36" t="s">
        <v>91</v>
      </c>
      <c r="G77" s="9">
        <v>9</v>
      </c>
      <c r="H77" s="37">
        <v>5000</v>
      </c>
      <c r="I77" s="9">
        <f>60000*87.4%</f>
        <v>52440.000000000007</v>
      </c>
      <c r="J77" s="9">
        <f>J75</f>
        <v>31232</v>
      </c>
      <c r="K77" s="21">
        <f>I77/J77</f>
        <v>1.6790471311475412</v>
      </c>
      <c r="L77" s="22"/>
      <c r="M77" s="30"/>
    </row>
    <row r="78" spans="1:13" x14ac:dyDescent="0.25">
      <c r="A78" s="68" t="s">
        <v>23</v>
      </c>
      <c r="B78" s="69"/>
      <c r="C78" s="69"/>
      <c r="D78" s="69"/>
      <c r="E78" s="69"/>
      <c r="F78" s="69"/>
      <c r="G78" s="69"/>
      <c r="H78" s="70"/>
      <c r="I78" s="6">
        <f>SUM(I75:I77)</f>
        <v>64501.200000000012</v>
      </c>
      <c r="J78" s="6">
        <f>F36</f>
        <v>31232</v>
      </c>
      <c r="K78" s="6">
        <f>SUM(K75:K77)</f>
        <v>2.0652279713114758</v>
      </c>
      <c r="L78" s="14"/>
      <c r="M78" s="30"/>
    </row>
    <row r="80" spans="1:13" x14ac:dyDescent="0.25">
      <c r="A80" s="75" t="s">
        <v>40</v>
      </c>
      <c r="B80" s="75"/>
      <c r="C80" s="75"/>
      <c r="D80" s="75"/>
      <c r="E80" s="75"/>
      <c r="F80" s="75"/>
      <c r="G80" s="75"/>
      <c r="H80" s="75"/>
      <c r="I80" s="75"/>
      <c r="J80" s="75"/>
      <c r="K80" s="75"/>
      <c r="L80" s="75"/>
    </row>
    <row r="81" spans="1:13" ht="57" customHeight="1" x14ac:dyDescent="0.25">
      <c r="A81" s="91" t="s">
        <v>5</v>
      </c>
      <c r="B81" s="92"/>
      <c r="C81" s="92"/>
      <c r="D81" s="92"/>
      <c r="E81" s="93"/>
      <c r="F81" s="20" t="s">
        <v>6</v>
      </c>
      <c r="G81" s="20" t="s">
        <v>1</v>
      </c>
      <c r="H81" s="20" t="s">
        <v>60</v>
      </c>
      <c r="I81" s="20" t="s">
        <v>61</v>
      </c>
      <c r="J81" s="20" t="s">
        <v>62</v>
      </c>
      <c r="K81" s="24" t="s">
        <v>63</v>
      </c>
      <c r="L81" s="31"/>
    </row>
    <row r="82" spans="1:13" hidden="1" x14ac:dyDescent="0.25">
      <c r="A82" s="67" t="s">
        <v>3</v>
      </c>
      <c r="B82" s="67"/>
      <c r="C82" s="67"/>
      <c r="D82" s="67"/>
      <c r="E82" s="67"/>
      <c r="F82" s="26">
        <f>'Услуга №1 '!F82</f>
        <v>15898</v>
      </c>
      <c r="G82" s="9">
        <v>0.87</v>
      </c>
      <c r="H82" s="4">
        <f>F82*G82*12</f>
        <v>165975.12</v>
      </c>
      <c r="I82" s="9">
        <f>H82*1.302</f>
        <v>216099.60623999999</v>
      </c>
      <c r="J82" s="9">
        <v>31232</v>
      </c>
      <c r="K82" s="21">
        <f>I82/J82</f>
        <v>6.9191728432377051</v>
      </c>
      <c r="L82" s="22"/>
    </row>
    <row r="83" spans="1:13" ht="20.25" hidden="1" customHeight="1" x14ac:dyDescent="0.25">
      <c r="A83" s="67" t="s">
        <v>45</v>
      </c>
      <c r="B83" s="67"/>
      <c r="C83" s="67"/>
      <c r="D83" s="67"/>
      <c r="E83" s="67"/>
      <c r="F83" s="26">
        <f>'Услуга №1 '!F83</f>
        <v>14309</v>
      </c>
      <c r="G83" s="9">
        <v>0.87</v>
      </c>
      <c r="H83" s="4">
        <f>F83*G83*12</f>
        <v>149385.96</v>
      </c>
      <c r="I83" s="9">
        <f>H83*1.302</f>
        <v>194500.51991999999</v>
      </c>
      <c r="J83" s="9">
        <f>J82</f>
        <v>31232</v>
      </c>
      <c r="K83" s="21">
        <f>I83/J83</f>
        <v>6.2276037371926227</v>
      </c>
      <c r="L83" s="22"/>
    </row>
    <row r="84" spans="1:13" x14ac:dyDescent="0.25">
      <c r="A84" s="38" t="s">
        <v>24</v>
      </c>
      <c r="B84" s="38"/>
      <c r="C84" s="38"/>
      <c r="D84" s="38"/>
      <c r="E84" s="38"/>
      <c r="F84" s="48">
        <v>24276.71</v>
      </c>
      <c r="G84" s="48">
        <f>SUM(G82:G83)</f>
        <v>1.74</v>
      </c>
      <c r="H84" s="48">
        <f>(F84*G84*12)</f>
        <v>506897.70479999995</v>
      </c>
      <c r="I84" s="6">
        <f>H84*1.302-0.1</f>
        <v>659980.71164959995</v>
      </c>
      <c r="J84" s="6">
        <f>F36</f>
        <v>31232</v>
      </c>
      <c r="K84" s="6">
        <f>I84/J84</f>
        <v>21.131554548206967</v>
      </c>
      <c r="L84" s="22"/>
    </row>
    <row r="85" spans="1:13" ht="10.5" customHeight="1" x14ac:dyDescent="0.25">
      <c r="F85" s="39"/>
      <c r="G85" s="39"/>
      <c r="H85" s="39"/>
      <c r="I85" s="39"/>
      <c r="J85" s="39"/>
      <c r="K85" s="39"/>
      <c r="L85" s="39"/>
    </row>
    <row r="86" spans="1:13" s="8" customFormat="1" x14ac:dyDescent="0.25">
      <c r="A86" s="71" t="s">
        <v>67</v>
      </c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2"/>
      <c r="M86" s="7"/>
    </row>
    <row r="87" spans="1:13" ht="49.5" customHeight="1" x14ac:dyDescent="0.25">
      <c r="A87" s="73" t="s">
        <v>69</v>
      </c>
      <c r="B87" s="73"/>
      <c r="C87" s="73"/>
      <c r="D87" s="73"/>
      <c r="E87" s="73"/>
      <c r="F87" s="20" t="s">
        <v>7</v>
      </c>
      <c r="G87" s="20" t="s">
        <v>59</v>
      </c>
      <c r="H87" s="20" t="s">
        <v>58</v>
      </c>
      <c r="I87" s="20" t="s">
        <v>64</v>
      </c>
      <c r="J87" s="20" t="s">
        <v>62</v>
      </c>
      <c r="K87" s="24" t="s">
        <v>63</v>
      </c>
      <c r="L87" s="31"/>
    </row>
    <row r="88" spans="1:13" ht="33" customHeight="1" x14ac:dyDescent="0.25">
      <c r="A88" s="76" t="s">
        <v>66</v>
      </c>
      <c r="B88" s="77"/>
      <c r="C88" s="77"/>
      <c r="D88" s="77"/>
      <c r="E88" s="78"/>
      <c r="F88" s="9" t="s">
        <v>25</v>
      </c>
      <c r="G88" s="9">
        <v>11</v>
      </c>
      <c r="H88" s="4">
        <v>5525.3</v>
      </c>
      <c r="I88" s="9">
        <f>60778.32*87.4%</f>
        <v>53120.251680000008</v>
      </c>
      <c r="J88" s="9">
        <v>31232</v>
      </c>
      <c r="K88" s="21">
        <f>I88/J88</f>
        <v>1.7008277305327872</v>
      </c>
      <c r="L88" s="22"/>
    </row>
    <row r="89" spans="1:13" s="8" customFormat="1" x14ac:dyDescent="0.25">
      <c r="A89" s="68" t="s">
        <v>68</v>
      </c>
      <c r="B89" s="69"/>
      <c r="C89" s="69"/>
      <c r="D89" s="69"/>
      <c r="E89" s="69"/>
      <c r="F89" s="69"/>
      <c r="G89" s="69"/>
      <c r="H89" s="69"/>
      <c r="I89" s="6">
        <f>SUM(I88:I88)</f>
        <v>53120.251680000008</v>
      </c>
      <c r="J89" s="6">
        <f>F36</f>
        <v>31232</v>
      </c>
      <c r="K89" s="6">
        <f>SUM(K88:K88)</f>
        <v>1.7008277305327872</v>
      </c>
      <c r="L89" s="22"/>
      <c r="M89" s="7"/>
    </row>
    <row r="90" spans="1:13" s="8" customFormat="1" x14ac:dyDescent="0.25">
      <c r="A90" s="40"/>
      <c r="B90" s="40"/>
      <c r="C90" s="40"/>
      <c r="D90" s="40"/>
      <c r="E90" s="40"/>
      <c r="F90" s="40"/>
      <c r="G90" s="40"/>
      <c r="H90" s="40"/>
      <c r="I90" s="14"/>
      <c r="J90" s="14"/>
      <c r="K90" s="14"/>
      <c r="L90" s="30"/>
      <c r="M90" s="7"/>
    </row>
    <row r="91" spans="1:13" s="8" customFormat="1" x14ac:dyDescent="0.25">
      <c r="A91" s="41"/>
      <c r="B91" s="41"/>
      <c r="C91" s="41"/>
      <c r="D91" s="41"/>
      <c r="E91" s="41"/>
      <c r="F91" s="41"/>
      <c r="G91" s="41"/>
      <c r="H91" s="41"/>
      <c r="I91" s="15"/>
      <c r="J91" s="15"/>
      <c r="K91" s="15"/>
      <c r="L91" s="30"/>
      <c r="M91" s="7"/>
    </row>
    <row r="92" spans="1:13" s="8" customFormat="1" x14ac:dyDescent="0.25">
      <c r="A92" s="71" t="s">
        <v>108</v>
      </c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2"/>
      <c r="M92" s="7"/>
    </row>
    <row r="93" spans="1:13" ht="49.5" customHeight="1" x14ac:dyDescent="0.25">
      <c r="A93" s="73" t="s">
        <v>69</v>
      </c>
      <c r="B93" s="73"/>
      <c r="C93" s="73"/>
      <c r="D93" s="73"/>
      <c r="E93" s="73"/>
      <c r="F93" s="20" t="s">
        <v>7</v>
      </c>
      <c r="G93" s="20" t="s">
        <v>59</v>
      </c>
      <c r="H93" s="20" t="s">
        <v>58</v>
      </c>
      <c r="I93" s="20" t="s">
        <v>64</v>
      </c>
      <c r="J93" s="20" t="s">
        <v>62</v>
      </c>
      <c r="K93" s="24" t="s">
        <v>63</v>
      </c>
      <c r="L93" s="31"/>
    </row>
    <row r="94" spans="1:13" x14ac:dyDescent="0.25">
      <c r="A94" s="67" t="s">
        <v>109</v>
      </c>
      <c r="B94" s="67"/>
      <c r="C94" s="67"/>
      <c r="D94" s="67"/>
      <c r="E94" s="67"/>
      <c r="F94" s="9"/>
      <c r="G94" s="9"/>
      <c r="H94" s="4"/>
      <c r="I94" s="9">
        <f>720*87.4%</f>
        <v>629.28000000000009</v>
      </c>
      <c r="J94" s="9">
        <v>31232</v>
      </c>
      <c r="K94" s="21">
        <f>I94/J94</f>
        <v>2.0148565573770493E-2</v>
      </c>
      <c r="L94" s="22"/>
    </row>
    <row r="95" spans="1:13" s="8" customFormat="1" x14ac:dyDescent="0.25">
      <c r="A95" s="68" t="s">
        <v>110</v>
      </c>
      <c r="B95" s="69"/>
      <c r="C95" s="69"/>
      <c r="D95" s="69"/>
      <c r="E95" s="69"/>
      <c r="F95" s="69"/>
      <c r="G95" s="69"/>
      <c r="H95" s="69"/>
      <c r="I95" s="6">
        <f>SUM(I94:I94)</f>
        <v>629.28000000000009</v>
      </c>
      <c r="J95" s="6">
        <f>F36</f>
        <v>31232</v>
      </c>
      <c r="K95" s="6">
        <f>SUM(K94:K94)</f>
        <v>2.0148565573770493E-2</v>
      </c>
      <c r="L95" s="22"/>
      <c r="M95" s="7"/>
    </row>
    <row r="96" spans="1:13" s="8" customFormat="1" x14ac:dyDescent="0.25">
      <c r="A96" s="41"/>
      <c r="B96" s="41"/>
      <c r="C96" s="41"/>
      <c r="D96" s="41"/>
      <c r="E96" s="41"/>
      <c r="F96" s="41"/>
      <c r="G96" s="41"/>
      <c r="H96" s="41"/>
      <c r="I96" s="15"/>
      <c r="J96" s="15"/>
      <c r="K96" s="15"/>
      <c r="L96" s="30"/>
      <c r="M96" s="7"/>
    </row>
    <row r="97" spans="1:13" x14ac:dyDescent="0.25">
      <c r="F97" s="39"/>
      <c r="G97" s="39"/>
      <c r="H97" s="39"/>
      <c r="I97" s="39"/>
      <c r="J97" s="39"/>
      <c r="K97" s="39"/>
      <c r="L97" s="39"/>
    </row>
    <row r="98" spans="1:13" s="8" customFormat="1" x14ac:dyDescent="0.25">
      <c r="A98" s="71" t="s">
        <v>111</v>
      </c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2"/>
      <c r="M98" s="7"/>
    </row>
    <row r="99" spans="1:13" ht="49.5" customHeight="1" x14ac:dyDescent="0.25">
      <c r="A99" s="73" t="s">
        <v>69</v>
      </c>
      <c r="B99" s="73"/>
      <c r="C99" s="73"/>
      <c r="D99" s="73"/>
      <c r="E99" s="73"/>
      <c r="F99" s="20" t="s">
        <v>7</v>
      </c>
      <c r="G99" s="20" t="s">
        <v>59</v>
      </c>
      <c r="H99" s="20" t="s">
        <v>58</v>
      </c>
      <c r="I99" s="20" t="s">
        <v>64</v>
      </c>
      <c r="J99" s="20" t="s">
        <v>62</v>
      </c>
      <c r="K99" s="24" t="s">
        <v>63</v>
      </c>
      <c r="L99" s="31"/>
    </row>
    <row r="100" spans="1:13" x14ac:dyDescent="0.25">
      <c r="A100" s="67" t="s">
        <v>112</v>
      </c>
      <c r="B100" s="67"/>
      <c r="C100" s="67"/>
      <c r="D100" s="67"/>
      <c r="E100" s="67"/>
      <c r="F100" s="9"/>
      <c r="G100" s="9"/>
      <c r="H100" s="4"/>
      <c r="I100" s="9">
        <f>49300*87.4%-0.04</f>
        <v>43088.160000000003</v>
      </c>
      <c r="J100" s="9">
        <v>31232</v>
      </c>
      <c r="K100" s="21">
        <f>I100/J100</f>
        <v>1.3796157786885248</v>
      </c>
      <c r="L100" s="22"/>
    </row>
    <row r="101" spans="1:13" s="8" customFormat="1" x14ac:dyDescent="0.25">
      <c r="A101" s="68" t="s">
        <v>114</v>
      </c>
      <c r="B101" s="69"/>
      <c r="C101" s="69"/>
      <c r="D101" s="69"/>
      <c r="E101" s="69"/>
      <c r="F101" s="69"/>
      <c r="G101" s="69"/>
      <c r="H101" s="69"/>
      <c r="I101" s="6">
        <f>SUM(I100:I100)</f>
        <v>43088.160000000003</v>
      </c>
      <c r="J101" s="6">
        <f>F36</f>
        <v>31232</v>
      </c>
      <c r="K101" s="6">
        <f>SUM(K100:K100)</f>
        <v>1.3796157786885248</v>
      </c>
      <c r="L101" s="22"/>
      <c r="M101" s="7"/>
    </row>
    <row r="102" spans="1:13" s="8" customFormat="1" x14ac:dyDescent="0.25">
      <c r="A102" s="41"/>
      <c r="B102" s="41"/>
      <c r="C102" s="41"/>
      <c r="D102" s="41"/>
      <c r="E102" s="41"/>
      <c r="F102" s="41"/>
      <c r="G102" s="41"/>
      <c r="H102" s="41"/>
      <c r="I102" s="15"/>
      <c r="J102" s="15"/>
      <c r="K102" s="15"/>
      <c r="L102" s="30"/>
      <c r="M102" s="7"/>
    </row>
    <row r="103" spans="1:13" s="8" customFormat="1" x14ac:dyDescent="0.25">
      <c r="A103" s="71" t="s">
        <v>113</v>
      </c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2"/>
      <c r="M103" s="7"/>
    </row>
    <row r="104" spans="1:13" ht="49.5" customHeight="1" x14ac:dyDescent="0.25">
      <c r="A104" s="73" t="s">
        <v>69</v>
      </c>
      <c r="B104" s="73"/>
      <c r="C104" s="73"/>
      <c r="D104" s="73"/>
      <c r="E104" s="73"/>
      <c r="F104" s="20" t="s">
        <v>7</v>
      </c>
      <c r="G104" s="20" t="s">
        <v>59</v>
      </c>
      <c r="H104" s="20" t="s">
        <v>58</v>
      </c>
      <c r="I104" s="20" t="s">
        <v>64</v>
      </c>
      <c r="J104" s="20" t="s">
        <v>62</v>
      </c>
      <c r="K104" s="24" t="s">
        <v>63</v>
      </c>
      <c r="L104" s="31"/>
    </row>
    <row r="105" spans="1:13" x14ac:dyDescent="0.25">
      <c r="A105" s="67" t="s">
        <v>115</v>
      </c>
      <c r="B105" s="67"/>
      <c r="C105" s="67"/>
      <c r="D105" s="67"/>
      <c r="E105" s="67"/>
      <c r="F105" s="9"/>
      <c r="G105" s="9"/>
      <c r="H105" s="4"/>
      <c r="I105" s="9">
        <f>103090*87.4%</f>
        <v>90100.660000000018</v>
      </c>
      <c r="J105" s="9">
        <v>31232</v>
      </c>
      <c r="K105" s="21">
        <f>I105/J105</f>
        <v>2.8848828125000008</v>
      </c>
      <c r="L105" s="22"/>
    </row>
    <row r="106" spans="1:13" s="8" customFormat="1" x14ac:dyDescent="0.25">
      <c r="A106" s="68" t="s">
        <v>116</v>
      </c>
      <c r="B106" s="69"/>
      <c r="C106" s="69"/>
      <c r="D106" s="69"/>
      <c r="E106" s="69"/>
      <c r="F106" s="69"/>
      <c r="G106" s="69"/>
      <c r="H106" s="69"/>
      <c r="I106" s="6">
        <f>SUM(I105:I105)</f>
        <v>90100.660000000018</v>
      </c>
      <c r="J106" s="6">
        <f>F36</f>
        <v>31232</v>
      </c>
      <c r="K106" s="6">
        <f>SUM(K105:K105)</f>
        <v>2.8848828125000008</v>
      </c>
      <c r="L106" s="22"/>
      <c r="M106" s="7"/>
    </row>
    <row r="107" spans="1:13" s="8" customFormat="1" x14ac:dyDescent="0.25">
      <c r="A107" s="40"/>
      <c r="B107" s="40"/>
      <c r="C107" s="40"/>
      <c r="D107" s="40"/>
      <c r="E107" s="40"/>
      <c r="F107" s="40"/>
      <c r="G107" s="40"/>
      <c r="H107" s="40"/>
      <c r="I107" s="14"/>
      <c r="J107" s="14"/>
      <c r="K107" s="14"/>
      <c r="L107" s="30"/>
      <c r="M107" s="7"/>
    </row>
    <row r="108" spans="1:13" x14ac:dyDescent="0.25">
      <c r="A108" s="75" t="s">
        <v>26</v>
      </c>
      <c r="B108" s="75"/>
      <c r="C108" s="75"/>
      <c r="D108" s="75"/>
      <c r="E108" s="75"/>
      <c r="F108" s="75"/>
      <c r="G108" s="75"/>
      <c r="H108" s="75"/>
      <c r="I108" s="75"/>
      <c r="J108" s="75"/>
      <c r="K108" s="75"/>
      <c r="L108" s="75"/>
    </row>
    <row r="109" spans="1:13" hidden="1" x14ac:dyDescent="0.25"/>
    <row r="110" spans="1:13" ht="15" customHeight="1" x14ac:dyDescent="0.25">
      <c r="A110" s="90" t="s">
        <v>27</v>
      </c>
      <c r="B110" s="90"/>
      <c r="C110" s="90"/>
      <c r="D110" s="73" t="s">
        <v>28</v>
      </c>
      <c r="E110" s="73"/>
      <c r="F110" s="73"/>
      <c r="G110" s="73"/>
      <c r="H110" s="73"/>
      <c r="I110" s="73"/>
      <c r="J110" s="73"/>
      <c r="K110" s="97" t="s">
        <v>39</v>
      </c>
      <c r="L110" s="98"/>
    </row>
    <row r="111" spans="1:13" ht="30" x14ac:dyDescent="0.25">
      <c r="A111" s="9" t="s">
        <v>29</v>
      </c>
      <c r="B111" s="25" t="s">
        <v>30</v>
      </c>
      <c r="C111" s="9" t="s">
        <v>31</v>
      </c>
      <c r="D111" s="9" t="s">
        <v>32</v>
      </c>
      <c r="E111" s="9" t="s">
        <v>33</v>
      </c>
      <c r="F111" s="9" t="s">
        <v>34</v>
      </c>
      <c r="G111" s="9" t="s">
        <v>35</v>
      </c>
      <c r="H111" s="9" t="s">
        <v>36</v>
      </c>
      <c r="I111" s="9" t="s">
        <v>37</v>
      </c>
      <c r="J111" s="9" t="s">
        <v>38</v>
      </c>
      <c r="K111" s="99"/>
      <c r="L111" s="100"/>
    </row>
    <row r="112" spans="1:13" x14ac:dyDescent="0.25">
      <c r="A112" s="9">
        <f>K53</f>
        <v>172.5778890345799</v>
      </c>
      <c r="B112" s="9"/>
      <c r="C112" s="9">
        <v>0</v>
      </c>
      <c r="D112" s="9">
        <f>K63</f>
        <v>13.155241924948774</v>
      </c>
      <c r="E112" s="9">
        <f>K71</f>
        <v>2.2114393954918037</v>
      </c>
      <c r="F112" s="9"/>
      <c r="G112" s="9">
        <f>K78</f>
        <v>2.0652279713114758</v>
      </c>
      <c r="H112" s="9">
        <v>0</v>
      </c>
      <c r="I112" s="9">
        <f>K84</f>
        <v>21.131554548206967</v>
      </c>
      <c r="J112" s="9">
        <f>K95+K101+K106+K89</f>
        <v>5.9854748872950836</v>
      </c>
      <c r="K112" s="94">
        <f>SUM(A112:J112)</f>
        <v>217.12682776183399</v>
      </c>
      <c r="L112" s="95"/>
    </row>
    <row r="114" spans="1:12" x14ac:dyDescent="0.25">
      <c r="A114" s="42"/>
      <c r="B114" s="43"/>
      <c r="C114" s="44"/>
      <c r="D114" s="1"/>
      <c r="E114" s="1"/>
      <c r="F114" s="1"/>
    </row>
    <row r="115" spans="1:12" ht="15.75" x14ac:dyDescent="0.25">
      <c r="A115" s="16" t="s">
        <v>55</v>
      </c>
      <c r="B115" s="16"/>
      <c r="C115" s="16"/>
      <c r="D115" s="16"/>
      <c r="E115" s="16"/>
      <c r="F115" s="45"/>
      <c r="G115" s="45" t="s">
        <v>57</v>
      </c>
      <c r="H115" s="45"/>
      <c r="I115" s="12">
        <f>I53+I63+I71+I78+I89+I95+I101+I106+I84+0.01</f>
        <v>6781305.0946575999</v>
      </c>
      <c r="L115" s="12">
        <f>K112*J105+0.01</f>
        <v>6781305.094657599</v>
      </c>
    </row>
    <row r="116" spans="1:12" ht="15.75" x14ac:dyDescent="0.25">
      <c r="A116" s="46"/>
      <c r="B116" s="16"/>
      <c r="C116" s="2"/>
      <c r="D116" s="2"/>
      <c r="E116" s="2"/>
      <c r="F116" s="2"/>
    </row>
    <row r="118" spans="1:12" ht="15.75" x14ac:dyDescent="0.25">
      <c r="A118" s="46" t="s">
        <v>117</v>
      </c>
      <c r="B118" s="16"/>
      <c r="C118" s="46"/>
      <c r="D118" s="16"/>
    </row>
    <row r="119" spans="1:12" ht="15.75" x14ac:dyDescent="0.25">
      <c r="A119" s="46" t="s">
        <v>56</v>
      </c>
      <c r="B119" s="16"/>
      <c r="C119" s="46"/>
      <c r="D119" s="16"/>
    </row>
  </sheetData>
  <mergeCells count="105">
    <mergeCell ref="A8:L8"/>
    <mergeCell ref="A9:L9"/>
    <mergeCell ref="A4:E4"/>
    <mergeCell ref="A6:E6"/>
    <mergeCell ref="A21:E21"/>
    <mergeCell ref="G21:K21"/>
    <mergeCell ref="A10:L10"/>
    <mergeCell ref="G32:K32"/>
    <mergeCell ref="G20:K20"/>
    <mergeCell ref="A29:E29"/>
    <mergeCell ref="G29:K29"/>
    <mergeCell ref="A30:E30"/>
    <mergeCell ref="G30:K30"/>
    <mergeCell ref="A31:E31"/>
    <mergeCell ref="G31:K31"/>
    <mergeCell ref="A32:E32"/>
    <mergeCell ref="A28:E28"/>
    <mergeCell ref="G28:K28"/>
    <mergeCell ref="A25:E25"/>
    <mergeCell ref="G25:K25"/>
    <mergeCell ref="A26:E26"/>
    <mergeCell ref="A33:E33"/>
    <mergeCell ref="G33:K33"/>
    <mergeCell ref="A34:E34"/>
    <mergeCell ref="G34:K34"/>
    <mergeCell ref="A16:E16"/>
    <mergeCell ref="G16:K16"/>
    <mergeCell ref="A17:E17"/>
    <mergeCell ref="G17:K17"/>
    <mergeCell ref="A18:E18"/>
    <mergeCell ref="G18:K18"/>
    <mergeCell ref="A22:E22"/>
    <mergeCell ref="G22:K22"/>
    <mergeCell ref="A23:E23"/>
    <mergeCell ref="G23:K23"/>
    <mergeCell ref="A24:E24"/>
    <mergeCell ref="G24:K24"/>
    <mergeCell ref="G26:K26"/>
    <mergeCell ref="A27:E27"/>
    <mergeCell ref="G27:K27"/>
    <mergeCell ref="A19:E19"/>
    <mergeCell ref="G19:K19"/>
    <mergeCell ref="A20:E20"/>
    <mergeCell ref="A56:L56"/>
    <mergeCell ref="A65:L65"/>
    <mergeCell ref="D110:J110"/>
    <mergeCell ref="K110:L111"/>
    <mergeCell ref="A57:E57"/>
    <mergeCell ref="A58:E58"/>
    <mergeCell ref="A59:E59"/>
    <mergeCell ref="A37:E37"/>
    <mergeCell ref="A38:E38"/>
    <mergeCell ref="A52:E52"/>
    <mergeCell ref="A47:E47"/>
    <mergeCell ref="A48:E48"/>
    <mergeCell ref="A49:E49"/>
    <mergeCell ref="A50:E50"/>
    <mergeCell ref="A51:E51"/>
    <mergeCell ref="A39:E39"/>
    <mergeCell ref="A40:E40"/>
    <mergeCell ref="A45:E45"/>
    <mergeCell ref="A46:E46"/>
    <mergeCell ref="A41:E41"/>
    <mergeCell ref="A42:E42"/>
    <mergeCell ref="A43:E43"/>
    <mergeCell ref="A44:E44"/>
    <mergeCell ref="A60:E60"/>
    <mergeCell ref="A61:E61"/>
    <mergeCell ref="A62:E62"/>
    <mergeCell ref="A63:H63"/>
    <mergeCell ref="A66:E66"/>
    <mergeCell ref="K112:L112"/>
    <mergeCell ref="A73:L73"/>
    <mergeCell ref="A80:L80"/>
    <mergeCell ref="A81:E81"/>
    <mergeCell ref="A82:E82"/>
    <mergeCell ref="A83:E83"/>
    <mergeCell ref="A86:L86"/>
    <mergeCell ref="A74:E74"/>
    <mergeCell ref="A75:E75"/>
    <mergeCell ref="A108:L108"/>
    <mergeCell ref="A110:C110"/>
    <mergeCell ref="A76:E76"/>
    <mergeCell ref="A77:E77"/>
    <mergeCell ref="A78:H78"/>
    <mergeCell ref="A87:E87"/>
    <mergeCell ref="A88:E88"/>
    <mergeCell ref="A67:E67"/>
    <mergeCell ref="A68:E68"/>
    <mergeCell ref="A69:E69"/>
    <mergeCell ref="A70:E70"/>
    <mergeCell ref="A106:H106"/>
    <mergeCell ref="A100:E100"/>
    <mergeCell ref="A101:H101"/>
    <mergeCell ref="A103:L103"/>
    <mergeCell ref="A104:E104"/>
    <mergeCell ref="A105:E105"/>
    <mergeCell ref="A98:L98"/>
    <mergeCell ref="A99:E99"/>
    <mergeCell ref="A71:H71"/>
    <mergeCell ref="A92:L92"/>
    <mergeCell ref="A93:E93"/>
    <mergeCell ref="A94:E94"/>
    <mergeCell ref="A95:H95"/>
    <mergeCell ref="A89:H89"/>
  </mergeCells>
  <pageMargins left="0.65" right="0.53" top="0.45" bottom="0.37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7"/>
  <sheetViews>
    <sheetView topLeftCell="A92" zoomScale="90" zoomScaleNormal="90" workbookViewId="0">
      <selection activeCell="F34" sqref="F34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2.8554687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6" t="s">
        <v>51</v>
      </c>
      <c r="B1" s="16"/>
      <c r="C1" s="16"/>
    </row>
    <row r="2" spans="1:12" ht="15.75" x14ac:dyDescent="0.25">
      <c r="A2" s="17" t="s">
        <v>52</v>
      </c>
      <c r="B2" s="17"/>
      <c r="C2" s="17"/>
    </row>
    <row r="3" spans="1:12" ht="15.75" x14ac:dyDescent="0.25">
      <c r="A3" s="18"/>
      <c r="B3" s="18"/>
      <c r="C3" s="18"/>
    </row>
    <row r="4" spans="1:12" ht="15.75" x14ac:dyDescent="0.25">
      <c r="A4" s="86" t="s">
        <v>53</v>
      </c>
      <c r="B4" s="86"/>
      <c r="C4" s="86"/>
      <c r="D4" s="87"/>
      <c r="E4" s="87"/>
    </row>
    <row r="5" spans="1:12" ht="15.75" x14ac:dyDescent="0.25">
      <c r="A5" s="17"/>
      <c r="B5" s="17"/>
      <c r="C5" s="17"/>
    </row>
    <row r="6" spans="1:12" ht="15.75" x14ac:dyDescent="0.25">
      <c r="A6" s="88" t="s">
        <v>54</v>
      </c>
      <c r="B6" s="88"/>
      <c r="C6" s="88"/>
      <c r="D6" s="87"/>
      <c r="E6" s="87"/>
    </row>
    <row r="8" spans="1:12" ht="15.75" x14ac:dyDescent="0.25">
      <c r="A8" s="89" t="s">
        <v>50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ht="15.75" x14ac:dyDescent="0.25">
      <c r="A9" s="89" t="s">
        <v>95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5.75" customHeight="1" x14ac:dyDescent="0.25">
      <c r="A10" s="89" t="s">
        <v>101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2" spans="1:12" x14ac:dyDescent="0.25">
      <c r="A12" s="19" t="s">
        <v>100</v>
      </c>
    </row>
    <row r="13" spans="1:12" x14ac:dyDescent="0.25">
      <c r="A13" s="19" t="s">
        <v>123</v>
      </c>
    </row>
    <row r="14" spans="1:12" x14ac:dyDescent="0.25">
      <c r="A14" s="19" t="s">
        <v>122</v>
      </c>
    </row>
    <row r="15" spans="1:12" x14ac:dyDescent="0.25">
      <c r="A15" s="19" t="s">
        <v>103</v>
      </c>
    </row>
    <row r="16" spans="1:12" ht="30" x14ac:dyDescent="0.25">
      <c r="A16" s="90" t="s">
        <v>0</v>
      </c>
      <c r="B16" s="90"/>
      <c r="C16" s="90"/>
      <c r="D16" s="90"/>
      <c r="E16" s="90"/>
      <c r="F16" s="20" t="s">
        <v>1</v>
      </c>
      <c r="G16" s="90" t="s">
        <v>2</v>
      </c>
      <c r="H16" s="90"/>
      <c r="I16" s="90"/>
      <c r="J16" s="90"/>
      <c r="K16" s="90"/>
      <c r="L16" s="9" t="s">
        <v>1</v>
      </c>
    </row>
    <row r="17" spans="1:12" x14ac:dyDescent="0.25">
      <c r="A17" s="76" t="s">
        <v>46</v>
      </c>
      <c r="B17" s="77"/>
      <c r="C17" s="77"/>
      <c r="D17" s="77"/>
      <c r="E17" s="78"/>
      <c r="F17" s="57">
        <v>1.2E-2</v>
      </c>
      <c r="G17" s="74" t="s">
        <v>3</v>
      </c>
      <c r="H17" s="74"/>
      <c r="I17" s="74"/>
      <c r="J17" s="74"/>
      <c r="K17" s="74"/>
      <c r="L17" s="57">
        <v>1.2E-2</v>
      </c>
    </row>
    <row r="18" spans="1:12" x14ac:dyDescent="0.25">
      <c r="A18" s="67" t="s">
        <v>73</v>
      </c>
      <c r="B18" s="67"/>
      <c r="C18" s="67"/>
      <c r="D18" s="67"/>
      <c r="E18" s="67"/>
      <c r="F18" s="57">
        <v>1.2E-2</v>
      </c>
      <c r="G18" s="74" t="s">
        <v>47</v>
      </c>
      <c r="H18" s="74"/>
      <c r="I18" s="74"/>
      <c r="J18" s="74"/>
      <c r="K18" s="74"/>
      <c r="L18" s="57">
        <v>1.2E-2</v>
      </c>
    </row>
    <row r="19" spans="1:12" x14ac:dyDescent="0.25">
      <c r="A19" s="67" t="s">
        <v>76</v>
      </c>
      <c r="B19" s="67"/>
      <c r="C19" s="67"/>
      <c r="D19" s="67"/>
      <c r="E19" s="67"/>
      <c r="F19" s="57">
        <v>1.2E-2</v>
      </c>
      <c r="G19" s="67"/>
      <c r="H19" s="67"/>
      <c r="I19" s="67"/>
      <c r="J19" s="67"/>
      <c r="K19" s="67"/>
      <c r="L19" s="57"/>
    </row>
    <row r="20" spans="1:12" x14ac:dyDescent="0.25">
      <c r="A20" s="67" t="s">
        <v>71</v>
      </c>
      <c r="B20" s="67"/>
      <c r="C20" s="67"/>
      <c r="D20" s="67"/>
      <c r="E20" s="67"/>
      <c r="F20" s="57">
        <v>1.2E-2</v>
      </c>
      <c r="G20" s="74"/>
      <c r="H20" s="74"/>
      <c r="I20" s="74"/>
      <c r="J20" s="74"/>
      <c r="K20" s="74"/>
      <c r="L20" s="57"/>
    </row>
    <row r="21" spans="1:12" x14ac:dyDescent="0.25">
      <c r="A21" s="67" t="s">
        <v>74</v>
      </c>
      <c r="B21" s="67"/>
      <c r="C21" s="67"/>
      <c r="D21" s="67"/>
      <c r="E21" s="67"/>
      <c r="F21" s="57">
        <v>6.0000000000000001E-3</v>
      </c>
      <c r="G21" s="74"/>
      <c r="H21" s="74"/>
      <c r="I21" s="74"/>
      <c r="J21" s="74"/>
      <c r="K21" s="74"/>
      <c r="L21" s="57"/>
    </row>
    <row r="22" spans="1:12" x14ac:dyDescent="0.25">
      <c r="A22" s="67" t="s">
        <v>78</v>
      </c>
      <c r="B22" s="67"/>
      <c r="C22" s="67"/>
      <c r="D22" s="67"/>
      <c r="E22" s="67"/>
      <c r="F22" s="57">
        <v>1.2E-2</v>
      </c>
      <c r="G22" s="74"/>
      <c r="H22" s="74"/>
      <c r="I22" s="74"/>
      <c r="J22" s="74"/>
      <c r="K22" s="74"/>
      <c r="L22" s="57"/>
    </row>
    <row r="23" spans="1:12" x14ac:dyDescent="0.25">
      <c r="A23" s="74" t="s">
        <v>41</v>
      </c>
      <c r="B23" s="74"/>
      <c r="C23" s="74"/>
      <c r="D23" s="74"/>
      <c r="E23" s="74"/>
      <c r="F23" s="57">
        <v>0.02</v>
      </c>
      <c r="G23" s="74"/>
      <c r="H23" s="74"/>
      <c r="I23" s="74"/>
      <c r="J23" s="74"/>
      <c r="K23" s="74"/>
      <c r="L23" s="57"/>
    </row>
    <row r="24" spans="1:12" x14ac:dyDescent="0.25">
      <c r="A24" s="79" t="s">
        <v>79</v>
      </c>
      <c r="B24" s="81"/>
      <c r="C24" s="81"/>
      <c r="D24" s="81"/>
      <c r="E24" s="82"/>
      <c r="F24" s="57">
        <v>1.2E-2</v>
      </c>
      <c r="G24" s="74"/>
      <c r="H24" s="74"/>
      <c r="I24" s="74"/>
      <c r="J24" s="74"/>
      <c r="K24" s="74"/>
      <c r="L24" s="58"/>
    </row>
    <row r="25" spans="1:12" x14ac:dyDescent="0.25">
      <c r="A25" s="67" t="s">
        <v>70</v>
      </c>
      <c r="B25" s="67"/>
      <c r="C25" s="67"/>
      <c r="D25" s="67"/>
      <c r="E25" s="67"/>
      <c r="F25" s="57">
        <v>1.2E-2</v>
      </c>
      <c r="G25" s="67"/>
      <c r="H25" s="67"/>
      <c r="I25" s="67"/>
      <c r="J25" s="67"/>
      <c r="K25" s="67"/>
      <c r="L25" s="57"/>
    </row>
    <row r="26" spans="1:12" x14ac:dyDescent="0.25">
      <c r="A26" s="67" t="s">
        <v>80</v>
      </c>
      <c r="B26" s="67"/>
      <c r="C26" s="67"/>
      <c r="D26" s="67"/>
      <c r="E26" s="67"/>
      <c r="F26" s="57">
        <v>1.2E-2</v>
      </c>
      <c r="G26" s="67"/>
      <c r="H26" s="67"/>
      <c r="I26" s="67"/>
      <c r="J26" s="67"/>
      <c r="K26" s="67"/>
      <c r="L26" s="57"/>
    </row>
    <row r="27" spans="1:12" x14ac:dyDescent="0.25">
      <c r="A27" s="74" t="s">
        <v>48</v>
      </c>
      <c r="B27" s="74"/>
      <c r="C27" s="74"/>
      <c r="D27" s="74"/>
      <c r="E27" s="74"/>
      <c r="F27" s="57">
        <v>0.04</v>
      </c>
      <c r="G27" s="67"/>
      <c r="H27" s="67"/>
      <c r="I27" s="67"/>
      <c r="J27" s="67"/>
      <c r="K27" s="67"/>
      <c r="L27" s="57"/>
    </row>
    <row r="28" spans="1:12" x14ac:dyDescent="0.25">
      <c r="A28" s="74" t="s">
        <v>77</v>
      </c>
      <c r="B28" s="74"/>
      <c r="C28" s="74"/>
      <c r="D28" s="74"/>
      <c r="E28" s="74"/>
      <c r="F28" s="57">
        <v>2.4E-2</v>
      </c>
      <c r="G28" s="74"/>
      <c r="H28" s="74"/>
      <c r="I28" s="74"/>
      <c r="J28" s="74"/>
      <c r="K28" s="74"/>
      <c r="L28" s="58"/>
    </row>
    <row r="29" spans="1:12" x14ac:dyDescent="0.25">
      <c r="A29" s="74" t="s">
        <v>72</v>
      </c>
      <c r="B29" s="74"/>
      <c r="C29" s="74"/>
      <c r="D29" s="74"/>
      <c r="E29" s="74"/>
      <c r="F29" s="57">
        <v>1.2E-2</v>
      </c>
      <c r="G29" s="67"/>
      <c r="H29" s="67"/>
      <c r="I29" s="67"/>
      <c r="J29" s="67"/>
      <c r="K29" s="67"/>
      <c r="L29" s="57"/>
    </row>
    <row r="30" spans="1:12" ht="15" customHeight="1" x14ac:dyDescent="0.25">
      <c r="A30" s="74" t="s">
        <v>75</v>
      </c>
      <c r="B30" s="74"/>
      <c r="C30" s="74"/>
      <c r="D30" s="74"/>
      <c r="E30" s="74"/>
      <c r="F30" s="57">
        <v>0.03</v>
      </c>
      <c r="G30" s="67"/>
      <c r="H30" s="67"/>
      <c r="I30" s="67"/>
      <c r="J30" s="67"/>
      <c r="K30" s="67"/>
      <c r="L30" s="57"/>
    </row>
    <row r="31" spans="1:12" x14ac:dyDescent="0.25">
      <c r="A31" s="74" t="s">
        <v>49</v>
      </c>
      <c r="B31" s="74"/>
      <c r="C31" s="74"/>
      <c r="D31" s="74"/>
      <c r="E31" s="74"/>
      <c r="F31" s="57">
        <v>1.2E-2</v>
      </c>
      <c r="G31" s="67"/>
      <c r="H31" s="67"/>
      <c r="I31" s="67"/>
      <c r="J31" s="67"/>
      <c r="K31" s="67"/>
      <c r="L31" s="57"/>
    </row>
    <row r="32" spans="1:12" hidden="1" x14ac:dyDescent="0.25">
      <c r="A32" s="79"/>
      <c r="B32" s="81"/>
      <c r="C32" s="81"/>
      <c r="D32" s="81"/>
      <c r="E32" s="82"/>
      <c r="F32" s="57"/>
      <c r="G32" s="67"/>
      <c r="H32" s="67"/>
      <c r="I32" s="67"/>
      <c r="J32" s="67"/>
      <c r="K32" s="67"/>
      <c r="L32" s="57"/>
    </row>
    <row r="33" spans="1:12" ht="9.75" hidden="1" customHeight="1" x14ac:dyDescent="0.25">
      <c r="A33" s="79"/>
      <c r="B33" s="81"/>
      <c r="C33" s="81"/>
      <c r="D33" s="81"/>
      <c r="E33" s="82"/>
      <c r="F33" s="57"/>
      <c r="G33" s="76"/>
      <c r="H33" s="77"/>
      <c r="I33" s="77"/>
      <c r="J33" s="77"/>
      <c r="K33" s="78"/>
      <c r="L33" s="57"/>
    </row>
    <row r="34" spans="1:12" x14ac:dyDescent="0.25">
      <c r="A34" s="73" t="s">
        <v>4</v>
      </c>
      <c r="B34" s="73"/>
      <c r="C34" s="73"/>
      <c r="D34" s="73"/>
      <c r="E34" s="73"/>
      <c r="F34" s="57">
        <f>SUM(F17:F33)</f>
        <v>0.24000000000000002</v>
      </c>
      <c r="G34" s="73" t="s">
        <v>4</v>
      </c>
      <c r="H34" s="73"/>
      <c r="I34" s="73"/>
      <c r="J34" s="73"/>
      <c r="K34" s="73"/>
      <c r="L34" s="57">
        <f>SUM(L17:L33)</f>
        <v>2.4E-2</v>
      </c>
    </row>
    <row r="36" spans="1:12" x14ac:dyDescent="0.25">
      <c r="A36" s="19" t="s">
        <v>86</v>
      </c>
      <c r="F36" s="7">
        <v>427</v>
      </c>
    </row>
    <row r="37" spans="1:12" ht="60" x14ac:dyDescent="0.25">
      <c r="A37" s="91" t="s">
        <v>5</v>
      </c>
      <c r="B37" s="92"/>
      <c r="C37" s="92"/>
      <c r="D37" s="92"/>
      <c r="E37" s="93"/>
      <c r="F37" s="20" t="s">
        <v>6</v>
      </c>
      <c r="G37" s="20" t="s">
        <v>1</v>
      </c>
      <c r="H37" s="20" t="s">
        <v>60</v>
      </c>
      <c r="I37" s="20" t="s">
        <v>61</v>
      </c>
      <c r="J37" s="20" t="s">
        <v>62</v>
      </c>
      <c r="K37" s="62" t="s">
        <v>63</v>
      </c>
      <c r="L37" s="35"/>
    </row>
    <row r="38" spans="1:12" ht="30.75" hidden="1" customHeight="1" x14ac:dyDescent="0.25">
      <c r="A38" s="76" t="s">
        <v>46</v>
      </c>
      <c r="B38" s="77"/>
      <c r="C38" s="77"/>
      <c r="D38" s="77"/>
      <c r="E38" s="78"/>
      <c r="F38" s="26">
        <f>'Услуга №1 '!F39</f>
        <v>11538</v>
      </c>
      <c r="G38" s="9">
        <v>0.01</v>
      </c>
      <c r="H38" s="4">
        <f>G38*F38*12</f>
        <v>1384.56</v>
      </c>
      <c r="I38" s="4">
        <f>H38*1.302</f>
        <v>1802.69712</v>
      </c>
      <c r="J38" s="9">
        <f>F36</f>
        <v>427</v>
      </c>
      <c r="K38" s="9">
        <f>I38/J38</f>
        <v>4.2217731147540984</v>
      </c>
      <c r="L38" s="30"/>
    </row>
    <row r="39" spans="1:12" ht="14.25" hidden="1" customHeight="1" x14ac:dyDescent="0.25">
      <c r="A39" s="67" t="s">
        <v>73</v>
      </c>
      <c r="B39" s="67"/>
      <c r="C39" s="67"/>
      <c r="D39" s="67"/>
      <c r="E39" s="67"/>
      <c r="F39" s="26">
        <f>'Услуга №1 '!F40</f>
        <v>11538</v>
      </c>
      <c r="G39" s="9">
        <v>0.01</v>
      </c>
      <c r="H39" s="4">
        <f t="shared" ref="H39:H52" si="0">G39*F39*12</f>
        <v>1384.56</v>
      </c>
      <c r="I39" s="4">
        <f t="shared" ref="I39:I52" si="1">H39*1.302</f>
        <v>1802.69712</v>
      </c>
      <c r="J39" s="9">
        <f>J43</f>
        <v>427</v>
      </c>
      <c r="K39" s="9">
        <f t="shared" ref="K39:K52" si="2">I39/J39</f>
        <v>4.2217731147540984</v>
      </c>
      <c r="L39" s="30"/>
    </row>
    <row r="40" spans="1:12" ht="14.25" hidden="1" customHeight="1" x14ac:dyDescent="0.25">
      <c r="A40" s="67" t="s">
        <v>76</v>
      </c>
      <c r="B40" s="67"/>
      <c r="C40" s="67"/>
      <c r="D40" s="67"/>
      <c r="E40" s="67"/>
      <c r="F40" s="26">
        <f>'Услуга №1 '!F41</f>
        <v>11538</v>
      </c>
      <c r="G40" s="9">
        <v>0.01</v>
      </c>
      <c r="H40" s="4">
        <f t="shared" si="0"/>
        <v>1384.56</v>
      </c>
      <c r="I40" s="4">
        <f t="shared" si="1"/>
        <v>1802.69712</v>
      </c>
      <c r="J40" s="9">
        <f>J38</f>
        <v>427</v>
      </c>
      <c r="K40" s="9">
        <f t="shared" si="2"/>
        <v>4.2217731147540984</v>
      </c>
      <c r="L40" s="30"/>
    </row>
    <row r="41" spans="1:12" ht="13.5" hidden="1" customHeight="1" x14ac:dyDescent="0.25">
      <c r="A41" s="67" t="s">
        <v>71</v>
      </c>
      <c r="B41" s="67"/>
      <c r="C41" s="67"/>
      <c r="D41" s="67"/>
      <c r="E41" s="67"/>
      <c r="F41" s="26">
        <f>'Услуга №1 '!F42</f>
        <v>8837</v>
      </c>
      <c r="G41" s="9">
        <v>0.01</v>
      </c>
      <c r="H41" s="4">
        <f t="shared" si="0"/>
        <v>1060.44</v>
      </c>
      <c r="I41" s="4">
        <f t="shared" si="1"/>
        <v>1380.6928800000001</v>
      </c>
      <c r="J41" s="9">
        <f>J38</f>
        <v>427</v>
      </c>
      <c r="K41" s="9">
        <f t="shared" si="2"/>
        <v>3.2334727868852462</v>
      </c>
      <c r="L41" s="30"/>
    </row>
    <row r="42" spans="1:12" hidden="1" x14ac:dyDescent="0.25">
      <c r="A42" s="67" t="s">
        <v>74</v>
      </c>
      <c r="B42" s="67"/>
      <c r="C42" s="67"/>
      <c r="D42" s="67"/>
      <c r="E42" s="67"/>
      <c r="F42" s="26">
        <f>'Услуга №1 '!F43</f>
        <v>4418.5</v>
      </c>
      <c r="G42" s="9">
        <v>6.0000000000000001E-3</v>
      </c>
      <c r="H42" s="4">
        <f t="shared" si="0"/>
        <v>318.13200000000001</v>
      </c>
      <c r="I42" s="4">
        <f t="shared" si="1"/>
        <v>414.20786400000003</v>
      </c>
      <c r="J42" s="9">
        <f>J40</f>
        <v>427</v>
      </c>
      <c r="K42" s="9">
        <f t="shared" si="2"/>
        <v>0.97004183606557381</v>
      </c>
      <c r="L42" s="30"/>
    </row>
    <row r="43" spans="1:12" hidden="1" x14ac:dyDescent="0.25">
      <c r="A43" s="67" t="s">
        <v>78</v>
      </c>
      <c r="B43" s="67"/>
      <c r="C43" s="67"/>
      <c r="D43" s="67"/>
      <c r="E43" s="67"/>
      <c r="F43" s="26">
        <f>'Услуга №1 '!F44</f>
        <v>8837</v>
      </c>
      <c r="G43" s="9">
        <v>0.01</v>
      </c>
      <c r="H43" s="4">
        <f t="shared" si="0"/>
        <v>1060.44</v>
      </c>
      <c r="I43" s="4">
        <f t="shared" si="1"/>
        <v>1380.6928800000001</v>
      </c>
      <c r="J43" s="9">
        <f>J40</f>
        <v>427</v>
      </c>
      <c r="K43" s="9">
        <f t="shared" si="2"/>
        <v>3.2334727868852462</v>
      </c>
      <c r="L43" s="30"/>
    </row>
    <row r="44" spans="1:12" ht="15" hidden="1" customHeight="1" x14ac:dyDescent="0.25">
      <c r="A44" s="74" t="s">
        <v>41</v>
      </c>
      <c r="B44" s="74"/>
      <c r="C44" s="74"/>
      <c r="D44" s="74"/>
      <c r="E44" s="74"/>
      <c r="F44" s="9">
        <f>'Услуга №1 '!F45</f>
        <v>6556</v>
      </c>
      <c r="G44" s="9">
        <v>0.02</v>
      </c>
      <c r="H44" s="4">
        <f t="shared" si="0"/>
        <v>1573.44</v>
      </c>
      <c r="I44" s="4">
        <f t="shared" si="1"/>
        <v>2048.61888</v>
      </c>
      <c r="J44" s="9">
        <f>J42</f>
        <v>427</v>
      </c>
      <c r="K44" s="9">
        <f t="shared" si="2"/>
        <v>4.797702295081967</v>
      </c>
      <c r="L44" s="30"/>
    </row>
    <row r="45" spans="1:12" hidden="1" x14ac:dyDescent="0.25">
      <c r="A45" s="79" t="s">
        <v>79</v>
      </c>
      <c r="B45" s="81"/>
      <c r="C45" s="81"/>
      <c r="D45" s="81"/>
      <c r="E45" s="82"/>
      <c r="F45" s="9">
        <f>'Услуга №1 '!F46</f>
        <v>3933</v>
      </c>
      <c r="G45" s="9">
        <v>0.01</v>
      </c>
      <c r="H45" s="4">
        <f t="shared" si="0"/>
        <v>471.96</v>
      </c>
      <c r="I45" s="4">
        <f t="shared" si="1"/>
        <v>614.49192000000005</v>
      </c>
      <c r="J45" s="9">
        <f>J42</f>
        <v>427</v>
      </c>
      <c r="K45" s="9">
        <f t="shared" si="2"/>
        <v>1.4390911475409838</v>
      </c>
      <c r="L45" s="30"/>
    </row>
    <row r="46" spans="1:12" ht="15.75" hidden="1" customHeight="1" x14ac:dyDescent="0.25">
      <c r="A46" s="67" t="s">
        <v>70</v>
      </c>
      <c r="B46" s="67"/>
      <c r="C46" s="67"/>
      <c r="D46" s="67"/>
      <c r="E46" s="67"/>
      <c r="F46" s="9">
        <f>'Услуга №1 '!F47</f>
        <v>4496</v>
      </c>
      <c r="G46" s="9">
        <v>0.01</v>
      </c>
      <c r="H46" s="4">
        <f t="shared" si="0"/>
        <v>539.52</v>
      </c>
      <c r="I46" s="4">
        <f t="shared" si="1"/>
        <v>702.45504000000005</v>
      </c>
      <c r="J46" s="9">
        <f>J43</f>
        <v>427</v>
      </c>
      <c r="K46" s="9">
        <f t="shared" si="2"/>
        <v>1.6450937704918034</v>
      </c>
      <c r="L46" s="30"/>
    </row>
    <row r="47" spans="1:12" hidden="1" x14ac:dyDescent="0.25">
      <c r="A47" s="67" t="s">
        <v>80</v>
      </c>
      <c r="B47" s="67"/>
      <c r="C47" s="67"/>
      <c r="D47" s="67"/>
      <c r="E47" s="67"/>
      <c r="F47" s="9">
        <f>'Услуга №1 '!F48</f>
        <v>11538</v>
      </c>
      <c r="G47" s="9">
        <v>0.01</v>
      </c>
      <c r="H47" s="4">
        <f t="shared" si="0"/>
        <v>1384.56</v>
      </c>
      <c r="I47" s="4">
        <f t="shared" si="1"/>
        <v>1802.69712</v>
      </c>
      <c r="J47" s="9">
        <f>J44</f>
        <v>427</v>
      </c>
      <c r="K47" s="9">
        <f t="shared" si="2"/>
        <v>4.2217731147540984</v>
      </c>
      <c r="L47" s="30"/>
    </row>
    <row r="48" spans="1:12" ht="15" hidden="1" customHeight="1" x14ac:dyDescent="0.25">
      <c r="A48" s="74" t="s">
        <v>48</v>
      </c>
      <c r="B48" s="74"/>
      <c r="C48" s="74"/>
      <c r="D48" s="74"/>
      <c r="E48" s="74"/>
      <c r="F48" s="9">
        <f>'Услуга №1 '!F49</f>
        <v>11538</v>
      </c>
      <c r="G48" s="9">
        <v>0.04</v>
      </c>
      <c r="H48" s="4">
        <f t="shared" si="0"/>
        <v>5538.24</v>
      </c>
      <c r="I48" s="4">
        <f t="shared" si="1"/>
        <v>7210.7884800000002</v>
      </c>
      <c r="J48" s="9">
        <f>J44</f>
        <v>427</v>
      </c>
      <c r="K48" s="9">
        <f t="shared" si="2"/>
        <v>16.887092459016394</v>
      </c>
      <c r="L48" s="30"/>
    </row>
    <row r="49" spans="1:13" ht="15" hidden="1" customHeight="1" x14ac:dyDescent="0.25">
      <c r="A49" s="74" t="s">
        <v>77</v>
      </c>
      <c r="B49" s="74"/>
      <c r="C49" s="74"/>
      <c r="D49" s="74"/>
      <c r="E49" s="74"/>
      <c r="F49" s="9">
        <f>'Услуга №1 '!F50</f>
        <v>6556</v>
      </c>
      <c r="G49" s="9">
        <v>0.01</v>
      </c>
      <c r="H49" s="4">
        <f t="shared" si="0"/>
        <v>786.72</v>
      </c>
      <c r="I49" s="4">
        <f t="shared" si="1"/>
        <v>1024.30944</v>
      </c>
      <c r="J49" s="9">
        <f>J47</f>
        <v>427</v>
      </c>
      <c r="K49" s="9">
        <f t="shared" si="2"/>
        <v>2.3988511475409835</v>
      </c>
      <c r="L49" s="30"/>
    </row>
    <row r="50" spans="1:13" ht="17.25" hidden="1" customHeight="1" x14ac:dyDescent="0.25">
      <c r="A50" s="74" t="s">
        <v>72</v>
      </c>
      <c r="B50" s="74"/>
      <c r="C50" s="74"/>
      <c r="D50" s="74"/>
      <c r="E50" s="74"/>
      <c r="F50" s="26">
        <f>'Услуга №1 '!F51</f>
        <v>11538</v>
      </c>
      <c r="G50" s="9">
        <v>0.01</v>
      </c>
      <c r="H50" s="4">
        <f t="shared" si="0"/>
        <v>1384.56</v>
      </c>
      <c r="I50" s="4">
        <f t="shared" si="1"/>
        <v>1802.69712</v>
      </c>
      <c r="J50" s="9">
        <f>J48</f>
        <v>427</v>
      </c>
      <c r="K50" s="9">
        <f t="shared" si="2"/>
        <v>4.2217731147540984</v>
      </c>
      <c r="L50" s="30"/>
    </row>
    <row r="51" spans="1:13" ht="15" hidden="1" customHeight="1" x14ac:dyDescent="0.25">
      <c r="A51" s="74" t="s">
        <v>75</v>
      </c>
      <c r="B51" s="74"/>
      <c r="C51" s="74"/>
      <c r="D51" s="74"/>
      <c r="E51" s="74"/>
      <c r="F51" s="26">
        <f>'Услуга №1 '!F52</f>
        <v>8837</v>
      </c>
      <c r="G51" s="9">
        <v>0.03</v>
      </c>
      <c r="H51" s="4">
        <f t="shared" si="0"/>
        <v>3181.32</v>
      </c>
      <c r="I51" s="4">
        <f t="shared" si="1"/>
        <v>4142.0786400000006</v>
      </c>
      <c r="J51" s="9">
        <f>J50</f>
        <v>427</v>
      </c>
      <c r="K51" s="9">
        <f t="shared" si="2"/>
        <v>9.700418360655739</v>
      </c>
      <c r="L51" s="30"/>
    </row>
    <row r="52" spans="1:13" ht="15" hidden="1" customHeight="1" x14ac:dyDescent="0.25">
      <c r="A52" s="74" t="s">
        <v>49</v>
      </c>
      <c r="B52" s="74"/>
      <c r="C52" s="74"/>
      <c r="D52" s="74"/>
      <c r="E52" s="74"/>
      <c r="F52" s="26">
        <f>'Услуга №1 '!F53</f>
        <v>11538</v>
      </c>
      <c r="G52" s="9">
        <v>0.01</v>
      </c>
      <c r="H52" s="4">
        <f t="shared" si="0"/>
        <v>1384.56</v>
      </c>
      <c r="I52" s="4">
        <f t="shared" si="1"/>
        <v>1802.69712</v>
      </c>
      <c r="J52" s="9">
        <f>J51</f>
        <v>427</v>
      </c>
      <c r="K52" s="9">
        <f t="shared" si="2"/>
        <v>4.2217731147540984</v>
      </c>
      <c r="L52" s="30"/>
    </row>
    <row r="53" spans="1:13" s="8" customFormat="1" ht="14.25" customHeight="1" x14ac:dyDescent="0.25">
      <c r="A53" s="27" t="s">
        <v>82</v>
      </c>
      <c r="B53" s="28"/>
      <c r="C53" s="28"/>
      <c r="D53" s="28"/>
      <c r="E53" s="28"/>
      <c r="F53" s="3">
        <v>19735.64</v>
      </c>
      <c r="G53" s="3">
        <f>F34</f>
        <v>0.24000000000000002</v>
      </c>
      <c r="H53" s="3">
        <f>(F53*G53)*12</f>
        <v>56838.643200000006</v>
      </c>
      <c r="I53" s="3">
        <f>(H53*1.302)</f>
        <v>74003.913446400009</v>
      </c>
      <c r="J53" s="48">
        <f>J52</f>
        <v>427</v>
      </c>
      <c r="K53" s="3">
        <f>I53/F36</f>
        <v>173.31127270819675</v>
      </c>
      <c r="L53" s="30"/>
      <c r="M53" s="7"/>
    </row>
    <row r="54" spans="1:13" x14ac:dyDescent="0.25">
      <c r="A54" s="29"/>
      <c r="B54" s="29"/>
      <c r="C54" s="29"/>
      <c r="D54" s="29"/>
      <c r="E54" s="29"/>
      <c r="F54" s="30"/>
      <c r="G54" s="30"/>
      <c r="H54" s="30"/>
      <c r="I54" s="30"/>
      <c r="J54" s="30"/>
      <c r="K54" s="30"/>
      <c r="L54" s="30"/>
    </row>
    <row r="55" spans="1:13" ht="18" customHeight="1" x14ac:dyDescent="0.25">
      <c r="A55" s="75" t="s">
        <v>8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</row>
    <row r="56" spans="1:13" ht="45" x14ac:dyDescent="0.25">
      <c r="A56" s="73" t="s">
        <v>9</v>
      </c>
      <c r="B56" s="73"/>
      <c r="C56" s="73"/>
      <c r="D56" s="73"/>
      <c r="E56" s="73"/>
      <c r="F56" s="20" t="s">
        <v>7</v>
      </c>
      <c r="G56" s="20" t="s">
        <v>59</v>
      </c>
      <c r="H56" s="20" t="s">
        <v>58</v>
      </c>
      <c r="I56" s="20" t="s">
        <v>64</v>
      </c>
      <c r="J56" s="20" t="s">
        <v>62</v>
      </c>
      <c r="K56" s="24" t="s">
        <v>63</v>
      </c>
      <c r="L56" s="31"/>
    </row>
    <row r="57" spans="1:13" x14ac:dyDescent="0.25">
      <c r="A57" s="79" t="s">
        <v>42</v>
      </c>
      <c r="B57" s="81"/>
      <c r="C57" s="81"/>
      <c r="D57" s="81"/>
      <c r="E57" s="82"/>
      <c r="F57" s="25" t="s">
        <v>43</v>
      </c>
      <c r="G57" s="25">
        <v>35000</v>
      </c>
      <c r="H57" s="25">
        <v>4.5</v>
      </c>
      <c r="I57" s="32">
        <f>157500*1.2%</f>
        <v>1890</v>
      </c>
      <c r="J57" s="9">
        <f>F36</f>
        <v>427</v>
      </c>
      <c r="K57" s="33">
        <f>I57/J57</f>
        <v>4.4262295081967213</v>
      </c>
      <c r="L57" s="31"/>
    </row>
    <row r="58" spans="1:13" x14ac:dyDescent="0.25">
      <c r="A58" s="67" t="s">
        <v>10</v>
      </c>
      <c r="B58" s="67"/>
      <c r="C58" s="67"/>
      <c r="D58" s="67"/>
      <c r="E58" s="67"/>
      <c r="F58" s="9" t="s">
        <v>13</v>
      </c>
      <c r="G58" s="9">
        <v>160</v>
      </c>
      <c r="H58" s="9">
        <v>1690.46</v>
      </c>
      <c r="I58" s="32">
        <f>270474.6*1.2%</f>
        <v>3245.6951999999997</v>
      </c>
      <c r="J58" s="9">
        <f>J57</f>
        <v>427</v>
      </c>
      <c r="K58" s="33">
        <f t="shared" ref="K58:K61" si="3">I58/J58</f>
        <v>7.6011597189695541</v>
      </c>
      <c r="L58" s="22"/>
    </row>
    <row r="59" spans="1:13" x14ac:dyDescent="0.25">
      <c r="A59" s="67" t="s">
        <v>11</v>
      </c>
      <c r="B59" s="67"/>
      <c r="C59" s="67"/>
      <c r="D59" s="67"/>
      <c r="E59" s="67"/>
      <c r="F59" s="9" t="s">
        <v>14</v>
      </c>
      <c r="G59" s="9">
        <v>200</v>
      </c>
      <c r="H59" s="9">
        <v>40.96</v>
      </c>
      <c r="I59" s="32">
        <f>8192*1.2%</f>
        <v>98.304000000000002</v>
      </c>
      <c r="J59" s="9">
        <f>J58</f>
        <v>427</v>
      </c>
      <c r="K59" s="33">
        <f t="shared" si="3"/>
        <v>0.23022014051522249</v>
      </c>
      <c r="L59" s="22"/>
    </row>
    <row r="60" spans="1:13" x14ac:dyDescent="0.25">
      <c r="A60" s="67" t="s">
        <v>12</v>
      </c>
      <c r="B60" s="67"/>
      <c r="C60" s="67"/>
      <c r="D60" s="67"/>
      <c r="E60" s="67"/>
      <c r="F60" s="9" t="s">
        <v>14</v>
      </c>
      <c r="G60" s="9">
        <v>200</v>
      </c>
      <c r="H60" s="9">
        <v>59.65</v>
      </c>
      <c r="I60" s="32">
        <f>11930*1.2%</f>
        <v>143.16</v>
      </c>
      <c r="J60" s="9">
        <f>J58</f>
        <v>427</v>
      </c>
      <c r="K60" s="33">
        <f t="shared" si="3"/>
        <v>0.3352693208430913</v>
      </c>
      <c r="L60" s="22"/>
    </row>
    <row r="61" spans="1:13" x14ac:dyDescent="0.25">
      <c r="A61" s="79" t="s">
        <v>17</v>
      </c>
      <c r="B61" s="80"/>
      <c r="C61" s="80"/>
      <c r="D61" s="80"/>
      <c r="E61" s="80"/>
      <c r="F61" s="9" t="s">
        <v>14</v>
      </c>
      <c r="G61" s="9">
        <v>12</v>
      </c>
      <c r="H61" s="9">
        <v>1833.34</v>
      </c>
      <c r="I61" s="34">
        <f>22000.1*1.2%</f>
        <v>264.00119999999998</v>
      </c>
      <c r="J61" s="9">
        <f>J59</f>
        <v>427</v>
      </c>
      <c r="K61" s="33">
        <f t="shared" si="3"/>
        <v>0.61826978922716624</v>
      </c>
      <c r="L61" s="22"/>
    </row>
    <row r="62" spans="1:13" s="8" customFormat="1" ht="15" customHeight="1" x14ac:dyDescent="0.25">
      <c r="A62" s="83" t="s">
        <v>15</v>
      </c>
      <c r="B62" s="84"/>
      <c r="C62" s="84"/>
      <c r="D62" s="84"/>
      <c r="E62" s="84"/>
      <c r="F62" s="84"/>
      <c r="G62" s="84"/>
      <c r="H62" s="85"/>
      <c r="I62" s="5">
        <f>SUM(I57:I61)</f>
        <v>5641.1603999999998</v>
      </c>
      <c r="J62" s="48">
        <f>J60</f>
        <v>427</v>
      </c>
      <c r="K62" s="5">
        <f>I62/J62</f>
        <v>13.211148477751756</v>
      </c>
      <c r="L62" s="22"/>
      <c r="M62" s="7"/>
    </row>
    <row r="64" spans="1:13" x14ac:dyDescent="0.25">
      <c r="A64" s="75" t="s">
        <v>16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</row>
    <row r="65" spans="1:13" ht="45" x14ac:dyDescent="0.25">
      <c r="A65" s="73" t="s">
        <v>20</v>
      </c>
      <c r="B65" s="73"/>
      <c r="C65" s="73"/>
      <c r="D65" s="73"/>
      <c r="E65" s="73"/>
      <c r="F65" s="25" t="s">
        <v>7</v>
      </c>
      <c r="G65" s="25" t="s">
        <v>59</v>
      </c>
      <c r="H65" s="25" t="s">
        <v>58</v>
      </c>
      <c r="I65" s="25" t="s">
        <v>64</v>
      </c>
      <c r="J65" s="25" t="s">
        <v>62</v>
      </c>
      <c r="K65" s="33" t="s">
        <v>63</v>
      </c>
      <c r="L65" s="31"/>
    </row>
    <row r="66" spans="1:13" ht="14.25" customHeight="1" x14ac:dyDescent="0.25">
      <c r="A66" s="67" t="s">
        <v>44</v>
      </c>
      <c r="B66" s="67"/>
      <c r="C66" s="67"/>
      <c r="D66" s="67"/>
      <c r="E66" s="67"/>
      <c r="F66" s="9" t="s">
        <v>18</v>
      </c>
      <c r="G66" s="9">
        <v>12</v>
      </c>
      <c r="H66" s="9">
        <v>785.4</v>
      </c>
      <c r="I66" s="9">
        <f>9424.8*1.2%</f>
        <v>113.0976</v>
      </c>
      <c r="J66" s="9">
        <f>F36</f>
        <v>427</v>
      </c>
      <c r="K66" s="21">
        <f t="shared" ref="K66:K69" si="4">I66/J66</f>
        <v>0.2648655737704918</v>
      </c>
      <c r="L66" s="22"/>
    </row>
    <row r="67" spans="1:13" ht="14.25" customHeight="1" x14ac:dyDescent="0.25">
      <c r="A67" s="67" t="s">
        <v>104</v>
      </c>
      <c r="B67" s="67"/>
      <c r="C67" s="67"/>
      <c r="D67" s="67"/>
      <c r="E67" s="67"/>
      <c r="F67" s="9" t="s">
        <v>18</v>
      </c>
      <c r="G67" s="9">
        <v>12</v>
      </c>
      <c r="H67" s="9">
        <v>2900</v>
      </c>
      <c r="I67" s="9">
        <f>34800*1.2%</f>
        <v>417.6</v>
      </c>
      <c r="J67" s="9">
        <v>427</v>
      </c>
      <c r="K67" s="21">
        <f t="shared" si="4"/>
        <v>0.97798594847775178</v>
      </c>
      <c r="L67" s="22"/>
    </row>
    <row r="68" spans="1:13" ht="14.25" customHeight="1" x14ac:dyDescent="0.25">
      <c r="A68" s="67" t="s">
        <v>105</v>
      </c>
      <c r="B68" s="67"/>
      <c r="C68" s="67"/>
      <c r="D68" s="67"/>
      <c r="E68" s="67"/>
      <c r="F68" s="9" t="s">
        <v>18</v>
      </c>
      <c r="G68" s="9">
        <v>12</v>
      </c>
      <c r="H68" s="9">
        <v>2100</v>
      </c>
      <c r="I68" s="9">
        <f>25200*1.2%</f>
        <v>302.40000000000003</v>
      </c>
      <c r="J68" s="9">
        <v>427</v>
      </c>
      <c r="K68" s="21">
        <f t="shared" si="4"/>
        <v>0.70819672131147549</v>
      </c>
      <c r="L68" s="22"/>
    </row>
    <row r="69" spans="1:13" ht="23.25" customHeight="1" x14ac:dyDescent="0.25">
      <c r="A69" s="76" t="s">
        <v>106</v>
      </c>
      <c r="B69" s="77"/>
      <c r="C69" s="77"/>
      <c r="D69" s="77"/>
      <c r="E69" s="78"/>
      <c r="F69" s="9" t="s">
        <v>18</v>
      </c>
      <c r="G69" s="9">
        <v>12</v>
      </c>
      <c r="H69" s="9">
        <v>800</v>
      </c>
      <c r="I69" s="9">
        <f>9600*1.2%</f>
        <v>115.2</v>
      </c>
      <c r="J69" s="9">
        <v>427</v>
      </c>
      <c r="K69" s="9">
        <f t="shared" si="4"/>
        <v>0.26978922716627635</v>
      </c>
      <c r="L69" s="30"/>
    </row>
    <row r="70" spans="1:13" s="8" customFormat="1" ht="15.75" customHeight="1" x14ac:dyDescent="0.25">
      <c r="A70" s="68" t="s">
        <v>19</v>
      </c>
      <c r="B70" s="69"/>
      <c r="C70" s="69"/>
      <c r="D70" s="69"/>
      <c r="E70" s="69"/>
      <c r="F70" s="69"/>
      <c r="G70" s="69"/>
      <c r="H70" s="70"/>
      <c r="I70" s="3">
        <f>SUM(I66:I69)</f>
        <v>948.2976000000001</v>
      </c>
      <c r="J70" s="48">
        <v>427</v>
      </c>
      <c r="K70" s="3">
        <f>I70/J70</f>
        <v>2.2208374707259955</v>
      </c>
      <c r="L70" s="22"/>
      <c r="M70" s="7"/>
    </row>
    <row r="72" spans="1:13" x14ac:dyDescent="0.25">
      <c r="A72" s="75" t="s">
        <v>89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</row>
    <row r="73" spans="1:13" ht="45" x14ac:dyDescent="0.25">
      <c r="A73" s="91" t="s">
        <v>20</v>
      </c>
      <c r="B73" s="92"/>
      <c r="C73" s="92"/>
      <c r="D73" s="92"/>
      <c r="E73" s="93"/>
      <c r="F73" s="20" t="s">
        <v>7</v>
      </c>
      <c r="G73" s="20" t="s">
        <v>59</v>
      </c>
      <c r="H73" s="20" t="s">
        <v>58</v>
      </c>
      <c r="I73" s="20" t="s">
        <v>64</v>
      </c>
      <c r="J73" s="20" t="s">
        <v>62</v>
      </c>
      <c r="K73" s="24" t="s">
        <v>63</v>
      </c>
      <c r="L73" s="31"/>
      <c r="M73" s="35"/>
    </row>
    <row r="74" spans="1:13" ht="34.5" customHeight="1" x14ac:dyDescent="0.25">
      <c r="A74" s="67" t="s">
        <v>21</v>
      </c>
      <c r="B74" s="67"/>
      <c r="C74" s="67"/>
      <c r="D74" s="67"/>
      <c r="E74" s="67"/>
      <c r="F74" s="36" t="s">
        <v>22</v>
      </c>
      <c r="G74" s="9">
        <v>2</v>
      </c>
      <c r="H74" s="37">
        <v>400</v>
      </c>
      <c r="I74" s="9">
        <f>9600*1.2%</f>
        <v>115.2</v>
      </c>
      <c r="J74" s="9">
        <f>F36</f>
        <v>427</v>
      </c>
      <c r="K74" s="21">
        <f>I74/J74</f>
        <v>0.26978922716627635</v>
      </c>
      <c r="L74" s="22"/>
      <c r="M74" s="30"/>
    </row>
    <row r="75" spans="1:13" ht="35.25" customHeight="1" x14ac:dyDescent="0.25">
      <c r="A75" s="79" t="s">
        <v>107</v>
      </c>
      <c r="B75" s="81"/>
      <c r="C75" s="81"/>
      <c r="D75" s="81"/>
      <c r="E75" s="82"/>
      <c r="F75" s="36" t="s">
        <v>22</v>
      </c>
      <c r="G75" s="9">
        <v>1</v>
      </c>
      <c r="H75" s="37"/>
      <c r="I75" s="9">
        <f>4200*1.2%</f>
        <v>50.4</v>
      </c>
      <c r="J75" s="9">
        <v>427</v>
      </c>
      <c r="K75" s="21">
        <f>I75/J75</f>
        <v>0.11803278688524591</v>
      </c>
      <c r="L75" s="22"/>
      <c r="M75" s="30"/>
    </row>
    <row r="76" spans="1:13" ht="35.25" customHeight="1" x14ac:dyDescent="0.25">
      <c r="A76" s="67" t="s">
        <v>90</v>
      </c>
      <c r="B76" s="67"/>
      <c r="C76" s="67"/>
      <c r="D76" s="67"/>
      <c r="E76" s="67"/>
      <c r="F76" s="36" t="s">
        <v>91</v>
      </c>
      <c r="G76" s="9">
        <v>9</v>
      </c>
      <c r="H76" s="37">
        <v>5000</v>
      </c>
      <c r="I76" s="9">
        <f>60000*1.2%</f>
        <v>720</v>
      </c>
      <c r="J76" s="9">
        <f>J74</f>
        <v>427</v>
      </c>
      <c r="K76" s="21">
        <f>I76/J76</f>
        <v>1.6861826697892273</v>
      </c>
      <c r="L76" s="22"/>
      <c r="M76" s="30"/>
    </row>
    <row r="77" spans="1:13" x14ac:dyDescent="0.25">
      <c r="A77" s="68" t="s">
        <v>23</v>
      </c>
      <c r="B77" s="69"/>
      <c r="C77" s="69"/>
      <c r="D77" s="69"/>
      <c r="E77" s="69"/>
      <c r="F77" s="69"/>
      <c r="G77" s="69"/>
      <c r="H77" s="70"/>
      <c r="I77" s="6">
        <f>SUM(I74:I76)</f>
        <v>885.6</v>
      </c>
      <c r="J77" s="6">
        <f>F36</f>
        <v>427</v>
      </c>
      <c r="K77" s="6">
        <f>SUM(K74:K76)</f>
        <v>2.0740046838407498</v>
      </c>
      <c r="L77" s="14"/>
      <c r="M77" s="30"/>
    </row>
    <row r="79" spans="1:13" x14ac:dyDescent="0.25">
      <c r="A79" s="75" t="s">
        <v>40</v>
      </c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</row>
    <row r="80" spans="1:13" ht="57.75" customHeight="1" x14ac:dyDescent="0.25">
      <c r="A80" s="91" t="s">
        <v>5</v>
      </c>
      <c r="B80" s="92"/>
      <c r="C80" s="92"/>
      <c r="D80" s="92"/>
      <c r="E80" s="93"/>
      <c r="F80" s="20" t="s">
        <v>6</v>
      </c>
      <c r="G80" s="20" t="s">
        <v>1</v>
      </c>
      <c r="H80" s="20" t="s">
        <v>60</v>
      </c>
      <c r="I80" s="20" t="s">
        <v>61</v>
      </c>
      <c r="J80" s="20" t="s">
        <v>62</v>
      </c>
      <c r="K80" s="24" t="s">
        <v>63</v>
      </c>
      <c r="L80" s="31"/>
    </row>
    <row r="81" spans="1:13" hidden="1" x14ac:dyDescent="0.25">
      <c r="A81" s="67" t="s">
        <v>3</v>
      </c>
      <c r="B81" s="67"/>
      <c r="C81" s="67"/>
      <c r="D81" s="67"/>
      <c r="E81" s="67"/>
      <c r="F81" s="26">
        <f>'Услуга №1 '!F82</f>
        <v>15898</v>
      </c>
      <c r="G81" s="57">
        <v>1.2E-2</v>
      </c>
      <c r="H81" s="4">
        <f>F81*G81*12</f>
        <v>2289.3119999999999</v>
      </c>
      <c r="I81" s="9">
        <f>H81*1.302</f>
        <v>2980.6842240000001</v>
      </c>
      <c r="J81" s="9">
        <v>427</v>
      </c>
      <c r="K81" s="21">
        <f>I81/J81</f>
        <v>6.9805251147540988</v>
      </c>
      <c r="L81" s="22"/>
    </row>
    <row r="82" spans="1:13" ht="20.25" hidden="1" customHeight="1" x14ac:dyDescent="0.25">
      <c r="A82" s="67" t="s">
        <v>45</v>
      </c>
      <c r="B82" s="67"/>
      <c r="C82" s="67"/>
      <c r="D82" s="67"/>
      <c r="E82" s="67"/>
      <c r="F82" s="26">
        <f>'Услуга №1 '!F83</f>
        <v>14309</v>
      </c>
      <c r="G82" s="57">
        <v>1.2E-2</v>
      </c>
      <c r="H82" s="4">
        <f>F82*G82*12</f>
        <v>2060.4960000000001</v>
      </c>
      <c r="I82" s="9">
        <f>H82*1.302-0.01</f>
        <v>2682.7557919999999</v>
      </c>
      <c r="J82" s="9">
        <f>J81</f>
        <v>427</v>
      </c>
      <c r="K82" s="21">
        <f>I82/J82</f>
        <v>6.282800449648712</v>
      </c>
      <c r="L82" s="22"/>
    </row>
    <row r="83" spans="1:13" x14ac:dyDescent="0.25">
      <c r="A83" s="38" t="s">
        <v>24</v>
      </c>
      <c r="B83" s="38"/>
      <c r="C83" s="38"/>
      <c r="D83" s="38"/>
      <c r="E83" s="38"/>
      <c r="F83" s="48">
        <v>24165.599999999999</v>
      </c>
      <c r="G83" s="61">
        <f>SUM(G81:G82)</f>
        <v>2.4E-2</v>
      </c>
      <c r="H83" s="48">
        <f>F83*G83*12</f>
        <v>6959.6927999999989</v>
      </c>
      <c r="I83" s="6">
        <f>H83*1.302</f>
        <v>9061.5200255999989</v>
      </c>
      <c r="J83" s="6">
        <f>F36</f>
        <v>427</v>
      </c>
      <c r="K83" s="6">
        <f>I83/J83</f>
        <v>21.221358373770489</v>
      </c>
      <c r="L83" s="22"/>
    </row>
    <row r="84" spans="1:13" ht="10.5" customHeight="1" x14ac:dyDescent="0.25">
      <c r="F84" s="39"/>
      <c r="G84" s="39"/>
      <c r="H84" s="39"/>
      <c r="I84" s="39"/>
      <c r="J84" s="39"/>
      <c r="K84" s="39"/>
      <c r="L84" s="39"/>
    </row>
    <row r="85" spans="1:13" s="8" customFormat="1" x14ac:dyDescent="0.25">
      <c r="A85" s="71" t="s">
        <v>67</v>
      </c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2"/>
      <c r="M85" s="7"/>
    </row>
    <row r="86" spans="1:13" ht="49.5" customHeight="1" x14ac:dyDescent="0.25">
      <c r="A86" s="73" t="s">
        <v>69</v>
      </c>
      <c r="B86" s="73"/>
      <c r="C86" s="73"/>
      <c r="D86" s="73"/>
      <c r="E86" s="73"/>
      <c r="F86" s="20" t="s">
        <v>7</v>
      </c>
      <c r="G86" s="20" t="s">
        <v>59</v>
      </c>
      <c r="H86" s="20" t="s">
        <v>58</v>
      </c>
      <c r="I86" s="20" t="s">
        <v>64</v>
      </c>
      <c r="J86" s="20" t="s">
        <v>62</v>
      </c>
      <c r="K86" s="24" t="s">
        <v>63</v>
      </c>
      <c r="L86" s="31"/>
    </row>
    <row r="87" spans="1:13" ht="33" customHeight="1" x14ac:dyDescent="0.25">
      <c r="A87" s="76" t="s">
        <v>66</v>
      </c>
      <c r="B87" s="77"/>
      <c r="C87" s="77"/>
      <c r="D87" s="77"/>
      <c r="E87" s="78"/>
      <c r="F87" s="9" t="s">
        <v>25</v>
      </c>
      <c r="G87" s="9">
        <v>11</v>
      </c>
      <c r="H87" s="4">
        <v>5525.3</v>
      </c>
      <c r="I87" s="9">
        <f>60778.32*1.2%</f>
        <v>729.33983999999998</v>
      </c>
      <c r="J87" s="9">
        <v>427</v>
      </c>
      <c r="K87" s="21">
        <f>I87/J87</f>
        <v>1.7080558313817329</v>
      </c>
      <c r="L87" s="22"/>
    </row>
    <row r="88" spans="1:13" s="8" customFormat="1" x14ac:dyDescent="0.25">
      <c r="A88" s="68" t="s">
        <v>68</v>
      </c>
      <c r="B88" s="69"/>
      <c r="C88" s="69"/>
      <c r="D88" s="69"/>
      <c r="E88" s="69"/>
      <c r="F88" s="69"/>
      <c r="G88" s="69"/>
      <c r="H88" s="69"/>
      <c r="I88" s="6">
        <f>SUM(I87:I87)</f>
        <v>729.33983999999998</v>
      </c>
      <c r="J88" s="6">
        <f>F36</f>
        <v>427</v>
      </c>
      <c r="K88" s="6">
        <f>SUM(K87:K87)</f>
        <v>1.7080558313817329</v>
      </c>
      <c r="L88" s="22"/>
      <c r="M88" s="7"/>
    </row>
    <row r="89" spans="1:13" s="8" customFormat="1" x14ac:dyDescent="0.25">
      <c r="A89" s="40"/>
      <c r="B89" s="40"/>
      <c r="C89" s="40"/>
      <c r="D89" s="40"/>
      <c r="E89" s="40"/>
      <c r="F89" s="40"/>
      <c r="G89" s="40"/>
      <c r="H89" s="40"/>
      <c r="I89" s="14"/>
      <c r="J89" s="14"/>
      <c r="K89" s="14"/>
      <c r="L89" s="30"/>
      <c r="M89" s="7"/>
    </row>
    <row r="90" spans="1:13" s="8" customFormat="1" x14ac:dyDescent="0.25">
      <c r="A90" s="41"/>
      <c r="B90" s="41"/>
      <c r="C90" s="41"/>
      <c r="D90" s="41"/>
      <c r="E90" s="41"/>
      <c r="F90" s="41"/>
      <c r="G90" s="41"/>
      <c r="H90" s="41"/>
      <c r="I90" s="15"/>
      <c r="J90" s="15"/>
      <c r="K90" s="15"/>
      <c r="L90" s="30"/>
      <c r="M90" s="7"/>
    </row>
    <row r="91" spans="1:13" s="8" customFormat="1" x14ac:dyDescent="0.25">
      <c r="A91" s="71" t="s">
        <v>108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2"/>
      <c r="M91" s="7"/>
    </row>
    <row r="92" spans="1:13" ht="49.5" customHeight="1" x14ac:dyDescent="0.25">
      <c r="A92" s="73" t="s">
        <v>69</v>
      </c>
      <c r="B92" s="73"/>
      <c r="C92" s="73"/>
      <c r="D92" s="73"/>
      <c r="E92" s="73"/>
      <c r="F92" s="20" t="s">
        <v>7</v>
      </c>
      <c r="G92" s="20" t="s">
        <v>59</v>
      </c>
      <c r="H92" s="20" t="s">
        <v>58</v>
      </c>
      <c r="I92" s="20" t="s">
        <v>64</v>
      </c>
      <c r="J92" s="20" t="s">
        <v>62</v>
      </c>
      <c r="K92" s="24" t="s">
        <v>63</v>
      </c>
      <c r="L92" s="31"/>
    </row>
    <row r="93" spans="1:13" x14ac:dyDescent="0.25">
      <c r="A93" s="67" t="s">
        <v>109</v>
      </c>
      <c r="B93" s="67"/>
      <c r="C93" s="67"/>
      <c r="D93" s="67"/>
      <c r="E93" s="67"/>
      <c r="F93" s="9"/>
      <c r="G93" s="9"/>
      <c r="H93" s="4"/>
      <c r="I93" s="9">
        <f>720*1.2%</f>
        <v>8.64</v>
      </c>
      <c r="J93" s="9">
        <v>427</v>
      </c>
      <c r="K93" s="21">
        <f>I93/J93</f>
        <v>2.0234192037470726E-2</v>
      </c>
      <c r="L93" s="22"/>
    </row>
    <row r="94" spans="1:13" s="8" customFormat="1" x14ac:dyDescent="0.25">
      <c r="A94" s="68" t="s">
        <v>110</v>
      </c>
      <c r="B94" s="69"/>
      <c r="C94" s="69"/>
      <c r="D94" s="69"/>
      <c r="E94" s="69"/>
      <c r="F94" s="69"/>
      <c r="G94" s="69"/>
      <c r="H94" s="69"/>
      <c r="I94" s="6">
        <f>SUM(I93:I93)</f>
        <v>8.64</v>
      </c>
      <c r="J94" s="6">
        <f>F36</f>
        <v>427</v>
      </c>
      <c r="K94" s="6">
        <f>SUM(K93:K93)</f>
        <v>2.0234192037470726E-2</v>
      </c>
      <c r="L94" s="22"/>
      <c r="M94" s="7"/>
    </row>
    <row r="95" spans="1:13" x14ac:dyDescent="0.25">
      <c r="F95" s="39"/>
      <c r="G95" s="39"/>
      <c r="H95" s="39"/>
      <c r="I95" s="39"/>
      <c r="J95" s="39"/>
      <c r="K95" s="39"/>
      <c r="L95" s="39"/>
    </row>
    <row r="96" spans="1:13" s="8" customFormat="1" x14ac:dyDescent="0.25">
      <c r="A96" s="71" t="s">
        <v>111</v>
      </c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2"/>
      <c r="M96" s="7"/>
    </row>
    <row r="97" spans="1:13" s="8" customFormat="1" ht="45" x14ac:dyDescent="0.25">
      <c r="A97" s="73" t="s">
        <v>69</v>
      </c>
      <c r="B97" s="73"/>
      <c r="C97" s="73"/>
      <c r="D97" s="73"/>
      <c r="E97" s="73"/>
      <c r="F97" s="20" t="s">
        <v>7</v>
      </c>
      <c r="G97" s="20" t="s">
        <v>59</v>
      </c>
      <c r="H97" s="20" t="s">
        <v>58</v>
      </c>
      <c r="I97" s="20" t="s">
        <v>64</v>
      </c>
      <c r="J97" s="20" t="s">
        <v>62</v>
      </c>
      <c r="K97" s="24" t="s">
        <v>63</v>
      </c>
      <c r="L97" s="31"/>
      <c r="M97" s="7"/>
    </row>
    <row r="98" spans="1:13" ht="49.5" customHeight="1" x14ac:dyDescent="0.25">
      <c r="A98" s="67" t="s">
        <v>112</v>
      </c>
      <c r="B98" s="67"/>
      <c r="C98" s="67"/>
      <c r="D98" s="67"/>
      <c r="E98" s="67"/>
      <c r="F98" s="9"/>
      <c r="G98" s="9"/>
      <c r="H98" s="4"/>
      <c r="I98" s="9">
        <f>49300*1.2%</f>
        <v>591.6</v>
      </c>
      <c r="J98" s="9">
        <v>427</v>
      </c>
      <c r="K98" s="21">
        <f>I98/J98</f>
        <v>1.385480093676815</v>
      </c>
      <c r="L98" s="22"/>
    </row>
    <row r="99" spans="1:13" x14ac:dyDescent="0.25">
      <c r="A99" s="68" t="s">
        <v>114</v>
      </c>
      <c r="B99" s="69"/>
      <c r="C99" s="69"/>
      <c r="D99" s="69"/>
      <c r="E99" s="69"/>
      <c r="F99" s="69"/>
      <c r="G99" s="69"/>
      <c r="H99" s="69"/>
      <c r="I99" s="6">
        <f>SUM(I98:I98)</f>
        <v>591.6</v>
      </c>
      <c r="J99" s="6">
        <f>F36</f>
        <v>427</v>
      </c>
      <c r="K99" s="6">
        <f>SUM(K98:K98)</f>
        <v>1.385480093676815</v>
      </c>
      <c r="L99" s="22"/>
    </row>
    <row r="100" spans="1:13" s="8" customFormat="1" x14ac:dyDescent="0.25">
      <c r="A100" s="41"/>
      <c r="B100" s="41"/>
      <c r="C100" s="41"/>
      <c r="D100" s="41"/>
      <c r="E100" s="41"/>
      <c r="F100" s="41"/>
      <c r="G100" s="41"/>
      <c r="H100" s="41"/>
      <c r="I100" s="15"/>
      <c r="J100" s="15"/>
      <c r="K100" s="15"/>
      <c r="L100" s="30"/>
      <c r="M100" s="7"/>
    </row>
    <row r="101" spans="1:13" s="8" customFormat="1" x14ac:dyDescent="0.25">
      <c r="A101" s="71" t="s">
        <v>113</v>
      </c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2"/>
      <c r="M101" s="7"/>
    </row>
    <row r="102" spans="1:13" s="8" customFormat="1" ht="45" x14ac:dyDescent="0.25">
      <c r="A102" s="73" t="s">
        <v>69</v>
      </c>
      <c r="B102" s="73"/>
      <c r="C102" s="73"/>
      <c r="D102" s="73"/>
      <c r="E102" s="73"/>
      <c r="F102" s="20" t="s">
        <v>7</v>
      </c>
      <c r="G102" s="20" t="s">
        <v>59</v>
      </c>
      <c r="H102" s="20" t="s">
        <v>58</v>
      </c>
      <c r="I102" s="20" t="s">
        <v>64</v>
      </c>
      <c r="J102" s="20" t="s">
        <v>62</v>
      </c>
      <c r="K102" s="24" t="s">
        <v>63</v>
      </c>
      <c r="L102" s="31"/>
      <c r="M102" s="7"/>
    </row>
    <row r="103" spans="1:13" ht="49.5" customHeight="1" x14ac:dyDescent="0.25">
      <c r="A103" s="67" t="s">
        <v>115</v>
      </c>
      <c r="B103" s="67"/>
      <c r="C103" s="67"/>
      <c r="D103" s="67"/>
      <c r="E103" s="67"/>
      <c r="F103" s="9"/>
      <c r="G103" s="9"/>
      <c r="H103" s="4"/>
      <c r="I103" s="9">
        <f>103090*1.2%</f>
        <v>1237.08</v>
      </c>
      <c r="J103" s="9">
        <v>427</v>
      </c>
      <c r="K103" s="21">
        <f>I103/J103</f>
        <v>2.8971428571428568</v>
      </c>
      <c r="L103" s="22"/>
    </row>
    <row r="104" spans="1:13" x14ac:dyDescent="0.25">
      <c r="A104" s="68" t="s">
        <v>116</v>
      </c>
      <c r="B104" s="69"/>
      <c r="C104" s="69"/>
      <c r="D104" s="69"/>
      <c r="E104" s="69"/>
      <c r="F104" s="69"/>
      <c r="G104" s="69"/>
      <c r="H104" s="69"/>
      <c r="I104" s="6">
        <f>SUM(I103:I103)</f>
        <v>1237.08</v>
      </c>
      <c r="J104" s="6">
        <f>F36</f>
        <v>427</v>
      </c>
      <c r="K104" s="6">
        <f>SUM(K103:K103)</f>
        <v>2.8971428571428568</v>
      </c>
      <c r="L104" s="22"/>
    </row>
    <row r="105" spans="1:13" s="8" customFormat="1" x14ac:dyDescent="0.25">
      <c r="A105" s="40"/>
      <c r="B105" s="40"/>
      <c r="C105" s="40"/>
      <c r="D105" s="40"/>
      <c r="E105" s="40"/>
      <c r="F105" s="40"/>
      <c r="G105" s="40"/>
      <c r="H105" s="40"/>
      <c r="I105" s="14"/>
      <c r="J105" s="14"/>
      <c r="K105" s="14"/>
      <c r="L105" s="30"/>
      <c r="M105" s="7"/>
    </row>
    <row r="106" spans="1:13" s="8" customFormat="1" x14ac:dyDescent="0.25">
      <c r="A106" s="101" t="s">
        <v>26</v>
      </c>
      <c r="B106" s="101"/>
      <c r="C106" s="101"/>
      <c r="D106" s="101"/>
      <c r="E106" s="101"/>
      <c r="F106" s="101"/>
      <c r="G106" s="101"/>
      <c r="H106" s="101"/>
      <c r="I106" s="101"/>
      <c r="J106" s="101"/>
      <c r="K106" s="101"/>
      <c r="L106" s="101"/>
      <c r="M106" s="7"/>
    </row>
    <row r="107" spans="1:13" ht="14.25" customHeight="1" x14ac:dyDescent="0.25"/>
    <row r="108" spans="1:13" ht="16.5" customHeight="1" x14ac:dyDescent="0.25">
      <c r="A108" s="90" t="s">
        <v>27</v>
      </c>
      <c r="B108" s="90"/>
      <c r="C108" s="90"/>
      <c r="D108" s="73" t="s">
        <v>28</v>
      </c>
      <c r="E108" s="73"/>
      <c r="F108" s="73"/>
      <c r="G108" s="73"/>
      <c r="H108" s="73"/>
      <c r="I108" s="73"/>
      <c r="J108" s="73"/>
      <c r="K108" s="90" t="s">
        <v>39</v>
      </c>
      <c r="L108" s="90"/>
    </row>
    <row r="109" spans="1:13" ht="30.75" customHeight="1" x14ac:dyDescent="0.25">
      <c r="A109" s="9" t="s">
        <v>29</v>
      </c>
      <c r="B109" s="25" t="s">
        <v>30</v>
      </c>
      <c r="C109" s="9" t="s">
        <v>31</v>
      </c>
      <c r="D109" s="9" t="s">
        <v>32</v>
      </c>
      <c r="E109" s="9" t="s">
        <v>33</v>
      </c>
      <c r="F109" s="9" t="s">
        <v>34</v>
      </c>
      <c r="G109" s="9" t="s">
        <v>35</v>
      </c>
      <c r="H109" s="9" t="s">
        <v>36</v>
      </c>
      <c r="I109" s="9" t="s">
        <v>37</v>
      </c>
      <c r="J109" s="9" t="s">
        <v>38</v>
      </c>
      <c r="K109" s="90"/>
      <c r="L109" s="90"/>
    </row>
    <row r="110" spans="1:13" x14ac:dyDescent="0.25">
      <c r="A110" s="9">
        <f>K53</f>
        <v>173.31127270819675</v>
      </c>
      <c r="B110" s="9"/>
      <c r="C110" s="9"/>
      <c r="D110" s="9">
        <f>K62</f>
        <v>13.211148477751756</v>
      </c>
      <c r="E110" s="9">
        <f>K70</f>
        <v>2.2208374707259955</v>
      </c>
      <c r="F110" s="9"/>
      <c r="G110" s="9">
        <f>K77</f>
        <v>2.0740046838407498</v>
      </c>
      <c r="H110" s="9"/>
      <c r="I110" s="9">
        <f>K83</f>
        <v>21.221358373770489</v>
      </c>
      <c r="J110" s="9">
        <f>K94+K99+K104+K88</f>
        <v>6.0109129742388756</v>
      </c>
      <c r="K110" s="94">
        <f>SUM(A110:J110)</f>
        <v>218.0495346885246</v>
      </c>
      <c r="L110" s="95"/>
    </row>
    <row r="112" spans="1:13" x14ac:dyDescent="0.25">
      <c r="A112" s="42"/>
      <c r="B112" s="43"/>
      <c r="C112" s="44"/>
      <c r="D112" s="1"/>
      <c r="E112" s="1"/>
      <c r="F112" s="1"/>
    </row>
    <row r="113" spans="1:12" ht="15.75" x14ac:dyDescent="0.25">
      <c r="A113" s="16" t="s">
        <v>55</v>
      </c>
      <c r="B113" s="16"/>
      <c r="C113" s="16"/>
      <c r="D113" s="16"/>
      <c r="E113" s="16"/>
      <c r="F113" s="45"/>
      <c r="G113" s="45" t="s">
        <v>57</v>
      </c>
      <c r="H113" s="45"/>
      <c r="I113" s="12">
        <f>I53+I62+I70+I77+I88+I94+I99+I104+I83</f>
        <v>93107.151312000016</v>
      </c>
      <c r="L113" s="12">
        <f>K110*J103</f>
        <v>93107.151312000002</v>
      </c>
    </row>
    <row r="114" spans="1:12" ht="15.75" x14ac:dyDescent="0.25">
      <c r="A114" s="46"/>
      <c r="B114" s="16"/>
      <c r="C114" s="2"/>
      <c r="D114" s="2"/>
      <c r="E114" s="2"/>
      <c r="F114" s="2"/>
    </row>
    <row r="116" spans="1:12" ht="15.75" x14ac:dyDescent="0.25">
      <c r="A116" s="46" t="s">
        <v>117</v>
      </c>
      <c r="B116" s="16"/>
      <c r="C116" s="46"/>
      <c r="D116" s="16"/>
    </row>
    <row r="117" spans="1:12" ht="15.75" x14ac:dyDescent="0.25">
      <c r="A117" s="46" t="s">
        <v>56</v>
      </c>
      <c r="B117" s="16"/>
      <c r="C117" s="46"/>
      <c r="D117" s="16"/>
    </row>
  </sheetData>
  <mergeCells count="105">
    <mergeCell ref="A4:E4"/>
    <mergeCell ref="A6:E6"/>
    <mergeCell ref="A8:L8"/>
    <mergeCell ref="A9:L9"/>
    <mergeCell ref="A10:L10"/>
    <mergeCell ref="A25:E25"/>
    <mergeCell ref="G25:K25"/>
    <mergeCell ref="A20:E20"/>
    <mergeCell ref="G20:K20"/>
    <mergeCell ref="A21:E21"/>
    <mergeCell ref="G21:K21"/>
    <mergeCell ref="A22:E22"/>
    <mergeCell ref="G22:K22"/>
    <mergeCell ref="A16:E16"/>
    <mergeCell ref="G16:K16"/>
    <mergeCell ref="A23:E23"/>
    <mergeCell ref="G23:K23"/>
    <mergeCell ref="A24:E24"/>
    <mergeCell ref="G24:K24"/>
    <mergeCell ref="A17:E17"/>
    <mergeCell ref="G17:K17"/>
    <mergeCell ref="A18:E18"/>
    <mergeCell ref="G18:K18"/>
    <mergeCell ref="A19:E19"/>
    <mergeCell ref="G19:K19"/>
    <mergeCell ref="A26:E26"/>
    <mergeCell ref="G26:K26"/>
    <mergeCell ref="A27:E27"/>
    <mergeCell ref="G27:K27"/>
    <mergeCell ref="A28:E28"/>
    <mergeCell ref="G28:K28"/>
    <mergeCell ref="A29:E29"/>
    <mergeCell ref="G29:K29"/>
    <mergeCell ref="A30:E30"/>
    <mergeCell ref="G30:K30"/>
    <mergeCell ref="A40:E40"/>
    <mergeCell ref="A31:E31"/>
    <mergeCell ref="G31:K31"/>
    <mergeCell ref="A32:E32"/>
    <mergeCell ref="G32:K32"/>
    <mergeCell ref="A33:E33"/>
    <mergeCell ref="G33:K33"/>
    <mergeCell ref="A34:E34"/>
    <mergeCell ref="G34:K34"/>
    <mergeCell ref="A37:E37"/>
    <mergeCell ref="A38:E38"/>
    <mergeCell ref="A39:E39"/>
    <mergeCell ref="A51:E51"/>
    <mergeCell ref="A41:E41"/>
    <mergeCell ref="A42:E42"/>
    <mergeCell ref="A43:E43"/>
    <mergeCell ref="A44:E44"/>
    <mergeCell ref="A45:E45"/>
    <mergeCell ref="A46:E46"/>
    <mergeCell ref="A47:E47"/>
    <mergeCell ref="A48:E48"/>
    <mergeCell ref="A49:E49"/>
    <mergeCell ref="A50:E50"/>
    <mergeCell ref="K110:L110"/>
    <mergeCell ref="A72:L72"/>
    <mergeCell ref="A85:L85"/>
    <mergeCell ref="A106:L106"/>
    <mergeCell ref="A108:C108"/>
    <mergeCell ref="D108:J108"/>
    <mergeCell ref="K108:L109"/>
    <mergeCell ref="A79:L79"/>
    <mergeCell ref="A52:E52"/>
    <mergeCell ref="A64:L64"/>
    <mergeCell ref="A55:L55"/>
    <mergeCell ref="A61:E61"/>
    <mergeCell ref="A62:H62"/>
    <mergeCell ref="A65:E65"/>
    <mergeCell ref="A66:E66"/>
    <mergeCell ref="A67:E67"/>
    <mergeCell ref="A56:E56"/>
    <mergeCell ref="A57:E57"/>
    <mergeCell ref="A58:E58"/>
    <mergeCell ref="A59:E59"/>
    <mergeCell ref="A60:E60"/>
    <mergeCell ref="A75:E75"/>
    <mergeCell ref="A76:E76"/>
    <mergeCell ref="A77:H77"/>
    <mergeCell ref="A88:H88"/>
    <mergeCell ref="A86:E86"/>
    <mergeCell ref="A87:E87"/>
    <mergeCell ref="A68:E68"/>
    <mergeCell ref="A69:E69"/>
    <mergeCell ref="A70:H70"/>
    <mergeCell ref="A73:E73"/>
    <mergeCell ref="A74:E74"/>
    <mergeCell ref="A80:E80"/>
    <mergeCell ref="A81:E81"/>
    <mergeCell ref="A82:E82"/>
    <mergeCell ref="A104:H104"/>
    <mergeCell ref="A98:E98"/>
    <mergeCell ref="A99:H99"/>
    <mergeCell ref="A101:L101"/>
    <mergeCell ref="A102:E102"/>
    <mergeCell ref="A103:E103"/>
    <mergeCell ref="A96:L96"/>
    <mergeCell ref="A97:E97"/>
    <mergeCell ref="A91:L91"/>
    <mergeCell ref="A92:E92"/>
    <mergeCell ref="A93:E93"/>
    <mergeCell ref="A94:H94"/>
  </mergeCells>
  <pageMargins left="0.7" right="0.7" top="0.75" bottom="0.75" header="0.3" footer="0.3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topLeftCell="A80" zoomScale="90" zoomScaleNormal="90" workbookViewId="0">
      <selection activeCell="I83" sqref="I83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1.8554687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6" t="s">
        <v>51</v>
      </c>
      <c r="B1" s="16"/>
      <c r="C1" s="16"/>
    </row>
    <row r="2" spans="1:12" ht="15.75" x14ac:dyDescent="0.25">
      <c r="A2" s="17" t="s">
        <v>52</v>
      </c>
      <c r="B2" s="17"/>
      <c r="C2" s="17"/>
    </row>
    <row r="3" spans="1:12" ht="15.75" x14ac:dyDescent="0.25">
      <c r="A3" s="18"/>
      <c r="B3" s="18"/>
      <c r="C3" s="18"/>
    </row>
    <row r="4" spans="1:12" ht="15.75" x14ac:dyDescent="0.25">
      <c r="A4" s="86" t="s">
        <v>53</v>
      </c>
      <c r="B4" s="86"/>
      <c r="C4" s="86"/>
      <c r="D4" s="87"/>
      <c r="E4" s="87"/>
    </row>
    <row r="5" spans="1:12" ht="15.75" x14ac:dyDescent="0.25">
      <c r="A5" s="17"/>
      <c r="B5" s="17"/>
      <c r="C5" s="17"/>
    </row>
    <row r="6" spans="1:12" ht="15.75" x14ac:dyDescent="0.25">
      <c r="A6" s="88" t="s">
        <v>54</v>
      </c>
      <c r="B6" s="88"/>
      <c r="C6" s="88"/>
      <c r="D6" s="87"/>
      <c r="E6" s="87"/>
    </row>
    <row r="8" spans="1:12" ht="15.75" x14ac:dyDescent="0.25">
      <c r="A8" s="89" t="s">
        <v>50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ht="15.75" x14ac:dyDescent="0.25">
      <c r="A9" s="89" t="s">
        <v>95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5.75" customHeight="1" x14ac:dyDescent="0.25">
      <c r="A10" s="89" t="s">
        <v>101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2" spans="1:12" x14ac:dyDescent="0.25">
      <c r="A12" s="19" t="s">
        <v>100</v>
      </c>
    </row>
    <row r="13" spans="1:12" x14ac:dyDescent="0.25">
      <c r="A13" s="19" t="s">
        <v>96</v>
      </c>
    </row>
    <row r="14" spans="1:12" x14ac:dyDescent="0.25">
      <c r="A14" s="19" t="s">
        <v>84</v>
      </c>
    </row>
    <row r="15" spans="1:12" x14ac:dyDescent="0.25">
      <c r="A15" s="19" t="s">
        <v>103</v>
      </c>
    </row>
    <row r="16" spans="1:12" ht="30" x14ac:dyDescent="0.25">
      <c r="A16" s="90" t="s">
        <v>0</v>
      </c>
      <c r="B16" s="90"/>
      <c r="C16" s="90"/>
      <c r="D16" s="90"/>
      <c r="E16" s="90"/>
      <c r="F16" s="20" t="s">
        <v>1</v>
      </c>
      <c r="G16" s="90" t="s">
        <v>2</v>
      </c>
      <c r="H16" s="90"/>
      <c r="I16" s="90"/>
      <c r="J16" s="90"/>
      <c r="K16" s="90"/>
      <c r="L16" s="9" t="s">
        <v>1</v>
      </c>
    </row>
    <row r="17" spans="1:12" x14ac:dyDescent="0.25">
      <c r="A17" s="76" t="s">
        <v>46</v>
      </c>
      <c r="B17" s="77"/>
      <c r="C17" s="77"/>
      <c r="D17" s="77"/>
      <c r="E17" s="78"/>
      <c r="F17" s="59">
        <v>1E-3</v>
      </c>
      <c r="G17" s="74" t="s">
        <v>3</v>
      </c>
      <c r="H17" s="74"/>
      <c r="I17" s="74"/>
      <c r="J17" s="74"/>
      <c r="K17" s="74"/>
      <c r="L17" s="59">
        <f>1*0.1%</f>
        <v>1E-3</v>
      </c>
    </row>
    <row r="18" spans="1:12" x14ac:dyDescent="0.25">
      <c r="A18" s="67" t="s">
        <v>73</v>
      </c>
      <c r="B18" s="67"/>
      <c r="C18" s="67"/>
      <c r="D18" s="67"/>
      <c r="E18" s="67"/>
      <c r="F18" s="59">
        <v>1E-3</v>
      </c>
      <c r="G18" s="74" t="s">
        <v>47</v>
      </c>
      <c r="H18" s="74"/>
      <c r="I18" s="74"/>
      <c r="J18" s="74"/>
      <c r="K18" s="74"/>
      <c r="L18" s="59">
        <v>1E-3</v>
      </c>
    </row>
    <row r="19" spans="1:12" x14ac:dyDescent="0.25">
      <c r="A19" s="67" t="s">
        <v>76</v>
      </c>
      <c r="B19" s="67"/>
      <c r="C19" s="67"/>
      <c r="D19" s="67"/>
      <c r="E19" s="67"/>
      <c r="F19" s="59">
        <v>1E-3</v>
      </c>
      <c r="G19" s="67"/>
      <c r="H19" s="67"/>
      <c r="I19" s="67"/>
      <c r="J19" s="67"/>
      <c r="K19" s="67"/>
      <c r="L19" s="59"/>
    </row>
    <row r="20" spans="1:12" x14ac:dyDescent="0.25">
      <c r="A20" s="67" t="s">
        <v>71</v>
      </c>
      <c r="B20" s="67"/>
      <c r="C20" s="67"/>
      <c r="D20" s="67"/>
      <c r="E20" s="67"/>
      <c r="F20" s="59">
        <v>1E-3</v>
      </c>
      <c r="G20" s="74"/>
      <c r="H20" s="74"/>
      <c r="I20" s="74"/>
      <c r="J20" s="74"/>
      <c r="K20" s="74"/>
      <c r="L20" s="59"/>
    </row>
    <row r="21" spans="1:12" x14ac:dyDescent="0.25">
      <c r="A21" s="67" t="s">
        <v>74</v>
      </c>
      <c r="B21" s="67"/>
      <c r="C21" s="67"/>
      <c r="D21" s="67"/>
      <c r="E21" s="67"/>
      <c r="F21" s="59">
        <v>5.0000000000000001E-4</v>
      </c>
      <c r="G21" s="74"/>
      <c r="H21" s="74"/>
      <c r="I21" s="74"/>
      <c r="J21" s="74"/>
      <c r="K21" s="74"/>
      <c r="L21" s="59"/>
    </row>
    <row r="22" spans="1:12" x14ac:dyDescent="0.25">
      <c r="A22" s="67" t="s">
        <v>78</v>
      </c>
      <c r="B22" s="67"/>
      <c r="C22" s="67"/>
      <c r="D22" s="67"/>
      <c r="E22" s="67"/>
      <c r="F22" s="59">
        <v>1E-3</v>
      </c>
      <c r="G22" s="74"/>
      <c r="H22" s="74"/>
      <c r="I22" s="74"/>
      <c r="J22" s="74"/>
      <c r="K22" s="74"/>
      <c r="L22" s="59"/>
    </row>
    <row r="23" spans="1:12" x14ac:dyDescent="0.25">
      <c r="A23" s="74" t="s">
        <v>41</v>
      </c>
      <c r="B23" s="74"/>
      <c r="C23" s="74"/>
      <c r="D23" s="74"/>
      <c r="E23" s="74"/>
      <c r="F23" s="59">
        <v>0.01</v>
      </c>
      <c r="G23" s="74"/>
      <c r="H23" s="74"/>
      <c r="I23" s="74"/>
      <c r="J23" s="74"/>
      <c r="K23" s="74"/>
      <c r="L23" s="59"/>
    </row>
    <row r="24" spans="1:12" x14ac:dyDescent="0.25">
      <c r="A24" s="79" t="s">
        <v>79</v>
      </c>
      <c r="B24" s="81"/>
      <c r="C24" s="81"/>
      <c r="D24" s="81"/>
      <c r="E24" s="82"/>
      <c r="F24" s="59">
        <v>1E-3</v>
      </c>
      <c r="G24" s="74"/>
      <c r="H24" s="74"/>
      <c r="I24" s="74"/>
      <c r="J24" s="74"/>
      <c r="K24" s="74"/>
      <c r="L24" s="60"/>
    </row>
    <row r="25" spans="1:12" x14ac:dyDescent="0.25">
      <c r="A25" s="67" t="s">
        <v>70</v>
      </c>
      <c r="B25" s="67"/>
      <c r="C25" s="67"/>
      <c r="D25" s="67"/>
      <c r="E25" s="67"/>
      <c r="F25" s="59">
        <v>1E-3</v>
      </c>
      <c r="G25" s="67"/>
      <c r="H25" s="67"/>
      <c r="I25" s="67"/>
      <c r="J25" s="67"/>
      <c r="K25" s="67"/>
      <c r="L25" s="59"/>
    </row>
    <row r="26" spans="1:12" x14ac:dyDescent="0.25">
      <c r="A26" s="67" t="s">
        <v>80</v>
      </c>
      <c r="B26" s="67"/>
      <c r="C26" s="67"/>
      <c r="D26" s="67"/>
      <c r="E26" s="67"/>
      <c r="F26" s="59">
        <v>1E-3</v>
      </c>
      <c r="G26" s="67"/>
      <c r="H26" s="67"/>
      <c r="I26" s="67"/>
      <c r="J26" s="67"/>
      <c r="K26" s="67"/>
      <c r="L26" s="59"/>
    </row>
    <row r="27" spans="1:12" x14ac:dyDescent="0.25">
      <c r="A27" s="74" t="s">
        <v>48</v>
      </c>
      <c r="B27" s="74"/>
      <c r="C27" s="74"/>
      <c r="D27" s="74"/>
      <c r="E27" s="74"/>
      <c r="F27" s="59">
        <v>3.0000000000000001E-3</v>
      </c>
      <c r="G27" s="67"/>
      <c r="H27" s="67"/>
      <c r="I27" s="67"/>
      <c r="J27" s="67"/>
      <c r="K27" s="67"/>
      <c r="L27" s="59"/>
    </row>
    <row r="28" spans="1:12" x14ac:dyDescent="0.25">
      <c r="A28" s="74" t="s">
        <v>77</v>
      </c>
      <c r="B28" s="74"/>
      <c r="C28" s="74"/>
      <c r="D28" s="74"/>
      <c r="E28" s="74"/>
      <c r="F28" s="59">
        <v>2E-3</v>
      </c>
      <c r="G28" s="74"/>
      <c r="H28" s="74"/>
      <c r="I28" s="74"/>
      <c r="J28" s="74"/>
      <c r="K28" s="74"/>
      <c r="L28" s="60"/>
    </row>
    <row r="29" spans="1:12" x14ac:dyDescent="0.25">
      <c r="A29" s="74" t="s">
        <v>72</v>
      </c>
      <c r="B29" s="74"/>
      <c r="C29" s="74"/>
      <c r="D29" s="74"/>
      <c r="E29" s="74"/>
      <c r="F29" s="59">
        <v>1E-3</v>
      </c>
      <c r="G29" s="67"/>
      <c r="H29" s="67"/>
      <c r="I29" s="67"/>
      <c r="J29" s="67"/>
      <c r="K29" s="67"/>
      <c r="L29" s="59"/>
    </row>
    <row r="30" spans="1:12" ht="15" customHeight="1" x14ac:dyDescent="0.25">
      <c r="A30" s="74" t="s">
        <v>75</v>
      </c>
      <c r="B30" s="74"/>
      <c r="C30" s="74"/>
      <c r="D30" s="74"/>
      <c r="E30" s="74"/>
      <c r="F30" s="59">
        <v>2E-3</v>
      </c>
      <c r="G30" s="67"/>
      <c r="H30" s="67"/>
      <c r="I30" s="67"/>
      <c r="J30" s="67"/>
      <c r="K30" s="67"/>
      <c r="L30" s="59"/>
    </row>
    <row r="31" spans="1:12" x14ac:dyDescent="0.25">
      <c r="A31" s="74" t="s">
        <v>49</v>
      </c>
      <c r="B31" s="74"/>
      <c r="C31" s="74"/>
      <c r="D31" s="74"/>
      <c r="E31" s="74"/>
      <c r="F31" s="59">
        <v>1E-3</v>
      </c>
      <c r="G31" s="67"/>
      <c r="H31" s="67"/>
      <c r="I31" s="67"/>
      <c r="J31" s="67"/>
      <c r="K31" s="67"/>
      <c r="L31" s="59"/>
    </row>
    <row r="32" spans="1:12" hidden="1" x14ac:dyDescent="0.25">
      <c r="A32" s="79"/>
      <c r="B32" s="81"/>
      <c r="C32" s="81"/>
      <c r="D32" s="81"/>
      <c r="E32" s="82"/>
      <c r="F32" s="59"/>
      <c r="G32" s="67"/>
      <c r="H32" s="67"/>
      <c r="I32" s="67"/>
      <c r="J32" s="67"/>
      <c r="K32" s="67"/>
      <c r="L32" s="59"/>
    </row>
    <row r="33" spans="1:12" ht="9.75" hidden="1" customHeight="1" x14ac:dyDescent="0.25">
      <c r="A33" s="79"/>
      <c r="B33" s="81"/>
      <c r="C33" s="81"/>
      <c r="D33" s="81"/>
      <c r="E33" s="82"/>
      <c r="F33" s="59"/>
      <c r="G33" s="76"/>
      <c r="H33" s="77"/>
      <c r="I33" s="77"/>
      <c r="J33" s="77"/>
      <c r="K33" s="78"/>
      <c r="L33" s="59"/>
    </row>
    <row r="34" spans="1:12" x14ac:dyDescent="0.25">
      <c r="A34" s="73" t="s">
        <v>4</v>
      </c>
      <c r="B34" s="73"/>
      <c r="C34" s="73"/>
      <c r="D34" s="73"/>
      <c r="E34" s="73"/>
      <c r="F34" s="57">
        <f>SUM(F17:F33)</f>
        <v>2.7500000000000004E-2</v>
      </c>
      <c r="G34" s="73" t="s">
        <v>4</v>
      </c>
      <c r="H34" s="73"/>
      <c r="I34" s="73"/>
      <c r="J34" s="73"/>
      <c r="K34" s="73"/>
      <c r="L34" s="57">
        <f>SUM(L17:L33)</f>
        <v>2E-3</v>
      </c>
    </row>
    <row r="36" spans="1:12" x14ac:dyDescent="0.25">
      <c r="A36" s="19" t="s">
        <v>85</v>
      </c>
      <c r="F36" s="7">
        <v>12</v>
      </c>
    </row>
    <row r="37" spans="1:12" ht="60" x14ac:dyDescent="0.25">
      <c r="A37" s="91" t="s">
        <v>5</v>
      </c>
      <c r="B37" s="92"/>
      <c r="C37" s="92"/>
      <c r="D37" s="92"/>
      <c r="E37" s="93"/>
      <c r="F37" s="20" t="s">
        <v>6</v>
      </c>
      <c r="G37" s="20" t="s">
        <v>1</v>
      </c>
      <c r="H37" s="20" t="s">
        <v>60</v>
      </c>
      <c r="I37" s="20" t="s">
        <v>61</v>
      </c>
      <c r="J37" s="20" t="s">
        <v>62</v>
      </c>
      <c r="K37" s="62" t="s">
        <v>63</v>
      </c>
      <c r="L37" s="35"/>
    </row>
    <row r="38" spans="1:12" ht="30.75" hidden="1" customHeight="1" x14ac:dyDescent="0.25">
      <c r="A38" s="76" t="s">
        <v>46</v>
      </c>
      <c r="B38" s="77"/>
      <c r="C38" s="77"/>
      <c r="D38" s="77"/>
      <c r="E38" s="78"/>
      <c r="F38" s="26">
        <f>'Услуга №1 '!F39</f>
        <v>11538</v>
      </c>
      <c r="G38" s="9">
        <v>0.01</v>
      </c>
      <c r="H38" s="4">
        <f>G38*F38*12</f>
        <v>1384.56</v>
      </c>
      <c r="I38" s="4">
        <f>H38*1.302</f>
        <v>1802.69712</v>
      </c>
      <c r="J38" s="9">
        <f>F36</f>
        <v>12</v>
      </c>
      <c r="K38" s="9">
        <f>I38/J38</f>
        <v>150.22476</v>
      </c>
      <c r="L38" s="30"/>
    </row>
    <row r="39" spans="1:12" ht="14.25" hidden="1" customHeight="1" x14ac:dyDescent="0.25">
      <c r="A39" s="67" t="s">
        <v>73</v>
      </c>
      <c r="B39" s="67"/>
      <c r="C39" s="67"/>
      <c r="D39" s="67"/>
      <c r="E39" s="67"/>
      <c r="F39" s="26">
        <f>'Услуга №1 '!F40</f>
        <v>11538</v>
      </c>
      <c r="G39" s="9">
        <v>0.01</v>
      </c>
      <c r="H39" s="4">
        <f t="shared" ref="H39:H52" si="0">G39*F39*12</f>
        <v>1384.56</v>
      </c>
      <c r="I39" s="4">
        <f t="shared" ref="I39:I52" si="1">H39*1.302</f>
        <v>1802.69712</v>
      </c>
      <c r="J39" s="9">
        <f>J43</f>
        <v>12</v>
      </c>
      <c r="K39" s="9">
        <f t="shared" ref="K39:K52" si="2">I39/J39</f>
        <v>150.22476</v>
      </c>
      <c r="L39" s="30"/>
    </row>
    <row r="40" spans="1:12" ht="14.25" hidden="1" customHeight="1" x14ac:dyDescent="0.25">
      <c r="A40" s="67" t="s">
        <v>76</v>
      </c>
      <c r="B40" s="67"/>
      <c r="C40" s="67"/>
      <c r="D40" s="67"/>
      <c r="E40" s="67"/>
      <c r="F40" s="26">
        <f>'Услуга №1 '!F41</f>
        <v>11538</v>
      </c>
      <c r="G40" s="9">
        <v>0.01</v>
      </c>
      <c r="H40" s="4">
        <f t="shared" si="0"/>
        <v>1384.56</v>
      </c>
      <c r="I40" s="4">
        <f t="shared" si="1"/>
        <v>1802.69712</v>
      </c>
      <c r="J40" s="9">
        <f>J38</f>
        <v>12</v>
      </c>
      <c r="K40" s="9">
        <f t="shared" si="2"/>
        <v>150.22476</v>
      </c>
      <c r="L40" s="30"/>
    </row>
    <row r="41" spans="1:12" ht="13.5" hidden="1" customHeight="1" x14ac:dyDescent="0.25">
      <c r="A41" s="67" t="s">
        <v>71</v>
      </c>
      <c r="B41" s="67"/>
      <c r="C41" s="67"/>
      <c r="D41" s="67"/>
      <c r="E41" s="67"/>
      <c r="F41" s="26">
        <f>'Услуга №1 '!F42</f>
        <v>8837</v>
      </c>
      <c r="G41" s="9">
        <v>0.01</v>
      </c>
      <c r="H41" s="4">
        <f t="shared" si="0"/>
        <v>1060.44</v>
      </c>
      <c r="I41" s="4">
        <f t="shared" si="1"/>
        <v>1380.6928800000001</v>
      </c>
      <c r="J41" s="9">
        <f>J38</f>
        <v>12</v>
      </c>
      <c r="K41" s="9">
        <f t="shared" si="2"/>
        <v>115.05774000000001</v>
      </c>
      <c r="L41" s="30"/>
    </row>
    <row r="42" spans="1:12" hidden="1" x14ac:dyDescent="0.25">
      <c r="A42" s="67" t="s">
        <v>74</v>
      </c>
      <c r="B42" s="67"/>
      <c r="C42" s="67"/>
      <c r="D42" s="67"/>
      <c r="E42" s="67"/>
      <c r="F42" s="26">
        <f>'Услуга №1 '!F43</f>
        <v>4418.5</v>
      </c>
      <c r="G42" s="9">
        <v>5.0000000000000001E-3</v>
      </c>
      <c r="H42" s="4">
        <f t="shared" si="0"/>
        <v>265.11</v>
      </c>
      <c r="I42" s="4">
        <f t="shared" si="1"/>
        <v>345.17322000000001</v>
      </c>
      <c r="J42" s="9">
        <f>J40</f>
        <v>12</v>
      </c>
      <c r="K42" s="9">
        <f t="shared" si="2"/>
        <v>28.764435000000002</v>
      </c>
      <c r="L42" s="30"/>
    </row>
    <row r="43" spans="1:12" hidden="1" x14ac:dyDescent="0.25">
      <c r="A43" s="67" t="s">
        <v>78</v>
      </c>
      <c r="B43" s="67"/>
      <c r="C43" s="67"/>
      <c r="D43" s="67"/>
      <c r="E43" s="67"/>
      <c r="F43" s="26">
        <f>'Услуга №1 '!F44</f>
        <v>8837</v>
      </c>
      <c r="G43" s="9">
        <v>0.01</v>
      </c>
      <c r="H43" s="4">
        <f t="shared" si="0"/>
        <v>1060.44</v>
      </c>
      <c r="I43" s="4">
        <f t="shared" si="1"/>
        <v>1380.6928800000001</v>
      </c>
      <c r="J43" s="9">
        <f>J40</f>
        <v>12</v>
      </c>
      <c r="K43" s="9">
        <f t="shared" si="2"/>
        <v>115.05774000000001</v>
      </c>
      <c r="L43" s="30"/>
    </row>
    <row r="44" spans="1:12" ht="15" hidden="1" customHeight="1" x14ac:dyDescent="0.25">
      <c r="A44" s="74" t="s">
        <v>41</v>
      </c>
      <c r="B44" s="74"/>
      <c r="C44" s="74"/>
      <c r="D44" s="74"/>
      <c r="E44" s="74"/>
      <c r="F44" s="9">
        <f>'Услуга №1 '!F45</f>
        <v>6556</v>
      </c>
      <c r="G44" s="9">
        <v>0.01</v>
      </c>
      <c r="H44" s="4">
        <f t="shared" si="0"/>
        <v>786.72</v>
      </c>
      <c r="I44" s="4">
        <f t="shared" si="1"/>
        <v>1024.30944</v>
      </c>
      <c r="J44" s="9">
        <f>J42</f>
        <v>12</v>
      </c>
      <c r="K44" s="9">
        <f t="shared" si="2"/>
        <v>85.359120000000004</v>
      </c>
      <c r="L44" s="30"/>
    </row>
    <row r="45" spans="1:12" hidden="1" x14ac:dyDescent="0.25">
      <c r="A45" s="79" t="s">
        <v>79</v>
      </c>
      <c r="B45" s="81"/>
      <c r="C45" s="81"/>
      <c r="D45" s="81"/>
      <c r="E45" s="82"/>
      <c r="F45" s="9">
        <f>'Услуга №1 '!F46</f>
        <v>3933</v>
      </c>
      <c r="G45" s="9">
        <v>0.01</v>
      </c>
      <c r="H45" s="4">
        <f t="shared" si="0"/>
        <v>471.96</v>
      </c>
      <c r="I45" s="4">
        <f t="shared" si="1"/>
        <v>614.49192000000005</v>
      </c>
      <c r="J45" s="9">
        <f>J42</f>
        <v>12</v>
      </c>
      <c r="K45" s="9">
        <f t="shared" si="2"/>
        <v>51.207660000000004</v>
      </c>
      <c r="L45" s="30"/>
    </row>
    <row r="46" spans="1:12" ht="15.75" hidden="1" customHeight="1" x14ac:dyDescent="0.25">
      <c r="A46" s="67" t="s">
        <v>70</v>
      </c>
      <c r="B46" s="67"/>
      <c r="C46" s="67"/>
      <c r="D46" s="67"/>
      <c r="E46" s="67"/>
      <c r="F46" s="9">
        <f>'Услуга №1 '!F47</f>
        <v>4496</v>
      </c>
      <c r="G46" s="9">
        <v>0.01</v>
      </c>
      <c r="H46" s="4">
        <f t="shared" si="0"/>
        <v>539.52</v>
      </c>
      <c r="I46" s="4">
        <f t="shared" si="1"/>
        <v>702.45504000000005</v>
      </c>
      <c r="J46" s="9">
        <f>J43</f>
        <v>12</v>
      </c>
      <c r="K46" s="9">
        <f t="shared" si="2"/>
        <v>58.537920000000007</v>
      </c>
      <c r="L46" s="30"/>
    </row>
    <row r="47" spans="1:12" hidden="1" x14ac:dyDescent="0.25">
      <c r="A47" s="67" t="s">
        <v>80</v>
      </c>
      <c r="B47" s="67"/>
      <c r="C47" s="67"/>
      <c r="D47" s="67"/>
      <c r="E47" s="67"/>
      <c r="F47" s="9">
        <f>'Услуга №1 '!F48</f>
        <v>11538</v>
      </c>
      <c r="G47" s="9">
        <v>0.01</v>
      </c>
      <c r="H47" s="4">
        <f t="shared" si="0"/>
        <v>1384.56</v>
      </c>
      <c r="I47" s="4">
        <f t="shared" si="1"/>
        <v>1802.69712</v>
      </c>
      <c r="J47" s="9">
        <f>J44</f>
        <v>12</v>
      </c>
      <c r="K47" s="9">
        <f t="shared" si="2"/>
        <v>150.22476</v>
      </c>
      <c r="L47" s="30"/>
    </row>
    <row r="48" spans="1:12" ht="15" hidden="1" customHeight="1" x14ac:dyDescent="0.25">
      <c r="A48" s="74" t="s">
        <v>48</v>
      </c>
      <c r="B48" s="74"/>
      <c r="C48" s="74"/>
      <c r="D48" s="74"/>
      <c r="E48" s="74"/>
      <c r="F48" s="9">
        <f>'Услуга №1 '!F49</f>
        <v>11538</v>
      </c>
      <c r="G48" s="9">
        <v>3.0000000000000001E-3</v>
      </c>
      <c r="H48" s="4">
        <f t="shared" si="0"/>
        <v>415.36799999999994</v>
      </c>
      <c r="I48" s="4">
        <f t="shared" si="1"/>
        <v>540.80913599999997</v>
      </c>
      <c r="J48" s="9">
        <f>J44</f>
        <v>12</v>
      </c>
      <c r="K48" s="9">
        <f t="shared" si="2"/>
        <v>45.067428</v>
      </c>
      <c r="L48" s="30"/>
    </row>
    <row r="49" spans="1:13" ht="15" hidden="1" customHeight="1" x14ac:dyDescent="0.25">
      <c r="A49" s="74" t="s">
        <v>77</v>
      </c>
      <c r="B49" s="74"/>
      <c r="C49" s="74"/>
      <c r="D49" s="74"/>
      <c r="E49" s="74"/>
      <c r="F49" s="9">
        <f>'Услуга №1 '!F50</f>
        <v>6556</v>
      </c>
      <c r="G49" s="9">
        <v>0.01</v>
      </c>
      <c r="H49" s="4">
        <f t="shared" si="0"/>
        <v>786.72</v>
      </c>
      <c r="I49" s="4">
        <f t="shared" si="1"/>
        <v>1024.30944</v>
      </c>
      <c r="J49" s="9">
        <f>J47</f>
        <v>12</v>
      </c>
      <c r="K49" s="9">
        <f t="shared" si="2"/>
        <v>85.359120000000004</v>
      </c>
      <c r="L49" s="30"/>
    </row>
    <row r="50" spans="1:13" ht="17.25" hidden="1" customHeight="1" x14ac:dyDescent="0.25">
      <c r="A50" s="74" t="s">
        <v>72</v>
      </c>
      <c r="B50" s="74"/>
      <c r="C50" s="74"/>
      <c r="D50" s="74"/>
      <c r="E50" s="74"/>
      <c r="F50" s="26">
        <f>'Услуга №1 '!F51</f>
        <v>11538</v>
      </c>
      <c r="G50" s="9">
        <v>0.01</v>
      </c>
      <c r="H50" s="4">
        <f t="shared" si="0"/>
        <v>1384.56</v>
      </c>
      <c r="I50" s="4">
        <f t="shared" si="1"/>
        <v>1802.69712</v>
      </c>
      <c r="J50" s="9">
        <f>J48</f>
        <v>12</v>
      </c>
      <c r="K50" s="9">
        <f t="shared" si="2"/>
        <v>150.22476</v>
      </c>
      <c r="L50" s="30"/>
    </row>
    <row r="51" spans="1:13" ht="15" hidden="1" customHeight="1" x14ac:dyDescent="0.25">
      <c r="A51" s="74" t="s">
        <v>75</v>
      </c>
      <c r="B51" s="74"/>
      <c r="C51" s="74"/>
      <c r="D51" s="74"/>
      <c r="E51" s="74"/>
      <c r="F51" s="26">
        <f>'Услуга №1 '!F52</f>
        <v>8837</v>
      </c>
      <c r="G51" s="9">
        <v>2E-3</v>
      </c>
      <c r="H51" s="4">
        <f t="shared" si="0"/>
        <v>212.08799999999999</v>
      </c>
      <c r="I51" s="4">
        <f t="shared" si="1"/>
        <v>276.138576</v>
      </c>
      <c r="J51" s="9">
        <f>J50</f>
        <v>12</v>
      </c>
      <c r="K51" s="9">
        <f t="shared" si="2"/>
        <v>23.011548000000001</v>
      </c>
      <c r="L51" s="30"/>
    </row>
    <row r="52" spans="1:13" ht="15" hidden="1" customHeight="1" x14ac:dyDescent="0.25">
      <c r="A52" s="74" t="s">
        <v>49</v>
      </c>
      <c r="B52" s="74"/>
      <c r="C52" s="74"/>
      <c r="D52" s="74"/>
      <c r="E52" s="74"/>
      <c r="F52" s="26">
        <f>'Услуга №1 '!F53</f>
        <v>11538</v>
      </c>
      <c r="G52" s="9">
        <v>0.01</v>
      </c>
      <c r="H52" s="4">
        <f t="shared" si="0"/>
        <v>1384.56</v>
      </c>
      <c r="I52" s="4">
        <f t="shared" si="1"/>
        <v>1802.69712</v>
      </c>
      <c r="J52" s="9">
        <v>12</v>
      </c>
      <c r="K52" s="9">
        <f t="shared" si="2"/>
        <v>150.22476</v>
      </c>
      <c r="L52" s="30"/>
    </row>
    <row r="53" spans="1:13" s="8" customFormat="1" ht="14.25" customHeight="1" x14ac:dyDescent="0.25">
      <c r="A53" s="27" t="s">
        <v>82</v>
      </c>
      <c r="B53" s="28"/>
      <c r="C53" s="28"/>
      <c r="D53" s="28"/>
      <c r="E53" s="28"/>
      <c r="F53" s="3">
        <v>14096.89</v>
      </c>
      <c r="G53" s="66">
        <f>F34</f>
        <v>2.7500000000000004E-2</v>
      </c>
      <c r="H53" s="3">
        <f>4736.55-0.02</f>
        <v>4736.53</v>
      </c>
      <c r="I53" s="3">
        <f>(H53*1.302)</f>
        <v>6166.9620599999998</v>
      </c>
      <c r="J53" s="48">
        <v>12</v>
      </c>
      <c r="K53" s="3">
        <f>I53/J53</f>
        <v>513.91350499999999</v>
      </c>
      <c r="L53" s="30"/>
      <c r="M53" s="7"/>
    </row>
    <row r="54" spans="1:13" x14ac:dyDescent="0.25">
      <c r="A54" s="29"/>
      <c r="B54" s="29"/>
      <c r="C54" s="29"/>
      <c r="D54" s="29"/>
      <c r="E54" s="29"/>
      <c r="F54" s="30"/>
      <c r="G54" s="30"/>
      <c r="H54" s="30"/>
      <c r="I54" s="30"/>
      <c r="J54" s="30"/>
      <c r="K54" s="30"/>
      <c r="L54" s="30"/>
    </row>
    <row r="55" spans="1:13" ht="18" customHeight="1" x14ac:dyDescent="0.25">
      <c r="A55" s="75" t="s">
        <v>8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</row>
    <row r="56" spans="1:13" ht="45" x14ac:dyDescent="0.25">
      <c r="A56" s="73" t="s">
        <v>9</v>
      </c>
      <c r="B56" s="73"/>
      <c r="C56" s="73"/>
      <c r="D56" s="73"/>
      <c r="E56" s="73"/>
      <c r="F56" s="20" t="s">
        <v>7</v>
      </c>
      <c r="G56" s="20" t="s">
        <v>59</v>
      </c>
      <c r="H56" s="20" t="s">
        <v>58</v>
      </c>
      <c r="I56" s="20" t="s">
        <v>64</v>
      </c>
      <c r="J56" s="20" t="s">
        <v>62</v>
      </c>
      <c r="K56" s="24" t="s">
        <v>63</v>
      </c>
      <c r="L56" s="31"/>
    </row>
    <row r="57" spans="1:13" x14ac:dyDescent="0.25">
      <c r="A57" s="79" t="s">
        <v>42</v>
      </c>
      <c r="B57" s="81"/>
      <c r="C57" s="81"/>
      <c r="D57" s="81"/>
      <c r="E57" s="82"/>
      <c r="F57" s="25" t="s">
        <v>43</v>
      </c>
      <c r="G57" s="25">
        <v>35000</v>
      </c>
      <c r="H57" s="25">
        <v>4.5</v>
      </c>
      <c r="I57" s="32">
        <f>157500*0.1%</f>
        <v>157.5</v>
      </c>
      <c r="J57" s="9">
        <v>12</v>
      </c>
      <c r="K57" s="33">
        <f>I57/J57</f>
        <v>13.125</v>
      </c>
      <c r="L57" s="31"/>
    </row>
    <row r="58" spans="1:13" x14ac:dyDescent="0.25">
      <c r="A58" s="67" t="s">
        <v>10</v>
      </c>
      <c r="B58" s="67"/>
      <c r="C58" s="67"/>
      <c r="D58" s="67"/>
      <c r="E58" s="67"/>
      <c r="F58" s="9" t="s">
        <v>13</v>
      </c>
      <c r="G58" s="9">
        <v>160</v>
      </c>
      <c r="H58" s="9">
        <v>1690.46</v>
      </c>
      <c r="I58" s="32">
        <f>270474.6*0.1%</f>
        <v>270.47460000000001</v>
      </c>
      <c r="J58" s="9">
        <f>J57</f>
        <v>12</v>
      </c>
      <c r="K58" s="33">
        <f t="shared" ref="K58:K61" si="3">I58/J58</f>
        <v>22.539550000000002</v>
      </c>
      <c r="L58" s="22"/>
    </row>
    <row r="59" spans="1:13" x14ac:dyDescent="0.25">
      <c r="A59" s="67" t="s">
        <v>11</v>
      </c>
      <c r="B59" s="67"/>
      <c r="C59" s="67"/>
      <c r="D59" s="67"/>
      <c r="E59" s="67"/>
      <c r="F59" s="9" t="s">
        <v>14</v>
      </c>
      <c r="G59" s="9">
        <v>200</v>
      </c>
      <c r="H59" s="9">
        <v>40.96</v>
      </c>
      <c r="I59" s="32">
        <f>8192*0.1%</f>
        <v>8.1920000000000002</v>
      </c>
      <c r="J59" s="9">
        <f>J58</f>
        <v>12</v>
      </c>
      <c r="K59" s="33">
        <f t="shared" si="3"/>
        <v>0.68266666666666664</v>
      </c>
      <c r="L59" s="22"/>
    </row>
    <row r="60" spans="1:13" x14ac:dyDescent="0.25">
      <c r="A60" s="67" t="s">
        <v>12</v>
      </c>
      <c r="B60" s="67"/>
      <c r="C60" s="67"/>
      <c r="D60" s="67"/>
      <c r="E60" s="67"/>
      <c r="F60" s="9" t="s">
        <v>14</v>
      </c>
      <c r="G60" s="9">
        <v>200</v>
      </c>
      <c r="H60" s="9">
        <v>59.65</v>
      </c>
      <c r="I60" s="32">
        <f>11930*0.1%</f>
        <v>11.93</v>
      </c>
      <c r="J60" s="9">
        <f>J58</f>
        <v>12</v>
      </c>
      <c r="K60" s="33">
        <f t="shared" si="3"/>
        <v>0.99416666666666664</v>
      </c>
      <c r="L60" s="22"/>
    </row>
    <row r="61" spans="1:13" x14ac:dyDescent="0.25">
      <c r="A61" s="79" t="s">
        <v>17</v>
      </c>
      <c r="B61" s="80"/>
      <c r="C61" s="80"/>
      <c r="D61" s="80"/>
      <c r="E61" s="80"/>
      <c r="F61" s="9" t="s">
        <v>14</v>
      </c>
      <c r="G61" s="9">
        <v>12</v>
      </c>
      <c r="H61" s="9">
        <v>1833.34</v>
      </c>
      <c r="I61" s="34">
        <f>22000.1*0.1%</f>
        <v>22.0001</v>
      </c>
      <c r="J61" s="9">
        <f>J59</f>
        <v>12</v>
      </c>
      <c r="K61" s="33">
        <f t="shared" si="3"/>
        <v>1.8333416666666666</v>
      </c>
      <c r="L61" s="22"/>
    </row>
    <row r="62" spans="1:13" s="8" customFormat="1" ht="15" customHeight="1" x14ac:dyDescent="0.25">
      <c r="A62" s="83" t="s">
        <v>15</v>
      </c>
      <c r="B62" s="84"/>
      <c r="C62" s="84"/>
      <c r="D62" s="84"/>
      <c r="E62" s="84"/>
      <c r="F62" s="84"/>
      <c r="G62" s="84"/>
      <c r="H62" s="85"/>
      <c r="I62" s="5">
        <f>SUM(I57:I61)</f>
        <v>470.0967</v>
      </c>
      <c r="J62" s="48">
        <f>J60</f>
        <v>12</v>
      </c>
      <c r="K62" s="5">
        <f>I62/J62</f>
        <v>39.174725000000002</v>
      </c>
      <c r="L62" s="22"/>
      <c r="M62" s="7"/>
    </row>
    <row r="64" spans="1:13" x14ac:dyDescent="0.25">
      <c r="A64" s="75" t="s">
        <v>16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</row>
    <row r="65" spans="1:13" ht="45" x14ac:dyDescent="0.25">
      <c r="A65" s="73" t="s">
        <v>20</v>
      </c>
      <c r="B65" s="73"/>
      <c r="C65" s="73"/>
      <c r="D65" s="73"/>
      <c r="E65" s="73"/>
      <c r="F65" s="25" t="s">
        <v>7</v>
      </c>
      <c r="G65" s="25" t="s">
        <v>59</v>
      </c>
      <c r="H65" s="25" t="s">
        <v>58</v>
      </c>
      <c r="I65" s="25" t="s">
        <v>64</v>
      </c>
      <c r="J65" s="25" t="s">
        <v>62</v>
      </c>
      <c r="K65" s="33" t="s">
        <v>63</v>
      </c>
      <c r="L65" s="31"/>
    </row>
    <row r="66" spans="1:13" ht="14.25" customHeight="1" x14ac:dyDescent="0.25">
      <c r="A66" s="67" t="s">
        <v>44</v>
      </c>
      <c r="B66" s="67"/>
      <c r="C66" s="67"/>
      <c r="D66" s="67"/>
      <c r="E66" s="67"/>
      <c r="F66" s="9" t="s">
        <v>18</v>
      </c>
      <c r="G66" s="9">
        <v>12</v>
      </c>
      <c r="H66" s="9">
        <v>785.4</v>
      </c>
      <c r="I66" s="9">
        <f>9424.8*0.1%</f>
        <v>9.4247999999999994</v>
      </c>
      <c r="J66" s="9">
        <v>12</v>
      </c>
      <c r="K66" s="21">
        <f t="shared" ref="K66:K69" si="4">I66/J66</f>
        <v>0.78539999999999999</v>
      </c>
      <c r="L66" s="22"/>
    </row>
    <row r="67" spans="1:13" ht="14.25" customHeight="1" x14ac:dyDescent="0.25">
      <c r="A67" s="67" t="s">
        <v>104</v>
      </c>
      <c r="B67" s="67"/>
      <c r="C67" s="67"/>
      <c r="D67" s="67"/>
      <c r="E67" s="67"/>
      <c r="F67" s="9" t="s">
        <v>18</v>
      </c>
      <c r="G67" s="9">
        <v>12</v>
      </c>
      <c r="H67" s="9">
        <v>2900</v>
      </c>
      <c r="I67" s="9">
        <f>34800*0.1%</f>
        <v>34.800000000000004</v>
      </c>
      <c r="J67" s="9">
        <v>12</v>
      </c>
      <c r="K67" s="21">
        <f t="shared" si="4"/>
        <v>2.9000000000000004</v>
      </c>
      <c r="L67" s="22"/>
    </row>
    <row r="68" spans="1:13" ht="14.25" customHeight="1" x14ac:dyDescent="0.25">
      <c r="A68" s="67" t="s">
        <v>105</v>
      </c>
      <c r="B68" s="67"/>
      <c r="C68" s="67"/>
      <c r="D68" s="67"/>
      <c r="E68" s="67"/>
      <c r="F68" s="9" t="s">
        <v>18</v>
      </c>
      <c r="G68" s="9">
        <v>12</v>
      </c>
      <c r="H68" s="9">
        <v>2100</v>
      </c>
      <c r="I68" s="9">
        <f>25200*0.1%</f>
        <v>25.2</v>
      </c>
      <c r="J68" s="9">
        <v>12</v>
      </c>
      <c r="K68" s="21">
        <f t="shared" si="4"/>
        <v>2.1</v>
      </c>
      <c r="L68" s="22"/>
    </row>
    <row r="69" spans="1:13" ht="23.25" customHeight="1" x14ac:dyDescent="0.25">
      <c r="A69" s="76" t="s">
        <v>106</v>
      </c>
      <c r="B69" s="77"/>
      <c r="C69" s="77"/>
      <c r="D69" s="77"/>
      <c r="E69" s="78"/>
      <c r="F69" s="9" t="s">
        <v>18</v>
      </c>
      <c r="G69" s="9">
        <v>12</v>
      </c>
      <c r="H69" s="9">
        <v>800</v>
      </c>
      <c r="I69" s="9">
        <f>9600*0.1%</f>
        <v>9.6</v>
      </c>
      <c r="J69" s="9">
        <v>12</v>
      </c>
      <c r="K69" s="9">
        <f t="shared" si="4"/>
        <v>0.79999999999999993</v>
      </c>
      <c r="L69" s="30"/>
    </row>
    <row r="70" spans="1:13" s="8" customFormat="1" ht="15.75" customHeight="1" x14ac:dyDescent="0.25">
      <c r="A70" s="68" t="s">
        <v>19</v>
      </c>
      <c r="B70" s="69"/>
      <c r="C70" s="69"/>
      <c r="D70" s="69"/>
      <c r="E70" s="69"/>
      <c r="F70" s="69"/>
      <c r="G70" s="69"/>
      <c r="H70" s="70"/>
      <c r="I70" s="3">
        <f>SUM(I66:I69)</f>
        <v>79.024799999999999</v>
      </c>
      <c r="J70" s="3">
        <f>F36</f>
        <v>12</v>
      </c>
      <c r="K70" s="3">
        <f>SUM(K66:K69)</f>
        <v>6.5854000000000008</v>
      </c>
      <c r="L70" s="22"/>
      <c r="M70" s="7"/>
    </row>
    <row r="72" spans="1:13" x14ac:dyDescent="0.25">
      <c r="A72" s="75" t="s">
        <v>89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</row>
    <row r="73" spans="1:13" ht="45" x14ac:dyDescent="0.25">
      <c r="A73" s="91" t="s">
        <v>20</v>
      </c>
      <c r="B73" s="92"/>
      <c r="C73" s="92"/>
      <c r="D73" s="92"/>
      <c r="E73" s="93"/>
      <c r="F73" s="20" t="s">
        <v>7</v>
      </c>
      <c r="G73" s="20" t="s">
        <v>59</v>
      </c>
      <c r="H73" s="20" t="s">
        <v>58</v>
      </c>
      <c r="I73" s="20" t="s">
        <v>64</v>
      </c>
      <c r="J73" s="20" t="s">
        <v>62</v>
      </c>
      <c r="K73" s="24" t="s">
        <v>63</v>
      </c>
      <c r="L73" s="31"/>
      <c r="M73" s="35"/>
    </row>
    <row r="74" spans="1:13" ht="34.5" customHeight="1" x14ac:dyDescent="0.25">
      <c r="A74" s="67" t="s">
        <v>21</v>
      </c>
      <c r="B74" s="67"/>
      <c r="C74" s="67"/>
      <c r="D74" s="67"/>
      <c r="E74" s="67"/>
      <c r="F74" s="36" t="s">
        <v>22</v>
      </c>
      <c r="G74" s="9">
        <v>2</v>
      </c>
      <c r="H74" s="37">
        <v>400</v>
      </c>
      <c r="I74" s="9">
        <f>9600*0.1%</f>
        <v>9.6</v>
      </c>
      <c r="J74" s="9">
        <v>12</v>
      </c>
      <c r="K74" s="21">
        <f>I74/J74</f>
        <v>0.79999999999999993</v>
      </c>
      <c r="L74" s="22"/>
      <c r="M74" s="30"/>
    </row>
    <row r="75" spans="1:13" ht="35.25" customHeight="1" x14ac:dyDescent="0.25">
      <c r="A75" s="79" t="s">
        <v>107</v>
      </c>
      <c r="B75" s="81"/>
      <c r="C75" s="81"/>
      <c r="D75" s="81"/>
      <c r="E75" s="82"/>
      <c r="F75" s="36" t="s">
        <v>22</v>
      </c>
      <c r="G75" s="9">
        <v>1</v>
      </c>
      <c r="H75" s="37"/>
      <c r="I75" s="9">
        <f>4200*0.1%</f>
        <v>4.2</v>
      </c>
      <c r="J75" s="9">
        <v>12</v>
      </c>
      <c r="K75" s="21">
        <f>I75/J75</f>
        <v>0.35000000000000003</v>
      </c>
      <c r="L75" s="22"/>
      <c r="M75" s="30"/>
    </row>
    <row r="76" spans="1:13" ht="35.25" customHeight="1" x14ac:dyDescent="0.25">
      <c r="A76" s="67" t="s">
        <v>90</v>
      </c>
      <c r="B76" s="67"/>
      <c r="C76" s="67"/>
      <c r="D76" s="67"/>
      <c r="E76" s="67"/>
      <c r="F76" s="36" t="s">
        <v>91</v>
      </c>
      <c r="G76" s="9">
        <v>9</v>
      </c>
      <c r="H76" s="37">
        <v>5000</v>
      </c>
      <c r="I76" s="9">
        <f>60000*0.1%</f>
        <v>60</v>
      </c>
      <c r="J76" s="9">
        <f>J74</f>
        <v>12</v>
      </c>
      <c r="K76" s="21">
        <f>I76/J76</f>
        <v>5</v>
      </c>
      <c r="L76" s="22"/>
      <c r="M76" s="30"/>
    </row>
    <row r="77" spans="1:13" x14ac:dyDescent="0.25">
      <c r="A77" s="68" t="s">
        <v>23</v>
      </c>
      <c r="B77" s="69"/>
      <c r="C77" s="69"/>
      <c r="D77" s="69"/>
      <c r="E77" s="69"/>
      <c r="F77" s="69"/>
      <c r="G77" s="69"/>
      <c r="H77" s="70"/>
      <c r="I77" s="6">
        <f>SUM(I74:I76)</f>
        <v>73.8</v>
      </c>
      <c r="J77" s="6">
        <f>F36</f>
        <v>12</v>
      </c>
      <c r="K77" s="6">
        <f>SUM(K74:K76)</f>
        <v>6.15</v>
      </c>
      <c r="L77" s="14"/>
      <c r="M77" s="30"/>
    </row>
    <row r="79" spans="1:13" x14ac:dyDescent="0.25">
      <c r="A79" s="75" t="s">
        <v>40</v>
      </c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</row>
    <row r="80" spans="1:13" ht="57.75" customHeight="1" x14ac:dyDescent="0.25">
      <c r="A80" s="91" t="s">
        <v>5</v>
      </c>
      <c r="B80" s="92"/>
      <c r="C80" s="92"/>
      <c r="D80" s="92"/>
      <c r="E80" s="93"/>
      <c r="F80" s="20" t="s">
        <v>6</v>
      </c>
      <c r="G80" s="20" t="s">
        <v>1</v>
      </c>
      <c r="H80" s="20" t="s">
        <v>60</v>
      </c>
      <c r="I80" s="20" t="s">
        <v>61</v>
      </c>
      <c r="J80" s="20" t="s">
        <v>62</v>
      </c>
      <c r="K80" s="24" t="s">
        <v>63</v>
      </c>
      <c r="L80" s="31"/>
    </row>
    <row r="81" spans="1:13" hidden="1" x14ac:dyDescent="0.25">
      <c r="A81" s="67" t="s">
        <v>3</v>
      </c>
      <c r="B81" s="67"/>
      <c r="C81" s="67"/>
      <c r="D81" s="67"/>
      <c r="E81" s="67"/>
      <c r="F81" s="26">
        <f>'Услуга №1 '!F82</f>
        <v>15898</v>
      </c>
      <c r="G81" s="59">
        <v>1E-3</v>
      </c>
      <c r="H81" s="4">
        <f>F81*G81*12</f>
        <v>190.77600000000001</v>
      </c>
      <c r="I81" s="9">
        <f>H81*1.302</f>
        <v>248.39035200000004</v>
      </c>
      <c r="J81" s="9">
        <v>12</v>
      </c>
      <c r="K81" s="21">
        <f>I81/J81</f>
        <v>20.699196000000004</v>
      </c>
      <c r="L81" s="22"/>
    </row>
    <row r="82" spans="1:13" ht="20.25" hidden="1" customHeight="1" x14ac:dyDescent="0.25">
      <c r="A82" s="67" t="s">
        <v>45</v>
      </c>
      <c r="B82" s="67"/>
      <c r="C82" s="67"/>
      <c r="D82" s="67"/>
      <c r="E82" s="67"/>
      <c r="F82" s="26">
        <f>'Услуга №1 '!F83</f>
        <v>14309</v>
      </c>
      <c r="G82" s="59">
        <v>1E-3</v>
      </c>
      <c r="H82" s="4">
        <f>F82*G82*12</f>
        <v>171.70800000000003</v>
      </c>
      <c r="I82" s="9">
        <f>H82*1.302-0.01</f>
        <v>223.55381600000004</v>
      </c>
      <c r="J82" s="9">
        <f>J81</f>
        <v>12</v>
      </c>
      <c r="K82" s="21">
        <f>I82/J82</f>
        <v>18.62948466666667</v>
      </c>
      <c r="L82" s="22"/>
    </row>
    <row r="83" spans="1:13" x14ac:dyDescent="0.25">
      <c r="A83" s="38" t="s">
        <v>24</v>
      </c>
      <c r="B83" s="38"/>
      <c r="C83" s="38"/>
      <c r="D83" s="38"/>
      <c r="E83" s="38"/>
      <c r="F83" s="48">
        <v>24165.599999999999</v>
      </c>
      <c r="G83" s="61">
        <f>SUM(G81:G82)</f>
        <v>2E-3</v>
      </c>
      <c r="H83" s="48">
        <f>F83*G83*12</f>
        <v>579.97439999999995</v>
      </c>
      <c r="I83" s="6">
        <f>H83*1.302</f>
        <v>755.12666879999995</v>
      </c>
      <c r="J83" s="6">
        <f>F36</f>
        <v>12</v>
      </c>
      <c r="K83" s="6">
        <f>I83/J83</f>
        <v>62.927222399999998</v>
      </c>
      <c r="L83" s="22"/>
    </row>
    <row r="84" spans="1:13" ht="10.5" customHeight="1" x14ac:dyDescent="0.25">
      <c r="F84" s="39"/>
      <c r="G84" s="39"/>
      <c r="H84" s="39"/>
      <c r="I84" s="39"/>
      <c r="J84" s="39"/>
      <c r="K84" s="39"/>
      <c r="L84" s="39"/>
    </row>
    <row r="85" spans="1:13" s="8" customFormat="1" x14ac:dyDescent="0.25">
      <c r="A85" s="71" t="s">
        <v>67</v>
      </c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2"/>
      <c r="M85" s="7"/>
    </row>
    <row r="86" spans="1:13" ht="49.5" customHeight="1" x14ac:dyDescent="0.25">
      <c r="A86" s="73" t="s">
        <v>69</v>
      </c>
      <c r="B86" s="73"/>
      <c r="C86" s="73"/>
      <c r="D86" s="73"/>
      <c r="E86" s="73"/>
      <c r="F86" s="20" t="s">
        <v>7</v>
      </c>
      <c r="G86" s="20" t="s">
        <v>59</v>
      </c>
      <c r="H86" s="20" t="s">
        <v>58</v>
      </c>
      <c r="I86" s="20" t="s">
        <v>64</v>
      </c>
      <c r="J86" s="20" t="s">
        <v>62</v>
      </c>
      <c r="K86" s="24" t="s">
        <v>63</v>
      </c>
      <c r="L86" s="31"/>
    </row>
    <row r="87" spans="1:13" ht="33" customHeight="1" x14ac:dyDescent="0.25">
      <c r="A87" s="76" t="s">
        <v>66</v>
      </c>
      <c r="B87" s="77"/>
      <c r="C87" s="77"/>
      <c r="D87" s="77"/>
      <c r="E87" s="78"/>
      <c r="F87" s="9" t="s">
        <v>25</v>
      </c>
      <c r="G87" s="9">
        <v>11</v>
      </c>
      <c r="H87" s="4">
        <v>5525.3</v>
      </c>
      <c r="I87" s="9">
        <f>60778.32*0.1%</f>
        <v>60.778320000000001</v>
      </c>
      <c r="J87" s="9">
        <v>12</v>
      </c>
      <c r="K87" s="21">
        <f>I87/J87</f>
        <v>5.0648600000000004</v>
      </c>
      <c r="L87" s="22"/>
    </row>
    <row r="88" spans="1:13" s="8" customFormat="1" x14ac:dyDescent="0.25">
      <c r="A88" s="68" t="s">
        <v>68</v>
      </c>
      <c r="B88" s="69"/>
      <c r="C88" s="69"/>
      <c r="D88" s="69"/>
      <c r="E88" s="69"/>
      <c r="F88" s="69"/>
      <c r="G88" s="69"/>
      <c r="H88" s="69"/>
      <c r="I88" s="6">
        <f>SUM(I87:I87)</f>
        <v>60.778320000000001</v>
      </c>
      <c r="J88" s="6">
        <f>F36</f>
        <v>12</v>
      </c>
      <c r="K88" s="6">
        <f>SUM(K87:K87)</f>
        <v>5.0648600000000004</v>
      </c>
      <c r="L88" s="22"/>
      <c r="M88" s="7"/>
    </row>
    <row r="89" spans="1:13" s="8" customFormat="1" x14ac:dyDescent="0.25">
      <c r="A89" s="40"/>
      <c r="B89" s="40"/>
      <c r="C89" s="40"/>
      <c r="D89" s="40"/>
      <c r="E89" s="40"/>
      <c r="F89" s="40"/>
      <c r="G89" s="40"/>
      <c r="H89" s="40"/>
      <c r="I89" s="14"/>
      <c r="J89" s="14"/>
      <c r="K89" s="14"/>
      <c r="L89" s="30"/>
      <c r="M89" s="7"/>
    </row>
    <row r="90" spans="1:13" s="8" customFormat="1" x14ac:dyDescent="0.25">
      <c r="A90" s="41"/>
      <c r="B90" s="41"/>
      <c r="C90" s="41"/>
      <c r="D90" s="41"/>
      <c r="E90" s="41"/>
      <c r="F90" s="41"/>
      <c r="G90" s="41"/>
      <c r="H90" s="41"/>
      <c r="I90" s="15"/>
      <c r="J90" s="15"/>
      <c r="K90" s="15"/>
      <c r="L90" s="30"/>
      <c r="M90" s="7"/>
    </row>
    <row r="91" spans="1:13" s="8" customFormat="1" x14ac:dyDescent="0.25">
      <c r="A91" s="71" t="s">
        <v>125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2"/>
      <c r="M91" s="7"/>
    </row>
    <row r="92" spans="1:13" ht="49.5" customHeight="1" x14ac:dyDescent="0.25">
      <c r="A92" s="73" t="s">
        <v>69</v>
      </c>
      <c r="B92" s="73"/>
      <c r="C92" s="73"/>
      <c r="D92" s="73"/>
      <c r="E92" s="73"/>
      <c r="F92" s="20" t="s">
        <v>7</v>
      </c>
      <c r="G92" s="20" t="s">
        <v>59</v>
      </c>
      <c r="H92" s="20" t="s">
        <v>58</v>
      </c>
      <c r="I92" s="20" t="s">
        <v>64</v>
      </c>
      <c r="J92" s="20" t="s">
        <v>62</v>
      </c>
      <c r="K92" s="24" t="s">
        <v>63</v>
      </c>
      <c r="L92" s="31"/>
    </row>
    <row r="93" spans="1:13" x14ac:dyDescent="0.25">
      <c r="A93" s="67" t="s">
        <v>109</v>
      </c>
      <c r="B93" s="67"/>
      <c r="C93" s="67"/>
      <c r="D93" s="67"/>
      <c r="E93" s="67"/>
      <c r="F93" s="9"/>
      <c r="G93" s="9"/>
      <c r="H93" s="4"/>
      <c r="I93" s="9">
        <f>720*0.1%</f>
        <v>0.72</v>
      </c>
      <c r="J93" s="9">
        <v>12</v>
      </c>
      <c r="K93" s="21">
        <f>I93/J93</f>
        <v>0.06</v>
      </c>
      <c r="L93" s="22"/>
    </row>
    <row r="94" spans="1:13" s="8" customFormat="1" x14ac:dyDescent="0.25">
      <c r="A94" s="68" t="s">
        <v>110</v>
      </c>
      <c r="B94" s="69"/>
      <c r="C94" s="69"/>
      <c r="D94" s="69"/>
      <c r="E94" s="69"/>
      <c r="F94" s="69"/>
      <c r="G94" s="69"/>
      <c r="H94" s="69"/>
      <c r="I94" s="6">
        <f>SUM(I93:I93)</f>
        <v>0.72</v>
      </c>
      <c r="J94" s="6">
        <f>F36</f>
        <v>12</v>
      </c>
      <c r="K94" s="6">
        <f>SUM(K93:K93)</f>
        <v>0.06</v>
      </c>
      <c r="L94" s="22"/>
      <c r="M94" s="7"/>
    </row>
    <row r="95" spans="1:13" x14ac:dyDescent="0.25">
      <c r="F95" s="39"/>
      <c r="G95" s="39"/>
      <c r="H95" s="39"/>
      <c r="I95" s="39"/>
      <c r="J95" s="39"/>
      <c r="K95" s="39"/>
      <c r="L95" s="39"/>
    </row>
    <row r="96" spans="1:13" x14ac:dyDescent="0.25">
      <c r="F96" s="39"/>
      <c r="G96" s="39"/>
      <c r="H96" s="39"/>
      <c r="I96" s="39"/>
      <c r="J96" s="39"/>
      <c r="K96" s="39"/>
      <c r="L96" s="39"/>
    </row>
    <row r="97" spans="1:13" s="8" customFormat="1" x14ac:dyDescent="0.25">
      <c r="A97" s="71" t="s">
        <v>111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2"/>
      <c r="M97" s="7"/>
    </row>
    <row r="98" spans="1:13" ht="49.5" customHeight="1" x14ac:dyDescent="0.25">
      <c r="A98" s="73" t="s">
        <v>69</v>
      </c>
      <c r="B98" s="73"/>
      <c r="C98" s="73"/>
      <c r="D98" s="73"/>
      <c r="E98" s="73"/>
      <c r="F98" s="20" t="s">
        <v>7</v>
      </c>
      <c r="G98" s="20" t="s">
        <v>59</v>
      </c>
      <c r="H98" s="20" t="s">
        <v>58</v>
      </c>
      <c r="I98" s="20" t="s">
        <v>64</v>
      </c>
      <c r="J98" s="20" t="s">
        <v>62</v>
      </c>
      <c r="K98" s="24" t="s">
        <v>63</v>
      </c>
      <c r="L98" s="31"/>
    </row>
    <row r="99" spans="1:13" x14ac:dyDescent="0.25">
      <c r="A99" s="67" t="s">
        <v>112</v>
      </c>
      <c r="B99" s="67"/>
      <c r="C99" s="67"/>
      <c r="D99" s="67"/>
      <c r="E99" s="67"/>
      <c r="F99" s="9"/>
      <c r="G99" s="9"/>
      <c r="H99" s="4"/>
      <c r="I99" s="9">
        <f>49300*0.1%</f>
        <v>49.300000000000004</v>
      </c>
      <c r="J99" s="9">
        <v>12</v>
      </c>
      <c r="K99" s="21">
        <f>I99/J99</f>
        <v>4.1083333333333334</v>
      </c>
      <c r="L99" s="22"/>
    </row>
    <row r="100" spans="1:13" s="8" customFormat="1" x14ac:dyDescent="0.25">
      <c r="A100" s="68" t="s">
        <v>114</v>
      </c>
      <c r="B100" s="69"/>
      <c r="C100" s="69"/>
      <c r="D100" s="69"/>
      <c r="E100" s="69"/>
      <c r="F100" s="69"/>
      <c r="G100" s="69"/>
      <c r="H100" s="69"/>
      <c r="I100" s="6">
        <f>SUM(I99:I99)</f>
        <v>49.300000000000004</v>
      </c>
      <c r="J100" s="6"/>
      <c r="K100" s="6">
        <f>SUM(K99:K99)</f>
        <v>4.1083333333333334</v>
      </c>
      <c r="L100" s="22"/>
      <c r="M100" s="7"/>
    </row>
    <row r="101" spans="1:13" s="8" customFormat="1" x14ac:dyDescent="0.25">
      <c r="A101" s="41"/>
      <c r="B101" s="41"/>
      <c r="C101" s="41"/>
      <c r="D101" s="41"/>
      <c r="E101" s="41"/>
      <c r="F101" s="41"/>
      <c r="G101" s="41"/>
      <c r="H101" s="41"/>
      <c r="I101" s="15"/>
      <c r="J101" s="15"/>
      <c r="K101" s="15"/>
      <c r="L101" s="30"/>
      <c r="M101" s="7"/>
    </row>
    <row r="102" spans="1:13" s="8" customFormat="1" x14ac:dyDescent="0.25">
      <c r="A102" s="71" t="s">
        <v>113</v>
      </c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2"/>
      <c r="M102" s="7"/>
    </row>
    <row r="103" spans="1:13" ht="49.5" customHeight="1" x14ac:dyDescent="0.25">
      <c r="A103" s="73" t="s">
        <v>69</v>
      </c>
      <c r="B103" s="73"/>
      <c r="C103" s="73"/>
      <c r="D103" s="73"/>
      <c r="E103" s="73"/>
      <c r="F103" s="20" t="s">
        <v>7</v>
      </c>
      <c r="G103" s="20" t="s">
        <v>59</v>
      </c>
      <c r="H103" s="20" t="s">
        <v>58</v>
      </c>
      <c r="I103" s="20" t="s">
        <v>64</v>
      </c>
      <c r="J103" s="20" t="s">
        <v>62</v>
      </c>
      <c r="K103" s="24" t="s">
        <v>63</v>
      </c>
      <c r="L103" s="31"/>
    </row>
    <row r="104" spans="1:13" x14ac:dyDescent="0.25">
      <c r="A104" s="67" t="s">
        <v>115</v>
      </c>
      <c r="B104" s="67"/>
      <c r="C104" s="67"/>
      <c r="D104" s="67"/>
      <c r="E104" s="67"/>
      <c r="F104" s="9"/>
      <c r="G104" s="9"/>
      <c r="H104" s="4"/>
      <c r="I104" s="9">
        <f>103090*0.1%</f>
        <v>103.09</v>
      </c>
      <c r="J104" s="9">
        <v>12</v>
      </c>
      <c r="K104" s="21">
        <f>I104/J104</f>
        <v>8.5908333333333342</v>
      </c>
      <c r="L104" s="22"/>
    </row>
    <row r="105" spans="1:13" s="8" customFormat="1" x14ac:dyDescent="0.25">
      <c r="A105" s="68" t="s">
        <v>116</v>
      </c>
      <c r="B105" s="69"/>
      <c r="C105" s="69"/>
      <c r="D105" s="69"/>
      <c r="E105" s="69"/>
      <c r="F105" s="69"/>
      <c r="G105" s="69"/>
      <c r="H105" s="69"/>
      <c r="I105" s="6">
        <f>SUM(I104:I104)</f>
        <v>103.09</v>
      </c>
      <c r="J105" s="6">
        <f>F36</f>
        <v>12</v>
      </c>
      <c r="K105" s="6">
        <f>SUM(K104:K104)</f>
        <v>8.5908333333333342</v>
      </c>
      <c r="L105" s="22"/>
      <c r="M105" s="7"/>
    </row>
    <row r="106" spans="1:13" s="8" customFormat="1" x14ac:dyDescent="0.25">
      <c r="A106" s="40"/>
      <c r="B106" s="40"/>
      <c r="C106" s="40"/>
      <c r="D106" s="40"/>
      <c r="E106" s="40"/>
      <c r="F106" s="40"/>
      <c r="G106" s="40"/>
      <c r="H106" s="40"/>
      <c r="I106" s="14"/>
      <c r="J106" s="14"/>
      <c r="K106" s="14"/>
      <c r="L106" s="30"/>
      <c r="M106" s="7"/>
    </row>
    <row r="107" spans="1:13" x14ac:dyDescent="0.25">
      <c r="A107" s="75" t="s">
        <v>26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</row>
    <row r="108" spans="1:13" hidden="1" x14ac:dyDescent="0.25"/>
    <row r="109" spans="1:13" ht="15" customHeight="1" x14ac:dyDescent="0.25">
      <c r="A109" s="90" t="s">
        <v>27</v>
      </c>
      <c r="B109" s="90"/>
      <c r="C109" s="90"/>
      <c r="D109" s="73" t="s">
        <v>28</v>
      </c>
      <c r="E109" s="73"/>
      <c r="F109" s="73"/>
      <c r="G109" s="73"/>
      <c r="H109" s="73"/>
      <c r="I109" s="73"/>
      <c r="J109" s="73"/>
      <c r="K109" s="90" t="s">
        <v>39</v>
      </c>
      <c r="L109" s="90"/>
    </row>
    <row r="110" spans="1:13" ht="30" x14ac:dyDescent="0.25">
      <c r="A110" s="9" t="s">
        <v>29</v>
      </c>
      <c r="B110" s="25" t="s">
        <v>30</v>
      </c>
      <c r="C110" s="9" t="s">
        <v>31</v>
      </c>
      <c r="D110" s="9" t="s">
        <v>32</v>
      </c>
      <c r="E110" s="9" t="s">
        <v>33</v>
      </c>
      <c r="F110" s="9" t="s">
        <v>34</v>
      </c>
      <c r="G110" s="9" t="s">
        <v>35</v>
      </c>
      <c r="H110" s="9" t="s">
        <v>36</v>
      </c>
      <c r="I110" s="9" t="s">
        <v>37</v>
      </c>
      <c r="J110" s="9" t="s">
        <v>38</v>
      </c>
      <c r="K110" s="90"/>
      <c r="L110" s="90"/>
    </row>
    <row r="111" spans="1:13" x14ac:dyDescent="0.25">
      <c r="A111" s="9">
        <f>K53</f>
        <v>513.91350499999999</v>
      </c>
      <c r="B111" s="9"/>
      <c r="C111" s="9">
        <v>0</v>
      </c>
      <c r="D111" s="9">
        <f>K62</f>
        <v>39.174725000000002</v>
      </c>
      <c r="E111" s="9">
        <f>K70</f>
        <v>6.5854000000000008</v>
      </c>
      <c r="F111" s="9"/>
      <c r="G111" s="9">
        <f>K77</f>
        <v>6.15</v>
      </c>
      <c r="H111" s="9">
        <v>0</v>
      </c>
      <c r="I111" s="9">
        <f>K83</f>
        <v>62.927222399999998</v>
      </c>
      <c r="J111" s="9">
        <f>K94+K100+K105+K88</f>
        <v>17.824026666666668</v>
      </c>
      <c r="K111" s="94">
        <f>SUM(A111:J111)</f>
        <v>646.57487906666665</v>
      </c>
      <c r="L111" s="95"/>
    </row>
    <row r="113" spans="1:12" x14ac:dyDescent="0.25">
      <c r="A113" s="42"/>
      <c r="B113" s="43"/>
      <c r="C113" s="44"/>
      <c r="D113" s="1"/>
      <c r="E113" s="1"/>
      <c r="F113" s="1"/>
    </row>
    <row r="114" spans="1:12" ht="15.75" x14ac:dyDescent="0.25">
      <c r="A114" s="16" t="s">
        <v>55</v>
      </c>
      <c r="B114" s="16"/>
      <c r="C114" s="16"/>
      <c r="D114" s="16"/>
      <c r="E114" s="16"/>
      <c r="F114" s="45"/>
      <c r="G114" s="45" t="s">
        <v>57</v>
      </c>
      <c r="H114" s="45"/>
      <c r="I114" s="12">
        <f>I53+I62+I70+I77+I88+I94+I100+I105+I83</f>
        <v>7758.8985488000008</v>
      </c>
      <c r="L114" s="12">
        <f>K111*J104</f>
        <v>7758.8985487999998</v>
      </c>
    </row>
    <row r="115" spans="1:12" ht="15.75" x14ac:dyDescent="0.25">
      <c r="A115" s="46"/>
      <c r="B115" s="16"/>
      <c r="C115" s="2"/>
      <c r="D115" s="2"/>
      <c r="E115" s="2"/>
      <c r="F115" s="2"/>
    </row>
    <row r="117" spans="1:12" ht="15.75" x14ac:dyDescent="0.25">
      <c r="A117" s="46" t="s">
        <v>117</v>
      </c>
      <c r="B117" s="16"/>
      <c r="C117" s="46"/>
      <c r="D117" s="16"/>
    </row>
    <row r="118" spans="1:12" ht="15.75" x14ac:dyDescent="0.25">
      <c r="A118" s="46" t="s">
        <v>56</v>
      </c>
      <c r="B118" s="16"/>
      <c r="C118" s="46"/>
      <c r="D118" s="16"/>
    </row>
  </sheetData>
  <mergeCells count="105">
    <mergeCell ref="A16:E16"/>
    <mergeCell ref="G16:K16"/>
    <mergeCell ref="A20:E20"/>
    <mergeCell ref="G20:K20"/>
    <mergeCell ref="A21:E21"/>
    <mergeCell ref="G21:K21"/>
    <mergeCell ref="A4:E4"/>
    <mergeCell ref="A6:E6"/>
    <mergeCell ref="A8:L8"/>
    <mergeCell ref="A9:L9"/>
    <mergeCell ref="A10:L10"/>
    <mergeCell ref="A28:E28"/>
    <mergeCell ref="G28:K28"/>
    <mergeCell ref="A22:E22"/>
    <mergeCell ref="G22:K22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A25:E25"/>
    <mergeCell ref="G25:K25"/>
    <mergeCell ref="A26:E26"/>
    <mergeCell ref="G26:K26"/>
    <mergeCell ref="A27:E27"/>
    <mergeCell ref="G27:K27"/>
    <mergeCell ref="A29:E29"/>
    <mergeCell ref="G29:K29"/>
    <mergeCell ref="A30:E30"/>
    <mergeCell ref="G30:K30"/>
    <mergeCell ref="A31:E31"/>
    <mergeCell ref="G31:K31"/>
    <mergeCell ref="A32:E32"/>
    <mergeCell ref="G32:K32"/>
    <mergeCell ref="A33:E33"/>
    <mergeCell ref="G33:K33"/>
    <mergeCell ref="A47:E47"/>
    <mergeCell ref="A48:E48"/>
    <mergeCell ref="A49:E49"/>
    <mergeCell ref="A50:E50"/>
    <mergeCell ref="A46:E46"/>
    <mergeCell ref="A34:E34"/>
    <mergeCell ref="G34:K34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  <mergeCell ref="A64:L64"/>
    <mergeCell ref="A56:E56"/>
    <mergeCell ref="A57:E57"/>
    <mergeCell ref="A58:E58"/>
    <mergeCell ref="A59:E59"/>
    <mergeCell ref="A60:E60"/>
    <mergeCell ref="A61:E61"/>
    <mergeCell ref="A62:H62"/>
    <mergeCell ref="A51:E51"/>
    <mergeCell ref="A55:L55"/>
    <mergeCell ref="A52:E52"/>
    <mergeCell ref="A65:E65"/>
    <mergeCell ref="A66:E66"/>
    <mergeCell ref="D109:J109"/>
    <mergeCell ref="K109:L110"/>
    <mergeCell ref="A79:L79"/>
    <mergeCell ref="A80:E80"/>
    <mergeCell ref="A81:E81"/>
    <mergeCell ref="A82:E82"/>
    <mergeCell ref="A67:E67"/>
    <mergeCell ref="A68:E68"/>
    <mergeCell ref="A69:E69"/>
    <mergeCell ref="A70:H70"/>
    <mergeCell ref="A73:E73"/>
    <mergeCell ref="A74:E74"/>
    <mergeCell ref="A75:E75"/>
    <mergeCell ref="A76:E76"/>
    <mergeCell ref="A77:H77"/>
    <mergeCell ref="A86:E86"/>
    <mergeCell ref="A87:E87"/>
    <mergeCell ref="A88:H88"/>
    <mergeCell ref="K111:L111"/>
    <mergeCell ref="A72:L72"/>
    <mergeCell ref="A85:L85"/>
    <mergeCell ref="A107:L107"/>
    <mergeCell ref="A109:C109"/>
    <mergeCell ref="A93:E93"/>
    <mergeCell ref="A94:H94"/>
    <mergeCell ref="A91:L91"/>
    <mergeCell ref="A92:E92"/>
    <mergeCell ref="A102:L102"/>
    <mergeCell ref="A103:E103"/>
    <mergeCell ref="A104:E104"/>
    <mergeCell ref="A105:H105"/>
    <mergeCell ref="A97:L97"/>
    <mergeCell ref="A98:E98"/>
    <mergeCell ref="A99:E99"/>
    <mergeCell ref="A100:H100"/>
  </mergeCells>
  <pageMargins left="0.7" right="0.7" top="0.75" bottom="0.75" header="0.3" footer="0.3"/>
  <pageSetup paperSize="9" scale="86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8"/>
  <sheetViews>
    <sheetView topLeftCell="A125" zoomScale="90" zoomScaleNormal="90" workbookViewId="0">
      <selection activeCell="F34" sqref="F34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11.8554687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6" t="s">
        <v>51</v>
      </c>
      <c r="B1" s="16"/>
      <c r="C1" s="16"/>
    </row>
    <row r="2" spans="1:12" ht="15.75" x14ac:dyDescent="0.25">
      <c r="A2" s="54" t="s">
        <v>52</v>
      </c>
      <c r="B2" s="54"/>
      <c r="C2" s="54"/>
    </row>
    <row r="3" spans="1:12" ht="15.75" x14ac:dyDescent="0.25">
      <c r="A3" s="56"/>
      <c r="B3" s="56"/>
      <c r="C3" s="56"/>
    </row>
    <row r="4" spans="1:12" ht="15.75" x14ac:dyDescent="0.25">
      <c r="A4" s="86" t="s">
        <v>53</v>
      </c>
      <c r="B4" s="86"/>
      <c r="C4" s="86"/>
      <c r="D4" s="87"/>
      <c r="E4" s="87"/>
    </row>
    <row r="5" spans="1:12" ht="15.75" x14ac:dyDescent="0.25">
      <c r="A5" s="54"/>
      <c r="B5" s="54"/>
      <c r="C5" s="54"/>
    </row>
    <row r="6" spans="1:12" ht="15.75" x14ac:dyDescent="0.25">
      <c r="A6" s="88" t="s">
        <v>54</v>
      </c>
      <c r="B6" s="88"/>
      <c r="C6" s="88"/>
      <c r="D6" s="87"/>
      <c r="E6" s="87"/>
    </row>
    <row r="8" spans="1:12" ht="15.75" x14ac:dyDescent="0.25">
      <c r="A8" s="89" t="s">
        <v>50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ht="15.75" x14ac:dyDescent="0.25">
      <c r="A9" s="89" t="s">
        <v>95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5.75" customHeight="1" x14ac:dyDescent="0.25">
      <c r="A10" s="89" t="s">
        <v>101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2" spans="1:12" x14ac:dyDescent="0.25">
      <c r="A12" s="19" t="s">
        <v>100</v>
      </c>
    </row>
    <row r="13" spans="1:12" x14ac:dyDescent="0.25">
      <c r="A13" s="19" t="s">
        <v>120</v>
      </c>
    </row>
    <row r="14" spans="1:12" x14ac:dyDescent="0.25">
      <c r="A14" s="19" t="s">
        <v>121</v>
      </c>
    </row>
    <row r="15" spans="1:12" x14ac:dyDescent="0.25">
      <c r="A15" s="19" t="s">
        <v>103</v>
      </c>
    </row>
    <row r="16" spans="1:12" ht="30" x14ac:dyDescent="0.25">
      <c r="A16" s="90" t="s">
        <v>0</v>
      </c>
      <c r="B16" s="90"/>
      <c r="C16" s="90"/>
      <c r="D16" s="90"/>
      <c r="E16" s="90"/>
      <c r="F16" s="51" t="s">
        <v>1</v>
      </c>
      <c r="G16" s="90" t="s">
        <v>2</v>
      </c>
      <c r="H16" s="90"/>
      <c r="I16" s="90"/>
      <c r="J16" s="90"/>
      <c r="K16" s="90"/>
      <c r="L16" s="9" t="s">
        <v>1</v>
      </c>
    </row>
    <row r="17" spans="1:12" x14ac:dyDescent="0.25">
      <c r="A17" s="76" t="s">
        <v>46</v>
      </c>
      <c r="B17" s="77"/>
      <c r="C17" s="77"/>
      <c r="D17" s="77"/>
      <c r="E17" s="78"/>
      <c r="F17" s="57">
        <v>1.2E-2</v>
      </c>
      <c r="G17" s="74" t="s">
        <v>3</v>
      </c>
      <c r="H17" s="74"/>
      <c r="I17" s="74"/>
      <c r="J17" s="74"/>
      <c r="K17" s="74"/>
      <c r="L17" s="57">
        <v>1.2E-2</v>
      </c>
    </row>
    <row r="18" spans="1:12" x14ac:dyDescent="0.25">
      <c r="A18" s="67" t="s">
        <v>73</v>
      </c>
      <c r="B18" s="67"/>
      <c r="C18" s="67"/>
      <c r="D18" s="67"/>
      <c r="E18" s="67"/>
      <c r="F18" s="57">
        <v>1.2E-2</v>
      </c>
      <c r="G18" s="74" t="s">
        <v>47</v>
      </c>
      <c r="H18" s="74"/>
      <c r="I18" s="74"/>
      <c r="J18" s="74"/>
      <c r="K18" s="74"/>
      <c r="L18" s="57">
        <v>1.2E-2</v>
      </c>
    </row>
    <row r="19" spans="1:12" x14ac:dyDescent="0.25">
      <c r="A19" s="67" t="s">
        <v>76</v>
      </c>
      <c r="B19" s="67"/>
      <c r="C19" s="67"/>
      <c r="D19" s="67"/>
      <c r="E19" s="67"/>
      <c r="F19" s="57">
        <v>1.2E-2</v>
      </c>
      <c r="G19" s="67"/>
      <c r="H19" s="67"/>
      <c r="I19" s="67"/>
      <c r="J19" s="67"/>
      <c r="K19" s="67"/>
      <c r="L19" s="57"/>
    </row>
    <row r="20" spans="1:12" x14ac:dyDescent="0.25">
      <c r="A20" s="67" t="s">
        <v>71</v>
      </c>
      <c r="B20" s="67"/>
      <c r="C20" s="67"/>
      <c r="D20" s="67"/>
      <c r="E20" s="67"/>
      <c r="F20" s="57">
        <v>1.2E-2</v>
      </c>
      <c r="G20" s="74"/>
      <c r="H20" s="74"/>
      <c r="I20" s="74"/>
      <c r="J20" s="74"/>
      <c r="K20" s="74"/>
      <c r="L20" s="57"/>
    </row>
    <row r="21" spans="1:12" x14ac:dyDescent="0.25">
      <c r="A21" s="67" t="s">
        <v>74</v>
      </c>
      <c r="B21" s="67"/>
      <c r="C21" s="67"/>
      <c r="D21" s="67"/>
      <c r="E21" s="67"/>
      <c r="F21" s="57">
        <v>6.0000000000000001E-3</v>
      </c>
      <c r="G21" s="74"/>
      <c r="H21" s="74"/>
      <c r="I21" s="74"/>
      <c r="J21" s="74"/>
      <c r="K21" s="74"/>
      <c r="L21" s="57"/>
    </row>
    <row r="22" spans="1:12" x14ac:dyDescent="0.25">
      <c r="A22" s="67" t="s">
        <v>78</v>
      </c>
      <c r="B22" s="67"/>
      <c r="C22" s="67"/>
      <c r="D22" s="67"/>
      <c r="E22" s="67"/>
      <c r="F22" s="57">
        <v>1.2E-2</v>
      </c>
      <c r="G22" s="74"/>
      <c r="H22" s="74"/>
      <c r="I22" s="74"/>
      <c r="J22" s="74"/>
      <c r="K22" s="74"/>
      <c r="L22" s="57"/>
    </row>
    <row r="23" spans="1:12" x14ac:dyDescent="0.25">
      <c r="A23" s="74" t="s">
        <v>41</v>
      </c>
      <c r="B23" s="74"/>
      <c r="C23" s="74"/>
      <c r="D23" s="74"/>
      <c r="E23" s="74"/>
      <c r="F23" s="57">
        <v>0.02</v>
      </c>
      <c r="G23" s="74"/>
      <c r="H23" s="74"/>
      <c r="I23" s="74"/>
      <c r="J23" s="74"/>
      <c r="K23" s="74"/>
      <c r="L23" s="57"/>
    </row>
    <row r="24" spans="1:12" x14ac:dyDescent="0.25">
      <c r="A24" s="79" t="s">
        <v>79</v>
      </c>
      <c r="B24" s="81"/>
      <c r="C24" s="81"/>
      <c r="D24" s="81"/>
      <c r="E24" s="82"/>
      <c r="F24" s="57">
        <v>1.2E-2</v>
      </c>
      <c r="G24" s="74"/>
      <c r="H24" s="74"/>
      <c r="I24" s="74"/>
      <c r="J24" s="74"/>
      <c r="K24" s="74"/>
      <c r="L24" s="58"/>
    </row>
    <row r="25" spans="1:12" x14ac:dyDescent="0.25">
      <c r="A25" s="67" t="s">
        <v>70</v>
      </c>
      <c r="B25" s="67"/>
      <c r="C25" s="67"/>
      <c r="D25" s="67"/>
      <c r="E25" s="67"/>
      <c r="F25" s="57">
        <v>1.2E-2</v>
      </c>
      <c r="G25" s="67"/>
      <c r="H25" s="67"/>
      <c r="I25" s="67"/>
      <c r="J25" s="67"/>
      <c r="K25" s="67"/>
      <c r="L25" s="57"/>
    </row>
    <row r="26" spans="1:12" x14ac:dyDescent="0.25">
      <c r="A26" s="67" t="s">
        <v>80</v>
      </c>
      <c r="B26" s="67"/>
      <c r="C26" s="67"/>
      <c r="D26" s="67"/>
      <c r="E26" s="67"/>
      <c r="F26" s="57">
        <v>1.2E-2</v>
      </c>
      <c r="G26" s="67"/>
      <c r="H26" s="67"/>
      <c r="I26" s="67"/>
      <c r="J26" s="67"/>
      <c r="K26" s="67"/>
      <c r="L26" s="57"/>
    </row>
    <row r="27" spans="1:12" x14ac:dyDescent="0.25">
      <c r="A27" s="74" t="s">
        <v>48</v>
      </c>
      <c r="B27" s="74"/>
      <c r="C27" s="74"/>
      <c r="D27" s="74"/>
      <c r="E27" s="74"/>
      <c r="F27" s="57">
        <v>0.04</v>
      </c>
      <c r="G27" s="67"/>
      <c r="H27" s="67"/>
      <c r="I27" s="67"/>
      <c r="J27" s="67"/>
      <c r="K27" s="67"/>
      <c r="L27" s="57"/>
    </row>
    <row r="28" spans="1:12" x14ac:dyDescent="0.25">
      <c r="A28" s="74" t="s">
        <v>77</v>
      </c>
      <c r="B28" s="74"/>
      <c r="C28" s="74"/>
      <c r="D28" s="74"/>
      <c r="E28" s="74"/>
      <c r="F28" s="57">
        <v>2.4E-2</v>
      </c>
      <c r="G28" s="74"/>
      <c r="H28" s="74"/>
      <c r="I28" s="74"/>
      <c r="J28" s="74"/>
      <c r="K28" s="74"/>
      <c r="L28" s="58"/>
    </row>
    <row r="29" spans="1:12" x14ac:dyDescent="0.25">
      <c r="A29" s="74" t="s">
        <v>72</v>
      </c>
      <c r="B29" s="74"/>
      <c r="C29" s="74"/>
      <c r="D29" s="74"/>
      <c r="E29" s="74"/>
      <c r="F29" s="57">
        <v>1.2E-2</v>
      </c>
      <c r="G29" s="67"/>
      <c r="H29" s="67"/>
      <c r="I29" s="67"/>
      <c r="J29" s="67"/>
      <c r="K29" s="67"/>
      <c r="L29" s="57"/>
    </row>
    <row r="30" spans="1:12" ht="15" customHeight="1" x14ac:dyDescent="0.25">
      <c r="A30" s="74" t="s">
        <v>75</v>
      </c>
      <c r="B30" s="74"/>
      <c r="C30" s="74"/>
      <c r="D30" s="74"/>
      <c r="E30" s="74"/>
      <c r="F30" s="57">
        <v>0.03</v>
      </c>
      <c r="G30" s="67"/>
      <c r="H30" s="67"/>
      <c r="I30" s="67"/>
      <c r="J30" s="67"/>
      <c r="K30" s="67"/>
      <c r="L30" s="57"/>
    </row>
    <row r="31" spans="1:12" x14ac:dyDescent="0.25">
      <c r="A31" s="74" t="s">
        <v>49</v>
      </c>
      <c r="B31" s="74"/>
      <c r="C31" s="74"/>
      <c r="D31" s="74"/>
      <c r="E31" s="74"/>
      <c r="F31" s="57">
        <v>1.2E-2</v>
      </c>
      <c r="G31" s="67"/>
      <c r="H31" s="67"/>
      <c r="I31" s="67"/>
      <c r="J31" s="67"/>
      <c r="K31" s="67"/>
      <c r="L31" s="57"/>
    </row>
    <row r="32" spans="1:12" hidden="1" x14ac:dyDescent="0.25">
      <c r="A32" s="79"/>
      <c r="B32" s="81"/>
      <c r="C32" s="81"/>
      <c r="D32" s="81"/>
      <c r="E32" s="82"/>
      <c r="F32" s="57"/>
      <c r="G32" s="67"/>
      <c r="H32" s="67"/>
      <c r="I32" s="67"/>
      <c r="J32" s="67"/>
      <c r="K32" s="67"/>
      <c r="L32" s="57"/>
    </row>
    <row r="33" spans="1:12" ht="9.75" hidden="1" customHeight="1" x14ac:dyDescent="0.25">
      <c r="A33" s="79"/>
      <c r="B33" s="81"/>
      <c r="C33" s="81"/>
      <c r="D33" s="81"/>
      <c r="E33" s="82"/>
      <c r="F33" s="57"/>
      <c r="G33" s="76"/>
      <c r="H33" s="77"/>
      <c r="I33" s="77"/>
      <c r="J33" s="77"/>
      <c r="K33" s="78"/>
      <c r="L33" s="57"/>
    </row>
    <row r="34" spans="1:12" x14ac:dyDescent="0.25">
      <c r="A34" s="73" t="s">
        <v>4</v>
      </c>
      <c r="B34" s="73"/>
      <c r="C34" s="73"/>
      <c r="D34" s="73"/>
      <c r="E34" s="73"/>
      <c r="F34" s="9">
        <f>SUM(F17:F33)</f>
        <v>0.24000000000000002</v>
      </c>
      <c r="G34" s="73" t="s">
        <v>4</v>
      </c>
      <c r="H34" s="73"/>
      <c r="I34" s="73"/>
      <c r="J34" s="73"/>
      <c r="K34" s="73"/>
      <c r="L34" s="57">
        <f>SUM(L17:L33)</f>
        <v>2.4E-2</v>
      </c>
    </row>
    <row r="36" spans="1:12" x14ac:dyDescent="0.25">
      <c r="A36" s="19" t="s">
        <v>85</v>
      </c>
      <c r="F36" s="7">
        <v>427</v>
      </c>
    </row>
    <row r="37" spans="1:12" ht="60" x14ac:dyDescent="0.25">
      <c r="A37" s="91" t="s">
        <v>5</v>
      </c>
      <c r="B37" s="92"/>
      <c r="C37" s="92"/>
      <c r="D37" s="92"/>
      <c r="E37" s="93"/>
      <c r="F37" s="51" t="s">
        <v>6</v>
      </c>
      <c r="G37" s="51" t="s">
        <v>1</v>
      </c>
      <c r="H37" s="51" t="s">
        <v>60</v>
      </c>
      <c r="I37" s="51" t="s">
        <v>61</v>
      </c>
      <c r="J37" s="51" t="s">
        <v>62</v>
      </c>
      <c r="K37" s="62" t="s">
        <v>63</v>
      </c>
      <c r="L37" s="35"/>
    </row>
    <row r="38" spans="1:12" ht="30.75" hidden="1" customHeight="1" x14ac:dyDescent="0.25">
      <c r="A38" s="76" t="s">
        <v>46</v>
      </c>
      <c r="B38" s="77"/>
      <c r="C38" s="77"/>
      <c r="D38" s="77"/>
      <c r="E38" s="78"/>
      <c r="F38" s="26">
        <f>'Услуга №1 '!F39</f>
        <v>11538</v>
      </c>
      <c r="G38" s="9">
        <v>0.01</v>
      </c>
      <c r="H38" s="4">
        <f>G38*F38*12</f>
        <v>1384.56</v>
      </c>
      <c r="I38" s="4">
        <f>H38*1.302</f>
        <v>1802.69712</v>
      </c>
      <c r="J38" s="9">
        <f>F36</f>
        <v>427</v>
      </c>
      <c r="K38" s="9">
        <f>I38/J38</f>
        <v>4.2217731147540984</v>
      </c>
      <c r="L38" s="30"/>
    </row>
    <row r="39" spans="1:12" ht="14.25" hidden="1" customHeight="1" x14ac:dyDescent="0.25">
      <c r="A39" s="67" t="s">
        <v>73</v>
      </c>
      <c r="B39" s="67"/>
      <c r="C39" s="67"/>
      <c r="D39" s="67"/>
      <c r="E39" s="67"/>
      <c r="F39" s="26">
        <f>'Услуга №1 '!F40</f>
        <v>11538</v>
      </c>
      <c r="G39" s="9">
        <v>0.01</v>
      </c>
      <c r="H39" s="4">
        <f t="shared" ref="H39:H52" si="0">G39*F39*12</f>
        <v>1384.56</v>
      </c>
      <c r="I39" s="4">
        <f t="shared" ref="I39:I52" si="1">H39*1.302</f>
        <v>1802.69712</v>
      </c>
      <c r="J39" s="9">
        <f>J43</f>
        <v>427</v>
      </c>
      <c r="K39" s="9">
        <f t="shared" ref="K39:K52" si="2">I39/J39</f>
        <v>4.2217731147540984</v>
      </c>
      <c r="L39" s="30"/>
    </row>
    <row r="40" spans="1:12" ht="14.25" hidden="1" customHeight="1" x14ac:dyDescent="0.25">
      <c r="A40" s="67" t="s">
        <v>76</v>
      </c>
      <c r="B40" s="67"/>
      <c r="C40" s="67"/>
      <c r="D40" s="67"/>
      <c r="E40" s="67"/>
      <c r="F40" s="26">
        <f>'Услуга №1 '!F41</f>
        <v>11538</v>
      </c>
      <c r="G40" s="9">
        <v>0.01</v>
      </c>
      <c r="H40" s="4">
        <f t="shared" si="0"/>
        <v>1384.56</v>
      </c>
      <c r="I40" s="4">
        <f t="shared" si="1"/>
        <v>1802.69712</v>
      </c>
      <c r="J40" s="9">
        <f>J38</f>
        <v>427</v>
      </c>
      <c r="K40" s="9">
        <f t="shared" si="2"/>
        <v>4.2217731147540984</v>
      </c>
      <c r="L40" s="30"/>
    </row>
    <row r="41" spans="1:12" ht="13.5" hidden="1" customHeight="1" x14ac:dyDescent="0.25">
      <c r="A41" s="67" t="s">
        <v>71</v>
      </c>
      <c r="B41" s="67"/>
      <c r="C41" s="67"/>
      <c r="D41" s="67"/>
      <c r="E41" s="67"/>
      <c r="F41" s="26">
        <f>'Услуга №1 '!F42</f>
        <v>8837</v>
      </c>
      <c r="G41" s="9">
        <v>0.01</v>
      </c>
      <c r="H41" s="4">
        <f t="shared" si="0"/>
        <v>1060.44</v>
      </c>
      <c r="I41" s="4">
        <f t="shared" si="1"/>
        <v>1380.6928800000001</v>
      </c>
      <c r="J41" s="9">
        <f>J38</f>
        <v>427</v>
      </c>
      <c r="K41" s="9">
        <f t="shared" si="2"/>
        <v>3.2334727868852462</v>
      </c>
      <c r="L41" s="30"/>
    </row>
    <row r="42" spans="1:12" hidden="1" x14ac:dyDescent="0.25">
      <c r="A42" s="67" t="s">
        <v>74</v>
      </c>
      <c r="B42" s="67"/>
      <c r="C42" s="67"/>
      <c r="D42" s="67"/>
      <c r="E42" s="67"/>
      <c r="F42" s="26">
        <f>'Услуга №1 '!F43</f>
        <v>4418.5</v>
      </c>
      <c r="G42" s="9">
        <v>5.0000000000000001E-3</v>
      </c>
      <c r="H42" s="4">
        <f t="shared" si="0"/>
        <v>265.11</v>
      </c>
      <c r="I42" s="4">
        <f t="shared" si="1"/>
        <v>345.17322000000001</v>
      </c>
      <c r="J42" s="9">
        <f>J40</f>
        <v>427</v>
      </c>
      <c r="K42" s="9">
        <f t="shared" si="2"/>
        <v>0.80836819672131155</v>
      </c>
      <c r="L42" s="30"/>
    </row>
    <row r="43" spans="1:12" hidden="1" x14ac:dyDescent="0.25">
      <c r="A43" s="67" t="s">
        <v>78</v>
      </c>
      <c r="B43" s="67"/>
      <c r="C43" s="67"/>
      <c r="D43" s="67"/>
      <c r="E43" s="67"/>
      <c r="F43" s="26">
        <f>'Услуга №1 '!F44</f>
        <v>8837</v>
      </c>
      <c r="G43" s="9">
        <v>0.01</v>
      </c>
      <c r="H43" s="4">
        <f t="shared" si="0"/>
        <v>1060.44</v>
      </c>
      <c r="I43" s="4">
        <f t="shared" si="1"/>
        <v>1380.6928800000001</v>
      </c>
      <c r="J43" s="9">
        <f>J40</f>
        <v>427</v>
      </c>
      <c r="K43" s="9">
        <f t="shared" si="2"/>
        <v>3.2334727868852462</v>
      </c>
      <c r="L43" s="30"/>
    </row>
    <row r="44" spans="1:12" ht="15" hidden="1" customHeight="1" x14ac:dyDescent="0.25">
      <c r="A44" s="74" t="s">
        <v>41</v>
      </c>
      <c r="B44" s="74"/>
      <c r="C44" s="74"/>
      <c r="D44" s="74"/>
      <c r="E44" s="74"/>
      <c r="F44" s="9">
        <f>'Услуга №1 '!F45</f>
        <v>6556</v>
      </c>
      <c r="G44" s="9">
        <v>0.01</v>
      </c>
      <c r="H44" s="4">
        <f t="shared" si="0"/>
        <v>786.72</v>
      </c>
      <c r="I44" s="4">
        <f t="shared" si="1"/>
        <v>1024.30944</v>
      </c>
      <c r="J44" s="9">
        <f>J42</f>
        <v>427</v>
      </c>
      <c r="K44" s="9">
        <f t="shared" si="2"/>
        <v>2.3988511475409835</v>
      </c>
      <c r="L44" s="30"/>
    </row>
    <row r="45" spans="1:12" hidden="1" x14ac:dyDescent="0.25">
      <c r="A45" s="79" t="s">
        <v>79</v>
      </c>
      <c r="B45" s="81"/>
      <c r="C45" s="81"/>
      <c r="D45" s="81"/>
      <c r="E45" s="82"/>
      <c r="F45" s="9">
        <f>'Услуга №1 '!F46</f>
        <v>3933</v>
      </c>
      <c r="G45" s="9">
        <v>0.01</v>
      </c>
      <c r="H45" s="4">
        <f t="shared" si="0"/>
        <v>471.96</v>
      </c>
      <c r="I45" s="4">
        <f t="shared" si="1"/>
        <v>614.49192000000005</v>
      </c>
      <c r="J45" s="9">
        <f>J42</f>
        <v>427</v>
      </c>
      <c r="K45" s="9">
        <f t="shared" si="2"/>
        <v>1.4390911475409838</v>
      </c>
      <c r="L45" s="30"/>
    </row>
    <row r="46" spans="1:12" ht="15.75" hidden="1" customHeight="1" x14ac:dyDescent="0.25">
      <c r="A46" s="67" t="s">
        <v>70</v>
      </c>
      <c r="B46" s="67"/>
      <c r="C46" s="67"/>
      <c r="D46" s="67"/>
      <c r="E46" s="67"/>
      <c r="F46" s="9">
        <f>'Услуга №1 '!F47</f>
        <v>4496</v>
      </c>
      <c r="G46" s="9">
        <v>0.01</v>
      </c>
      <c r="H46" s="4">
        <f t="shared" si="0"/>
        <v>539.52</v>
      </c>
      <c r="I46" s="4">
        <f t="shared" si="1"/>
        <v>702.45504000000005</v>
      </c>
      <c r="J46" s="9">
        <f>J43</f>
        <v>427</v>
      </c>
      <c r="K46" s="9">
        <f t="shared" si="2"/>
        <v>1.6450937704918034</v>
      </c>
      <c r="L46" s="30"/>
    </row>
    <row r="47" spans="1:12" hidden="1" x14ac:dyDescent="0.25">
      <c r="A47" s="67" t="s">
        <v>80</v>
      </c>
      <c r="B47" s="67"/>
      <c r="C47" s="67"/>
      <c r="D47" s="67"/>
      <c r="E47" s="67"/>
      <c r="F47" s="9">
        <f>'Услуга №1 '!F48</f>
        <v>11538</v>
      </c>
      <c r="G47" s="9">
        <v>0.01</v>
      </c>
      <c r="H47" s="4">
        <f t="shared" si="0"/>
        <v>1384.56</v>
      </c>
      <c r="I47" s="4">
        <f t="shared" si="1"/>
        <v>1802.69712</v>
      </c>
      <c r="J47" s="9">
        <f>J44</f>
        <v>427</v>
      </c>
      <c r="K47" s="9">
        <f t="shared" si="2"/>
        <v>4.2217731147540984</v>
      </c>
      <c r="L47" s="30"/>
    </row>
    <row r="48" spans="1:12" ht="15" hidden="1" customHeight="1" x14ac:dyDescent="0.25">
      <c r="A48" s="74" t="s">
        <v>48</v>
      </c>
      <c r="B48" s="74"/>
      <c r="C48" s="74"/>
      <c r="D48" s="74"/>
      <c r="E48" s="74"/>
      <c r="F48" s="9">
        <f>'Услуга №1 '!F49</f>
        <v>11538</v>
      </c>
      <c r="G48" s="9">
        <v>3.0000000000000001E-3</v>
      </c>
      <c r="H48" s="4">
        <f t="shared" si="0"/>
        <v>415.36799999999994</v>
      </c>
      <c r="I48" s="4">
        <f t="shared" si="1"/>
        <v>540.80913599999997</v>
      </c>
      <c r="J48" s="9">
        <f>J44</f>
        <v>427</v>
      </c>
      <c r="K48" s="9">
        <f t="shared" si="2"/>
        <v>1.2665319344262294</v>
      </c>
      <c r="L48" s="30"/>
    </row>
    <row r="49" spans="1:13" ht="15" hidden="1" customHeight="1" x14ac:dyDescent="0.25">
      <c r="A49" s="74" t="s">
        <v>77</v>
      </c>
      <c r="B49" s="74"/>
      <c r="C49" s="74"/>
      <c r="D49" s="74"/>
      <c r="E49" s="74"/>
      <c r="F49" s="9">
        <f>'Услуга №1 '!F50</f>
        <v>6556</v>
      </c>
      <c r="G49" s="9">
        <v>0.01</v>
      </c>
      <c r="H49" s="4">
        <f t="shared" si="0"/>
        <v>786.72</v>
      </c>
      <c r="I49" s="4">
        <f t="shared" si="1"/>
        <v>1024.30944</v>
      </c>
      <c r="J49" s="9">
        <f>J47</f>
        <v>427</v>
      </c>
      <c r="K49" s="9">
        <f t="shared" si="2"/>
        <v>2.3988511475409835</v>
      </c>
      <c r="L49" s="30"/>
    </row>
    <row r="50" spans="1:13" ht="17.25" hidden="1" customHeight="1" x14ac:dyDescent="0.25">
      <c r="A50" s="74" t="s">
        <v>72</v>
      </c>
      <c r="B50" s="74"/>
      <c r="C50" s="74"/>
      <c r="D50" s="74"/>
      <c r="E50" s="74"/>
      <c r="F50" s="26">
        <f>'Услуга №1 '!F51</f>
        <v>11538</v>
      </c>
      <c r="G50" s="9">
        <v>0.01</v>
      </c>
      <c r="H50" s="4">
        <f t="shared" si="0"/>
        <v>1384.56</v>
      </c>
      <c r="I50" s="4">
        <f t="shared" si="1"/>
        <v>1802.69712</v>
      </c>
      <c r="J50" s="9">
        <f>J48</f>
        <v>427</v>
      </c>
      <c r="K50" s="9">
        <f t="shared" si="2"/>
        <v>4.2217731147540984</v>
      </c>
      <c r="L50" s="30"/>
    </row>
    <row r="51" spans="1:13" ht="15" hidden="1" customHeight="1" x14ac:dyDescent="0.25">
      <c r="A51" s="74" t="s">
        <v>75</v>
      </c>
      <c r="B51" s="74"/>
      <c r="C51" s="74"/>
      <c r="D51" s="74"/>
      <c r="E51" s="74"/>
      <c r="F51" s="26">
        <f>'Услуга №1 '!F52</f>
        <v>8837</v>
      </c>
      <c r="G51" s="9">
        <v>2E-3</v>
      </c>
      <c r="H51" s="4">
        <f t="shared" si="0"/>
        <v>212.08799999999999</v>
      </c>
      <c r="I51" s="4">
        <f t="shared" si="1"/>
        <v>276.138576</v>
      </c>
      <c r="J51" s="9">
        <f>J50</f>
        <v>427</v>
      </c>
      <c r="K51" s="9">
        <f t="shared" si="2"/>
        <v>0.64669455737704917</v>
      </c>
      <c r="L51" s="30"/>
    </row>
    <row r="52" spans="1:13" ht="15" hidden="1" customHeight="1" x14ac:dyDescent="0.25">
      <c r="A52" s="74" t="s">
        <v>49</v>
      </c>
      <c r="B52" s="74"/>
      <c r="C52" s="74"/>
      <c r="D52" s="74"/>
      <c r="E52" s="74"/>
      <c r="F52" s="26">
        <f>'Услуга №1 '!F53</f>
        <v>11538</v>
      </c>
      <c r="G52" s="9">
        <v>0.01</v>
      </c>
      <c r="H52" s="4">
        <f t="shared" si="0"/>
        <v>1384.56</v>
      </c>
      <c r="I52" s="4">
        <f t="shared" si="1"/>
        <v>1802.69712</v>
      </c>
      <c r="J52" s="9">
        <v>427</v>
      </c>
      <c r="K52" s="9">
        <f t="shared" si="2"/>
        <v>4.2217731147540984</v>
      </c>
      <c r="L52" s="30"/>
    </row>
    <row r="53" spans="1:13" s="8" customFormat="1" ht="14.25" customHeight="1" x14ac:dyDescent="0.25">
      <c r="A53" s="52" t="s">
        <v>82</v>
      </c>
      <c r="B53" s="53"/>
      <c r="C53" s="53"/>
      <c r="D53" s="53"/>
      <c r="E53" s="53"/>
      <c r="F53" s="3">
        <v>19735.64</v>
      </c>
      <c r="G53" s="3">
        <f>F34</f>
        <v>0.24000000000000002</v>
      </c>
      <c r="H53" s="3">
        <f>(F53*G53)*12</f>
        <v>56838.643200000006</v>
      </c>
      <c r="I53" s="3">
        <f>(H53*1.302)</f>
        <v>74003.913446400009</v>
      </c>
      <c r="J53" s="48">
        <f>F36</f>
        <v>427</v>
      </c>
      <c r="K53" s="3">
        <f>I53/J53</f>
        <v>173.31127270819675</v>
      </c>
      <c r="L53" s="30"/>
      <c r="M53" s="7"/>
    </row>
    <row r="54" spans="1:13" x14ac:dyDescent="0.25">
      <c r="A54" s="29"/>
      <c r="B54" s="29"/>
      <c r="C54" s="29"/>
      <c r="D54" s="29"/>
      <c r="E54" s="29"/>
      <c r="F54" s="30"/>
      <c r="G54" s="30"/>
      <c r="H54" s="30"/>
      <c r="I54" s="30"/>
      <c r="J54" s="30"/>
      <c r="K54" s="30"/>
      <c r="L54" s="30"/>
    </row>
    <row r="55" spans="1:13" ht="18" customHeight="1" x14ac:dyDescent="0.25">
      <c r="A55" s="75" t="s">
        <v>8</v>
      </c>
      <c r="B55" s="75"/>
      <c r="C55" s="75"/>
      <c r="D55" s="75"/>
      <c r="E55" s="75"/>
      <c r="F55" s="75"/>
      <c r="G55" s="75"/>
      <c r="H55" s="75"/>
      <c r="I55" s="75"/>
      <c r="J55" s="75"/>
      <c r="K55" s="75"/>
      <c r="L55" s="75"/>
    </row>
    <row r="56" spans="1:13" ht="45" x14ac:dyDescent="0.25">
      <c r="A56" s="73" t="s">
        <v>9</v>
      </c>
      <c r="B56" s="73"/>
      <c r="C56" s="73"/>
      <c r="D56" s="73"/>
      <c r="E56" s="73"/>
      <c r="F56" s="51" t="s">
        <v>7</v>
      </c>
      <c r="G56" s="51" t="s">
        <v>59</v>
      </c>
      <c r="H56" s="51" t="s">
        <v>58</v>
      </c>
      <c r="I56" s="51" t="s">
        <v>64</v>
      </c>
      <c r="J56" s="51" t="s">
        <v>62</v>
      </c>
      <c r="K56" s="24" t="s">
        <v>63</v>
      </c>
      <c r="L56" s="31"/>
    </row>
    <row r="57" spans="1:13" x14ac:dyDescent="0.25">
      <c r="A57" s="79" t="s">
        <v>42</v>
      </c>
      <c r="B57" s="81"/>
      <c r="C57" s="81"/>
      <c r="D57" s="81"/>
      <c r="E57" s="82"/>
      <c r="F57" s="25" t="s">
        <v>43</v>
      </c>
      <c r="G57" s="25">
        <v>35000</v>
      </c>
      <c r="H57" s="25">
        <v>4.5</v>
      </c>
      <c r="I57" s="32">
        <f>157500*1.2%</f>
        <v>1890</v>
      </c>
      <c r="J57" s="9">
        <f>F36</f>
        <v>427</v>
      </c>
      <c r="K57" s="33">
        <f>I57/J57</f>
        <v>4.4262295081967213</v>
      </c>
      <c r="L57" s="31"/>
    </row>
    <row r="58" spans="1:13" x14ac:dyDescent="0.25">
      <c r="A58" s="67" t="s">
        <v>10</v>
      </c>
      <c r="B58" s="67"/>
      <c r="C58" s="67"/>
      <c r="D58" s="67"/>
      <c r="E58" s="67"/>
      <c r="F58" s="9" t="s">
        <v>13</v>
      </c>
      <c r="G58" s="9">
        <v>160</v>
      </c>
      <c r="H58" s="9">
        <v>1690.46</v>
      </c>
      <c r="I58" s="32">
        <f>270474.6*1.2%</f>
        <v>3245.6951999999997</v>
      </c>
      <c r="J58" s="9">
        <f>J57</f>
        <v>427</v>
      </c>
      <c r="K58" s="33">
        <f t="shared" ref="K58:K61" si="3">I58/J58</f>
        <v>7.6011597189695541</v>
      </c>
      <c r="L58" s="22"/>
    </row>
    <row r="59" spans="1:13" x14ac:dyDescent="0.25">
      <c r="A59" s="67" t="s">
        <v>11</v>
      </c>
      <c r="B59" s="67"/>
      <c r="C59" s="67"/>
      <c r="D59" s="67"/>
      <c r="E59" s="67"/>
      <c r="F59" s="9" t="s">
        <v>14</v>
      </c>
      <c r="G59" s="9">
        <v>200</v>
      </c>
      <c r="H59" s="9">
        <v>40.96</v>
      </c>
      <c r="I59" s="32">
        <f>8192*1.2%</f>
        <v>98.304000000000002</v>
      </c>
      <c r="J59" s="9">
        <f>J58</f>
        <v>427</v>
      </c>
      <c r="K59" s="33">
        <f t="shared" si="3"/>
        <v>0.23022014051522249</v>
      </c>
      <c r="L59" s="22"/>
    </row>
    <row r="60" spans="1:13" x14ac:dyDescent="0.25">
      <c r="A60" s="67" t="s">
        <v>12</v>
      </c>
      <c r="B60" s="67"/>
      <c r="C60" s="67"/>
      <c r="D60" s="67"/>
      <c r="E60" s="67"/>
      <c r="F60" s="9" t="s">
        <v>14</v>
      </c>
      <c r="G60" s="9">
        <v>200</v>
      </c>
      <c r="H60" s="9">
        <v>59.65</v>
      </c>
      <c r="I60" s="32">
        <f>11930*1.2%</f>
        <v>143.16</v>
      </c>
      <c r="J60" s="9">
        <f>J58</f>
        <v>427</v>
      </c>
      <c r="K60" s="33">
        <f t="shared" si="3"/>
        <v>0.3352693208430913</v>
      </c>
      <c r="L60" s="22"/>
    </row>
    <row r="61" spans="1:13" x14ac:dyDescent="0.25">
      <c r="A61" s="79" t="s">
        <v>17</v>
      </c>
      <c r="B61" s="80"/>
      <c r="C61" s="80"/>
      <c r="D61" s="80"/>
      <c r="E61" s="80"/>
      <c r="F61" s="9" t="s">
        <v>14</v>
      </c>
      <c r="G61" s="9">
        <v>12</v>
      </c>
      <c r="H61" s="9">
        <v>1833.34</v>
      </c>
      <c r="I61" s="34">
        <f>22000.1*1.2%</f>
        <v>264.00119999999998</v>
      </c>
      <c r="J61" s="9">
        <f>J59</f>
        <v>427</v>
      </c>
      <c r="K61" s="33">
        <f t="shared" si="3"/>
        <v>0.61826978922716624</v>
      </c>
      <c r="L61" s="22"/>
    </row>
    <row r="62" spans="1:13" s="8" customFormat="1" ht="15" customHeight="1" x14ac:dyDescent="0.25">
      <c r="A62" s="83" t="s">
        <v>15</v>
      </c>
      <c r="B62" s="84"/>
      <c r="C62" s="84"/>
      <c r="D62" s="84"/>
      <c r="E62" s="84"/>
      <c r="F62" s="84"/>
      <c r="G62" s="84"/>
      <c r="H62" s="85"/>
      <c r="I62" s="5">
        <f>SUM(I57:I61)</f>
        <v>5641.1603999999998</v>
      </c>
      <c r="J62" s="48">
        <f>J60</f>
        <v>427</v>
      </c>
      <c r="K62" s="5">
        <f>I62/J62</f>
        <v>13.211148477751756</v>
      </c>
      <c r="L62" s="22"/>
      <c r="M62" s="7"/>
    </row>
    <row r="64" spans="1:13" x14ac:dyDescent="0.25">
      <c r="A64" s="75" t="s">
        <v>16</v>
      </c>
      <c r="B64" s="75"/>
      <c r="C64" s="75"/>
      <c r="D64" s="75"/>
      <c r="E64" s="75"/>
      <c r="F64" s="75"/>
      <c r="G64" s="75"/>
      <c r="H64" s="75"/>
      <c r="I64" s="75"/>
      <c r="J64" s="75"/>
      <c r="K64" s="75"/>
      <c r="L64" s="75"/>
    </row>
    <row r="65" spans="1:13" ht="45" x14ac:dyDescent="0.25">
      <c r="A65" s="73" t="s">
        <v>20</v>
      </c>
      <c r="B65" s="73"/>
      <c r="C65" s="73"/>
      <c r="D65" s="73"/>
      <c r="E65" s="73"/>
      <c r="F65" s="25" t="s">
        <v>7</v>
      </c>
      <c r="G65" s="25" t="s">
        <v>59</v>
      </c>
      <c r="H65" s="25" t="s">
        <v>58</v>
      </c>
      <c r="I65" s="25" t="s">
        <v>64</v>
      </c>
      <c r="J65" s="25" t="s">
        <v>62</v>
      </c>
      <c r="K65" s="33" t="s">
        <v>63</v>
      </c>
      <c r="L65" s="31"/>
    </row>
    <row r="66" spans="1:13" ht="14.25" customHeight="1" x14ac:dyDescent="0.25">
      <c r="A66" s="67" t="s">
        <v>44</v>
      </c>
      <c r="B66" s="67"/>
      <c r="C66" s="67"/>
      <c r="D66" s="67"/>
      <c r="E66" s="67"/>
      <c r="F66" s="9" t="s">
        <v>18</v>
      </c>
      <c r="G66" s="9">
        <v>12</v>
      </c>
      <c r="H66" s="9">
        <v>785.4</v>
      </c>
      <c r="I66" s="9">
        <f>9424.8*1.2%</f>
        <v>113.0976</v>
      </c>
      <c r="J66" s="9">
        <f>F36</f>
        <v>427</v>
      </c>
      <c r="K66" s="49">
        <f t="shared" ref="K66:K69" si="4">I66/J66</f>
        <v>0.2648655737704918</v>
      </c>
      <c r="L66" s="22"/>
    </row>
    <row r="67" spans="1:13" ht="14.25" customHeight="1" x14ac:dyDescent="0.25">
      <c r="A67" s="67" t="s">
        <v>104</v>
      </c>
      <c r="B67" s="67"/>
      <c r="C67" s="67"/>
      <c r="D67" s="67"/>
      <c r="E67" s="67"/>
      <c r="F67" s="9" t="s">
        <v>18</v>
      </c>
      <c r="G67" s="9">
        <v>12</v>
      </c>
      <c r="H67" s="9">
        <v>2900</v>
      </c>
      <c r="I67" s="9">
        <f>34800*1.2%</f>
        <v>417.6</v>
      </c>
      <c r="J67" s="9">
        <v>427</v>
      </c>
      <c r="K67" s="49">
        <f t="shared" si="4"/>
        <v>0.97798594847775178</v>
      </c>
      <c r="L67" s="22"/>
    </row>
    <row r="68" spans="1:13" ht="14.25" customHeight="1" x14ac:dyDescent="0.25">
      <c r="A68" s="67" t="s">
        <v>105</v>
      </c>
      <c r="B68" s="67"/>
      <c r="C68" s="67"/>
      <c r="D68" s="67"/>
      <c r="E68" s="67"/>
      <c r="F68" s="9" t="s">
        <v>18</v>
      </c>
      <c r="G68" s="9">
        <v>12</v>
      </c>
      <c r="H68" s="9">
        <v>2100</v>
      </c>
      <c r="I68" s="9">
        <f>25200*1.2%</f>
        <v>302.40000000000003</v>
      </c>
      <c r="J68" s="9">
        <v>427</v>
      </c>
      <c r="K68" s="49">
        <f t="shared" si="4"/>
        <v>0.70819672131147549</v>
      </c>
      <c r="L68" s="22"/>
    </row>
    <row r="69" spans="1:13" ht="23.25" customHeight="1" x14ac:dyDescent="0.25">
      <c r="A69" s="76" t="s">
        <v>106</v>
      </c>
      <c r="B69" s="77"/>
      <c r="C69" s="77"/>
      <c r="D69" s="77"/>
      <c r="E69" s="78"/>
      <c r="F69" s="9" t="s">
        <v>18</v>
      </c>
      <c r="G69" s="9">
        <v>12</v>
      </c>
      <c r="H69" s="9">
        <v>800</v>
      </c>
      <c r="I69" s="9">
        <f>9600*1.2%</f>
        <v>115.2</v>
      </c>
      <c r="J69" s="9">
        <v>427</v>
      </c>
      <c r="K69" s="9">
        <f t="shared" si="4"/>
        <v>0.26978922716627635</v>
      </c>
      <c r="L69" s="30"/>
    </row>
    <row r="70" spans="1:13" s="8" customFormat="1" ht="15.75" customHeight="1" x14ac:dyDescent="0.25">
      <c r="A70" s="68" t="s">
        <v>19</v>
      </c>
      <c r="B70" s="69"/>
      <c r="C70" s="69"/>
      <c r="D70" s="69"/>
      <c r="E70" s="69"/>
      <c r="F70" s="69"/>
      <c r="G70" s="69"/>
      <c r="H70" s="70"/>
      <c r="I70" s="3">
        <f>SUM(I66:I69)</f>
        <v>948.2976000000001</v>
      </c>
      <c r="J70" s="3">
        <f>F36</f>
        <v>427</v>
      </c>
      <c r="K70" s="3">
        <f>SUM(K66:K69)</f>
        <v>2.2208374707259955</v>
      </c>
      <c r="L70" s="22"/>
      <c r="M70" s="7"/>
    </row>
    <row r="72" spans="1:13" x14ac:dyDescent="0.25">
      <c r="A72" s="75" t="s">
        <v>89</v>
      </c>
      <c r="B72" s="75"/>
      <c r="C72" s="75"/>
      <c r="D72" s="75"/>
      <c r="E72" s="75"/>
      <c r="F72" s="75"/>
      <c r="G72" s="75"/>
      <c r="H72" s="75"/>
      <c r="I72" s="75"/>
      <c r="J72" s="75"/>
      <c r="K72" s="75"/>
      <c r="L72" s="75"/>
    </row>
    <row r="73" spans="1:13" ht="45" x14ac:dyDescent="0.25">
      <c r="A73" s="91" t="s">
        <v>20</v>
      </c>
      <c r="B73" s="92"/>
      <c r="C73" s="92"/>
      <c r="D73" s="92"/>
      <c r="E73" s="93"/>
      <c r="F73" s="51" t="s">
        <v>7</v>
      </c>
      <c r="G73" s="51" t="s">
        <v>59</v>
      </c>
      <c r="H73" s="51" t="s">
        <v>58</v>
      </c>
      <c r="I73" s="51" t="s">
        <v>64</v>
      </c>
      <c r="J73" s="51" t="s">
        <v>62</v>
      </c>
      <c r="K73" s="24" t="s">
        <v>63</v>
      </c>
      <c r="L73" s="31"/>
      <c r="M73" s="35"/>
    </row>
    <row r="74" spans="1:13" ht="34.5" customHeight="1" x14ac:dyDescent="0.25">
      <c r="A74" s="67" t="s">
        <v>21</v>
      </c>
      <c r="B74" s="67"/>
      <c r="C74" s="67"/>
      <c r="D74" s="67"/>
      <c r="E74" s="67"/>
      <c r="F74" s="36" t="s">
        <v>22</v>
      </c>
      <c r="G74" s="9">
        <v>2</v>
      </c>
      <c r="H74" s="37">
        <v>400</v>
      </c>
      <c r="I74" s="9">
        <f>9600*1.2%</f>
        <v>115.2</v>
      </c>
      <c r="J74" s="9">
        <v>427</v>
      </c>
      <c r="K74" s="49">
        <f>I74/J74</f>
        <v>0.26978922716627635</v>
      </c>
      <c r="L74" s="22"/>
      <c r="M74" s="30"/>
    </row>
    <row r="75" spans="1:13" ht="35.25" customHeight="1" x14ac:dyDescent="0.25">
      <c r="A75" s="79" t="s">
        <v>107</v>
      </c>
      <c r="B75" s="81"/>
      <c r="C75" s="81"/>
      <c r="D75" s="81"/>
      <c r="E75" s="82"/>
      <c r="F75" s="36" t="s">
        <v>22</v>
      </c>
      <c r="G75" s="9">
        <v>1</v>
      </c>
      <c r="H75" s="37"/>
      <c r="I75" s="9">
        <f>4200*1.2%</f>
        <v>50.4</v>
      </c>
      <c r="J75" s="9">
        <v>427</v>
      </c>
      <c r="K75" s="49">
        <f>I75/J75</f>
        <v>0.11803278688524591</v>
      </c>
      <c r="L75" s="22"/>
      <c r="M75" s="30"/>
    </row>
    <row r="76" spans="1:13" ht="35.25" customHeight="1" x14ac:dyDescent="0.25">
      <c r="A76" s="67" t="s">
        <v>90</v>
      </c>
      <c r="B76" s="67"/>
      <c r="C76" s="67"/>
      <c r="D76" s="67"/>
      <c r="E76" s="67"/>
      <c r="F76" s="36" t="s">
        <v>91</v>
      </c>
      <c r="G76" s="9">
        <v>9</v>
      </c>
      <c r="H76" s="37">
        <v>5000</v>
      </c>
      <c r="I76" s="9">
        <f>60000*1.2%</f>
        <v>720</v>
      </c>
      <c r="J76" s="9">
        <f>J74</f>
        <v>427</v>
      </c>
      <c r="K76" s="49">
        <f>I76/J76</f>
        <v>1.6861826697892273</v>
      </c>
      <c r="L76" s="22"/>
      <c r="M76" s="30"/>
    </row>
    <row r="77" spans="1:13" x14ac:dyDescent="0.25">
      <c r="A77" s="68" t="s">
        <v>23</v>
      </c>
      <c r="B77" s="69"/>
      <c r="C77" s="69"/>
      <c r="D77" s="69"/>
      <c r="E77" s="69"/>
      <c r="F77" s="69"/>
      <c r="G77" s="69"/>
      <c r="H77" s="70"/>
      <c r="I77" s="6">
        <f>SUM(I74:I76)</f>
        <v>885.6</v>
      </c>
      <c r="J77" s="6">
        <f>F36</f>
        <v>427</v>
      </c>
      <c r="K77" s="6">
        <f>SUM(K74:K76)</f>
        <v>2.0740046838407498</v>
      </c>
      <c r="L77" s="14"/>
      <c r="M77" s="30"/>
    </row>
    <row r="79" spans="1:13" x14ac:dyDescent="0.25">
      <c r="A79" s="75" t="s">
        <v>40</v>
      </c>
      <c r="B79" s="75"/>
      <c r="C79" s="75"/>
      <c r="D79" s="75"/>
      <c r="E79" s="75"/>
      <c r="F79" s="75"/>
      <c r="G79" s="75"/>
      <c r="H79" s="75"/>
      <c r="I79" s="75"/>
      <c r="J79" s="75"/>
      <c r="K79" s="75"/>
      <c r="L79" s="75"/>
    </row>
    <row r="80" spans="1:13" ht="57.75" customHeight="1" x14ac:dyDescent="0.25">
      <c r="A80" s="91" t="s">
        <v>5</v>
      </c>
      <c r="B80" s="92"/>
      <c r="C80" s="92"/>
      <c r="D80" s="92"/>
      <c r="E80" s="93"/>
      <c r="F80" s="51" t="s">
        <v>6</v>
      </c>
      <c r="G80" s="51" t="s">
        <v>1</v>
      </c>
      <c r="H80" s="51" t="s">
        <v>60</v>
      </c>
      <c r="I80" s="51" t="s">
        <v>61</v>
      </c>
      <c r="J80" s="51" t="s">
        <v>62</v>
      </c>
      <c r="K80" s="24" t="s">
        <v>63</v>
      </c>
      <c r="L80" s="31"/>
    </row>
    <row r="81" spans="1:13" hidden="1" x14ac:dyDescent="0.25">
      <c r="A81" s="67" t="s">
        <v>3</v>
      </c>
      <c r="B81" s="67"/>
      <c r="C81" s="67"/>
      <c r="D81" s="67"/>
      <c r="E81" s="67"/>
      <c r="F81" s="26">
        <f>'Услуга №1 '!F82</f>
        <v>15898</v>
      </c>
      <c r="G81" s="57">
        <v>1.2E-2</v>
      </c>
      <c r="H81" s="4">
        <f>F81*G81*12</f>
        <v>2289.3119999999999</v>
      </c>
      <c r="I81" s="9">
        <f>H81*1.302</f>
        <v>2980.6842240000001</v>
      </c>
      <c r="J81" s="9">
        <v>427</v>
      </c>
      <c r="K81" s="49">
        <f>I81/J81</f>
        <v>6.9805251147540988</v>
      </c>
      <c r="L81" s="22"/>
    </row>
    <row r="82" spans="1:13" ht="20.25" hidden="1" customHeight="1" x14ac:dyDescent="0.25">
      <c r="A82" s="67" t="s">
        <v>45</v>
      </c>
      <c r="B82" s="67"/>
      <c r="C82" s="67"/>
      <c r="D82" s="67"/>
      <c r="E82" s="67"/>
      <c r="F82" s="26">
        <f>'Услуга №1 '!F83</f>
        <v>14309</v>
      </c>
      <c r="G82" s="57">
        <v>1.2E-2</v>
      </c>
      <c r="H82" s="4">
        <f>F82*G82*12</f>
        <v>2060.4960000000001</v>
      </c>
      <c r="I82" s="9">
        <f>H82*1.302-0.01</f>
        <v>2682.7557919999999</v>
      </c>
      <c r="J82" s="9">
        <f>J81</f>
        <v>427</v>
      </c>
      <c r="K82" s="49">
        <f>I82/J82</f>
        <v>6.282800449648712</v>
      </c>
      <c r="L82" s="22"/>
    </row>
    <row r="83" spans="1:13" x14ac:dyDescent="0.25">
      <c r="A83" s="38" t="s">
        <v>24</v>
      </c>
      <c r="B83" s="38"/>
      <c r="C83" s="38"/>
      <c r="D83" s="38"/>
      <c r="E83" s="38"/>
      <c r="F83" s="48">
        <v>24165.599999999999</v>
      </c>
      <c r="G83" s="61">
        <f>SUM(G81:G82)</f>
        <v>2.4E-2</v>
      </c>
      <c r="H83" s="48">
        <f>F83*G83*12</f>
        <v>6959.6927999999989</v>
      </c>
      <c r="I83" s="6">
        <f>H83*1.302</f>
        <v>9061.5200255999989</v>
      </c>
      <c r="J83" s="6">
        <f>F36</f>
        <v>427</v>
      </c>
      <c r="K83" s="6">
        <f>I83/J83</f>
        <v>21.221358373770489</v>
      </c>
      <c r="L83" s="22"/>
    </row>
    <row r="84" spans="1:13" ht="10.5" customHeight="1" x14ac:dyDescent="0.25">
      <c r="F84" s="50"/>
      <c r="G84" s="50"/>
      <c r="H84" s="50"/>
      <c r="I84" s="50"/>
      <c r="J84" s="50"/>
      <c r="K84" s="50"/>
      <c r="L84" s="50"/>
    </row>
    <row r="85" spans="1:13" s="8" customFormat="1" x14ac:dyDescent="0.25">
      <c r="A85" s="71" t="s">
        <v>67</v>
      </c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2"/>
      <c r="M85" s="7"/>
    </row>
    <row r="86" spans="1:13" ht="49.5" customHeight="1" x14ac:dyDescent="0.25">
      <c r="A86" s="73" t="s">
        <v>69</v>
      </c>
      <c r="B86" s="73"/>
      <c r="C86" s="73"/>
      <c r="D86" s="73"/>
      <c r="E86" s="73"/>
      <c r="F86" s="51" t="s">
        <v>7</v>
      </c>
      <c r="G86" s="51" t="s">
        <v>59</v>
      </c>
      <c r="H86" s="51" t="s">
        <v>58</v>
      </c>
      <c r="I86" s="51" t="s">
        <v>64</v>
      </c>
      <c r="J86" s="51" t="s">
        <v>62</v>
      </c>
      <c r="K86" s="24" t="s">
        <v>63</v>
      </c>
      <c r="L86" s="31"/>
    </row>
    <row r="87" spans="1:13" ht="33" customHeight="1" x14ac:dyDescent="0.25">
      <c r="A87" s="76" t="s">
        <v>66</v>
      </c>
      <c r="B87" s="77"/>
      <c r="C87" s="77"/>
      <c r="D87" s="77"/>
      <c r="E87" s="78"/>
      <c r="F87" s="9" t="s">
        <v>25</v>
      </c>
      <c r="G87" s="9">
        <v>11</v>
      </c>
      <c r="H87" s="4">
        <v>5525.3</v>
      </c>
      <c r="I87" s="9">
        <f>60778.32*1.2%</f>
        <v>729.33983999999998</v>
      </c>
      <c r="J87" s="9">
        <v>427</v>
      </c>
      <c r="K87" s="49">
        <f>I87/J87</f>
        <v>1.7080558313817329</v>
      </c>
      <c r="L87" s="22"/>
    </row>
    <row r="88" spans="1:13" s="8" customFormat="1" x14ac:dyDescent="0.25">
      <c r="A88" s="68" t="s">
        <v>68</v>
      </c>
      <c r="B88" s="69"/>
      <c r="C88" s="69"/>
      <c r="D88" s="69"/>
      <c r="E88" s="69"/>
      <c r="F88" s="69"/>
      <c r="G88" s="69"/>
      <c r="H88" s="69"/>
      <c r="I88" s="6">
        <f>SUM(I87:I87)</f>
        <v>729.33983999999998</v>
      </c>
      <c r="J88" s="6">
        <f>F36</f>
        <v>427</v>
      </c>
      <c r="K88" s="6">
        <f>SUM(K87:K87)</f>
        <v>1.7080558313817329</v>
      </c>
      <c r="L88" s="22"/>
      <c r="M88" s="7"/>
    </row>
    <row r="89" spans="1:13" s="8" customFormat="1" x14ac:dyDescent="0.25">
      <c r="A89" s="40"/>
      <c r="B89" s="40"/>
      <c r="C89" s="40"/>
      <c r="D89" s="40"/>
      <c r="E89" s="40"/>
      <c r="F89" s="40"/>
      <c r="G89" s="40"/>
      <c r="H89" s="40"/>
      <c r="I89" s="14"/>
      <c r="J89" s="14"/>
      <c r="K89" s="14"/>
      <c r="L89" s="30"/>
      <c r="M89" s="7"/>
    </row>
    <row r="90" spans="1:13" s="8" customFormat="1" x14ac:dyDescent="0.25">
      <c r="A90" s="41"/>
      <c r="B90" s="41"/>
      <c r="C90" s="41"/>
      <c r="D90" s="41"/>
      <c r="E90" s="41"/>
      <c r="F90" s="41"/>
      <c r="G90" s="41"/>
      <c r="H90" s="41"/>
      <c r="I90" s="15"/>
      <c r="J90" s="15"/>
      <c r="K90" s="15"/>
      <c r="L90" s="30"/>
      <c r="M90" s="7"/>
    </row>
    <row r="91" spans="1:13" s="8" customFormat="1" x14ac:dyDescent="0.25">
      <c r="A91" s="71" t="s">
        <v>108</v>
      </c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2"/>
      <c r="M91" s="7"/>
    </row>
    <row r="92" spans="1:13" ht="49.5" customHeight="1" x14ac:dyDescent="0.25">
      <c r="A92" s="73" t="s">
        <v>69</v>
      </c>
      <c r="B92" s="73"/>
      <c r="C92" s="73"/>
      <c r="D92" s="73"/>
      <c r="E92" s="73"/>
      <c r="F92" s="51" t="s">
        <v>7</v>
      </c>
      <c r="G92" s="51" t="s">
        <v>59</v>
      </c>
      <c r="H92" s="51" t="s">
        <v>58</v>
      </c>
      <c r="I92" s="51" t="s">
        <v>64</v>
      </c>
      <c r="J92" s="51" t="s">
        <v>62</v>
      </c>
      <c r="K92" s="24" t="s">
        <v>63</v>
      </c>
      <c r="L92" s="31"/>
    </row>
    <row r="93" spans="1:13" x14ac:dyDescent="0.25">
      <c r="A93" s="67" t="s">
        <v>109</v>
      </c>
      <c r="B93" s="67"/>
      <c r="C93" s="67"/>
      <c r="D93" s="67"/>
      <c r="E93" s="67"/>
      <c r="F93" s="9"/>
      <c r="G93" s="9"/>
      <c r="H93" s="4"/>
      <c r="I93" s="9">
        <f>720*1.2%</f>
        <v>8.64</v>
      </c>
      <c r="J93" s="9">
        <v>427</v>
      </c>
      <c r="K93" s="49">
        <f>I93/J93</f>
        <v>2.0234192037470726E-2</v>
      </c>
      <c r="L93" s="22"/>
    </row>
    <row r="94" spans="1:13" s="8" customFormat="1" x14ac:dyDescent="0.25">
      <c r="A94" s="68" t="s">
        <v>110</v>
      </c>
      <c r="B94" s="69"/>
      <c r="C94" s="69"/>
      <c r="D94" s="69"/>
      <c r="E94" s="69"/>
      <c r="F94" s="69"/>
      <c r="G94" s="69"/>
      <c r="H94" s="69"/>
      <c r="I94" s="6">
        <f>SUM(I93:I93)</f>
        <v>8.64</v>
      </c>
      <c r="J94" s="6">
        <f>F36</f>
        <v>427</v>
      </c>
      <c r="K94" s="6">
        <f>SUM(K93:K93)</f>
        <v>2.0234192037470726E-2</v>
      </c>
      <c r="L94" s="22"/>
      <c r="M94" s="7"/>
    </row>
    <row r="95" spans="1:13" x14ac:dyDescent="0.25">
      <c r="F95" s="50"/>
      <c r="G95" s="50"/>
      <c r="H95" s="50"/>
      <c r="I95" s="50"/>
      <c r="J95" s="50"/>
      <c r="K95" s="50"/>
      <c r="L95" s="50"/>
    </row>
    <row r="96" spans="1:13" x14ac:dyDescent="0.25">
      <c r="F96" s="50"/>
      <c r="G96" s="50"/>
      <c r="H96" s="50"/>
      <c r="I96" s="50"/>
      <c r="J96" s="50"/>
      <c r="K96" s="50"/>
      <c r="L96" s="50"/>
    </row>
    <row r="97" spans="1:13" s="8" customFormat="1" x14ac:dyDescent="0.25">
      <c r="A97" s="71" t="s">
        <v>111</v>
      </c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2"/>
      <c r="M97" s="7"/>
    </row>
    <row r="98" spans="1:13" ht="49.5" customHeight="1" x14ac:dyDescent="0.25">
      <c r="A98" s="73" t="s">
        <v>69</v>
      </c>
      <c r="B98" s="73"/>
      <c r="C98" s="73"/>
      <c r="D98" s="73"/>
      <c r="E98" s="73"/>
      <c r="F98" s="51" t="s">
        <v>7</v>
      </c>
      <c r="G98" s="51" t="s">
        <v>59</v>
      </c>
      <c r="H98" s="51" t="s">
        <v>58</v>
      </c>
      <c r="I98" s="51" t="s">
        <v>64</v>
      </c>
      <c r="J98" s="51" t="s">
        <v>62</v>
      </c>
      <c r="K98" s="24" t="s">
        <v>63</v>
      </c>
      <c r="L98" s="31"/>
    </row>
    <row r="99" spans="1:13" x14ac:dyDescent="0.25">
      <c r="A99" s="67" t="s">
        <v>112</v>
      </c>
      <c r="B99" s="67"/>
      <c r="C99" s="67"/>
      <c r="D99" s="67"/>
      <c r="E99" s="67"/>
      <c r="F99" s="9"/>
      <c r="G99" s="9"/>
      <c r="H99" s="4"/>
      <c r="I99" s="9">
        <f>49300*1.2%</f>
        <v>591.6</v>
      </c>
      <c r="J99" s="9">
        <v>427</v>
      </c>
      <c r="K99" s="49">
        <f>I99/J99</f>
        <v>1.385480093676815</v>
      </c>
      <c r="L99" s="22"/>
    </row>
    <row r="100" spans="1:13" s="8" customFormat="1" x14ac:dyDescent="0.25">
      <c r="A100" s="68" t="s">
        <v>114</v>
      </c>
      <c r="B100" s="69"/>
      <c r="C100" s="69"/>
      <c r="D100" s="69"/>
      <c r="E100" s="69"/>
      <c r="F100" s="69"/>
      <c r="G100" s="69"/>
      <c r="H100" s="69"/>
      <c r="I100" s="6">
        <f>SUM(I99:I99)</f>
        <v>591.6</v>
      </c>
      <c r="J100" s="6"/>
      <c r="K100" s="6">
        <f>SUM(K99:K99)</f>
        <v>1.385480093676815</v>
      </c>
      <c r="L100" s="22"/>
      <c r="M100" s="7"/>
    </row>
    <row r="101" spans="1:13" s="8" customFormat="1" x14ac:dyDescent="0.25">
      <c r="A101" s="41"/>
      <c r="B101" s="41"/>
      <c r="C101" s="41"/>
      <c r="D101" s="41"/>
      <c r="E101" s="41"/>
      <c r="F101" s="41"/>
      <c r="G101" s="41"/>
      <c r="H101" s="41"/>
      <c r="I101" s="15"/>
      <c r="J101" s="15"/>
      <c r="K101" s="15"/>
      <c r="L101" s="30"/>
      <c r="M101" s="7"/>
    </row>
    <row r="102" spans="1:13" s="8" customFormat="1" x14ac:dyDescent="0.25">
      <c r="A102" s="71" t="s">
        <v>113</v>
      </c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2"/>
      <c r="M102" s="7"/>
    </row>
    <row r="103" spans="1:13" ht="49.5" customHeight="1" x14ac:dyDescent="0.25">
      <c r="A103" s="73" t="s">
        <v>69</v>
      </c>
      <c r="B103" s="73"/>
      <c r="C103" s="73"/>
      <c r="D103" s="73"/>
      <c r="E103" s="73"/>
      <c r="F103" s="51" t="s">
        <v>7</v>
      </c>
      <c r="G103" s="51" t="s">
        <v>59</v>
      </c>
      <c r="H103" s="51" t="s">
        <v>58</v>
      </c>
      <c r="I103" s="51" t="s">
        <v>64</v>
      </c>
      <c r="J103" s="51" t="s">
        <v>62</v>
      </c>
      <c r="K103" s="24" t="s">
        <v>63</v>
      </c>
      <c r="L103" s="31"/>
    </row>
    <row r="104" spans="1:13" x14ac:dyDescent="0.25">
      <c r="A104" s="67" t="s">
        <v>115</v>
      </c>
      <c r="B104" s="67"/>
      <c r="C104" s="67"/>
      <c r="D104" s="67"/>
      <c r="E104" s="67"/>
      <c r="F104" s="9"/>
      <c r="G104" s="9"/>
      <c r="H104" s="4"/>
      <c r="I104" s="9">
        <f>103090*1.2%</f>
        <v>1237.08</v>
      </c>
      <c r="J104" s="9">
        <v>427</v>
      </c>
      <c r="K104" s="49">
        <f>I104/J104</f>
        <v>2.8971428571428568</v>
      </c>
      <c r="L104" s="22"/>
    </row>
    <row r="105" spans="1:13" s="8" customFormat="1" x14ac:dyDescent="0.25">
      <c r="A105" s="68" t="s">
        <v>116</v>
      </c>
      <c r="B105" s="69"/>
      <c r="C105" s="69"/>
      <c r="D105" s="69"/>
      <c r="E105" s="69"/>
      <c r="F105" s="69"/>
      <c r="G105" s="69"/>
      <c r="H105" s="69"/>
      <c r="I105" s="6">
        <f>SUM(I104:I104)</f>
        <v>1237.08</v>
      </c>
      <c r="J105" s="6">
        <f>F36</f>
        <v>427</v>
      </c>
      <c r="K105" s="6">
        <f>SUM(K104:K104)</f>
        <v>2.8971428571428568</v>
      </c>
      <c r="L105" s="22"/>
      <c r="M105" s="7"/>
    </row>
    <row r="106" spans="1:13" s="8" customFormat="1" x14ac:dyDescent="0.25">
      <c r="A106" s="40"/>
      <c r="B106" s="40"/>
      <c r="C106" s="40"/>
      <c r="D106" s="40"/>
      <c r="E106" s="40"/>
      <c r="F106" s="40"/>
      <c r="G106" s="40"/>
      <c r="H106" s="40"/>
      <c r="I106" s="14"/>
      <c r="J106" s="14"/>
      <c r="K106" s="14"/>
      <c r="L106" s="30"/>
      <c r="M106" s="7"/>
    </row>
    <row r="107" spans="1:13" x14ac:dyDescent="0.25">
      <c r="A107" s="75" t="s">
        <v>26</v>
      </c>
      <c r="B107" s="75"/>
      <c r="C107" s="75"/>
      <c r="D107" s="75"/>
      <c r="E107" s="75"/>
      <c r="F107" s="75"/>
      <c r="G107" s="75"/>
      <c r="H107" s="75"/>
      <c r="I107" s="75"/>
      <c r="J107" s="75"/>
      <c r="K107" s="75"/>
      <c r="L107" s="75"/>
    </row>
    <row r="108" spans="1:13" hidden="1" x14ac:dyDescent="0.25"/>
    <row r="109" spans="1:13" ht="15" customHeight="1" x14ac:dyDescent="0.25">
      <c r="A109" s="90" t="s">
        <v>27</v>
      </c>
      <c r="B109" s="90"/>
      <c r="C109" s="90"/>
      <c r="D109" s="73" t="s">
        <v>28</v>
      </c>
      <c r="E109" s="73"/>
      <c r="F109" s="73"/>
      <c r="G109" s="73"/>
      <c r="H109" s="73"/>
      <c r="I109" s="73"/>
      <c r="J109" s="73"/>
      <c r="K109" s="90" t="s">
        <v>39</v>
      </c>
      <c r="L109" s="90"/>
    </row>
    <row r="110" spans="1:13" ht="30" x14ac:dyDescent="0.25">
      <c r="A110" s="9" t="s">
        <v>29</v>
      </c>
      <c r="B110" s="25" t="s">
        <v>30</v>
      </c>
      <c r="C110" s="9" t="s">
        <v>31</v>
      </c>
      <c r="D110" s="9" t="s">
        <v>32</v>
      </c>
      <c r="E110" s="9" t="s">
        <v>33</v>
      </c>
      <c r="F110" s="9" t="s">
        <v>34</v>
      </c>
      <c r="G110" s="9" t="s">
        <v>35</v>
      </c>
      <c r="H110" s="9" t="s">
        <v>36</v>
      </c>
      <c r="I110" s="9" t="s">
        <v>37</v>
      </c>
      <c r="J110" s="9" t="s">
        <v>38</v>
      </c>
      <c r="K110" s="90"/>
      <c r="L110" s="90"/>
    </row>
    <row r="111" spans="1:13" x14ac:dyDescent="0.25">
      <c r="A111" s="9">
        <f>K53</f>
        <v>173.31127270819675</v>
      </c>
      <c r="B111" s="9"/>
      <c r="C111" s="9">
        <v>0</v>
      </c>
      <c r="D111" s="9">
        <f>K62</f>
        <v>13.211148477751756</v>
      </c>
      <c r="E111" s="9">
        <f>K70</f>
        <v>2.2208374707259955</v>
      </c>
      <c r="F111" s="9"/>
      <c r="G111" s="9">
        <f>K77</f>
        <v>2.0740046838407498</v>
      </c>
      <c r="H111" s="9"/>
      <c r="I111" s="9">
        <f>K83</f>
        <v>21.221358373770489</v>
      </c>
      <c r="J111" s="9">
        <f>K94+K100+K105+K88</f>
        <v>6.0109129742388756</v>
      </c>
      <c r="K111" s="94">
        <f>SUM(A111:J111)</f>
        <v>218.0495346885246</v>
      </c>
      <c r="L111" s="95"/>
    </row>
    <row r="113" spans="1:12" x14ac:dyDescent="0.25">
      <c r="A113" s="42"/>
      <c r="B113" s="43"/>
      <c r="C113" s="44"/>
      <c r="D113" s="1"/>
      <c r="E113" s="1"/>
      <c r="F113" s="1"/>
    </row>
    <row r="114" spans="1:12" ht="15.75" x14ac:dyDescent="0.25">
      <c r="A114" s="16" t="s">
        <v>55</v>
      </c>
      <c r="B114" s="16"/>
      <c r="C114" s="16"/>
      <c r="D114" s="16"/>
      <c r="E114" s="16"/>
      <c r="F114" s="55"/>
      <c r="G114" s="55" t="s">
        <v>57</v>
      </c>
      <c r="H114" s="55"/>
      <c r="I114" s="12">
        <f>I53+I62+I70+I77+I88+I94+I100+I105+I83</f>
        <v>93107.151312000016</v>
      </c>
      <c r="L114" s="12">
        <f>K111*J104</f>
        <v>93107.151312000002</v>
      </c>
    </row>
    <row r="115" spans="1:12" ht="15.75" x14ac:dyDescent="0.25">
      <c r="A115" s="46"/>
      <c r="B115" s="16"/>
      <c r="C115" s="2"/>
      <c r="D115" s="2"/>
      <c r="E115" s="2"/>
      <c r="F115" s="2"/>
    </row>
    <row r="117" spans="1:12" ht="15.75" x14ac:dyDescent="0.25">
      <c r="A117" s="46" t="s">
        <v>117</v>
      </c>
      <c r="B117" s="16"/>
      <c r="C117" s="46"/>
      <c r="D117" s="16"/>
    </row>
    <row r="118" spans="1:12" ht="15.75" x14ac:dyDescent="0.25">
      <c r="A118" s="46" t="s">
        <v>56</v>
      </c>
      <c r="B118" s="16"/>
      <c r="C118" s="46"/>
      <c r="D118" s="16"/>
    </row>
  </sheetData>
  <mergeCells count="105">
    <mergeCell ref="K111:L111"/>
    <mergeCell ref="A103:E103"/>
    <mergeCell ref="A104:E104"/>
    <mergeCell ref="A105:H105"/>
    <mergeCell ref="A107:L107"/>
    <mergeCell ref="A109:C109"/>
    <mergeCell ref="D109:J109"/>
    <mergeCell ref="K109:L110"/>
    <mergeCell ref="A94:H94"/>
    <mergeCell ref="A97:L97"/>
    <mergeCell ref="A98:E98"/>
    <mergeCell ref="A99:E99"/>
    <mergeCell ref="A100:H100"/>
    <mergeCell ref="A102:L102"/>
    <mergeCell ref="A86:E86"/>
    <mergeCell ref="A87:E87"/>
    <mergeCell ref="A88:H88"/>
    <mergeCell ref="A91:L91"/>
    <mergeCell ref="A92:E92"/>
    <mergeCell ref="A93:E93"/>
    <mergeCell ref="A77:H77"/>
    <mergeCell ref="A79:L79"/>
    <mergeCell ref="A80:E80"/>
    <mergeCell ref="A81:E81"/>
    <mergeCell ref="A82:E82"/>
    <mergeCell ref="A85:L85"/>
    <mergeCell ref="A70:H70"/>
    <mergeCell ref="A72:L72"/>
    <mergeCell ref="A73:E73"/>
    <mergeCell ref="A74:E74"/>
    <mergeCell ref="A75:E75"/>
    <mergeCell ref="A76:E76"/>
    <mergeCell ref="A64:L64"/>
    <mergeCell ref="A65:E65"/>
    <mergeCell ref="A66:E66"/>
    <mergeCell ref="A67:E67"/>
    <mergeCell ref="A68:E68"/>
    <mergeCell ref="A69:E69"/>
    <mergeCell ref="A57:E57"/>
    <mergeCell ref="A58:E58"/>
    <mergeCell ref="A59:E59"/>
    <mergeCell ref="A60:E60"/>
    <mergeCell ref="A61:E61"/>
    <mergeCell ref="A62:H62"/>
    <mergeCell ref="A49:E49"/>
    <mergeCell ref="A50:E50"/>
    <mergeCell ref="A51:E51"/>
    <mergeCell ref="A52:E52"/>
    <mergeCell ref="A55:L55"/>
    <mergeCell ref="A56:E56"/>
    <mergeCell ref="A43:E43"/>
    <mergeCell ref="A44:E44"/>
    <mergeCell ref="A45:E45"/>
    <mergeCell ref="A46:E46"/>
    <mergeCell ref="A47:E47"/>
    <mergeCell ref="A48:E48"/>
    <mergeCell ref="A37:E37"/>
    <mergeCell ref="A38:E38"/>
    <mergeCell ref="A39:E39"/>
    <mergeCell ref="A40:E40"/>
    <mergeCell ref="A41:E41"/>
    <mergeCell ref="A42:E42"/>
    <mergeCell ref="A32:E32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21:E21"/>
    <mergeCell ref="G21:K21"/>
    <mergeCell ref="A22:E22"/>
    <mergeCell ref="G22:K22"/>
    <mergeCell ref="A17:E17"/>
    <mergeCell ref="G17:K17"/>
    <mergeCell ref="A18:E18"/>
    <mergeCell ref="G18:K18"/>
    <mergeCell ref="A19:E19"/>
    <mergeCell ref="G19:K19"/>
    <mergeCell ref="A4:E4"/>
    <mergeCell ref="A6:E6"/>
    <mergeCell ref="A8:L8"/>
    <mergeCell ref="A9:L9"/>
    <mergeCell ref="A10:L10"/>
    <mergeCell ref="A16:E16"/>
    <mergeCell ref="G16:K16"/>
    <mergeCell ref="A20:E20"/>
    <mergeCell ref="G20:K20"/>
  </mergeCells>
  <pageMargins left="0.7" right="0.7" top="0.75" bottom="0.75" header="0.3" footer="0.3"/>
  <pageSetup paperSize="9" scale="86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tabSelected="1" topLeftCell="A100" zoomScale="90" zoomScaleNormal="90" workbookViewId="0">
      <selection activeCell="I38" sqref="I38"/>
    </sheetView>
  </sheetViews>
  <sheetFormatPr defaultRowHeight="15" x14ac:dyDescent="0.25"/>
  <cols>
    <col min="1" max="3" width="9.140625" style="7" customWidth="1"/>
    <col min="4" max="4" width="12.42578125" style="7" customWidth="1"/>
    <col min="5" max="5" width="8.28515625" style="7" customWidth="1"/>
    <col min="6" max="6" width="12.42578125" style="7" customWidth="1"/>
    <col min="7" max="7" width="14.28515625" style="7" customWidth="1"/>
    <col min="8" max="8" width="17.42578125" style="7" customWidth="1"/>
    <col min="9" max="9" width="15.5703125" style="7" customWidth="1"/>
    <col min="10" max="10" width="12.85546875" style="7" customWidth="1"/>
    <col min="11" max="12" width="13.5703125" style="7" customWidth="1"/>
    <col min="13" max="13" width="14.5703125" style="7" customWidth="1"/>
    <col min="14" max="16384" width="9.140625" style="7"/>
  </cols>
  <sheetData>
    <row r="1" spans="1:12" ht="15.75" x14ac:dyDescent="0.25">
      <c r="A1" s="16" t="s">
        <v>51</v>
      </c>
      <c r="B1" s="16"/>
      <c r="C1" s="16"/>
    </row>
    <row r="2" spans="1:12" ht="15.75" x14ac:dyDescent="0.25">
      <c r="A2" s="17" t="s">
        <v>52</v>
      </c>
      <c r="B2" s="17"/>
      <c r="C2" s="17"/>
    </row>
    <row r="3" spans="1:12" ht="15.75" x14ac:dyDescent="0.25">
      <c r="A3" s="18"/>
      <c r="B3" s="18"/>
      <c r="C3" s="18"/>
    </row>
    <row r="4" spans="1:12" ht="15.75" x14ac:dyDescent="0.25">
      <c r="A4" s="86" t="s">
        <v>53</v>
      </c>
      <c r="B4" s="86"/>
      <c r="C4" s="86"/>
      <c r="D4" s="87"/>
      <c r="E4" s="87"/>
    </row>
    <row r="5" spans="1:12" ht="15.75" x14ac:dyDescent="0.25">
      <c r="A5" s="17"/>
      <c r="B5" s="17"/>
      <c r="C5" s="17"/>
    </row>
    <row r="6" spans="1:12" ht="15.75" x14ac:dyDescent="0.25">
      <c r="A6" s="88" t="s">
        <v>54</v>
      </c>
      <c r="B6" s="88"/>
      <c r="C6" s="88"/>
      <c r="D6" s="87"/>
      <c r="E6" s="87"/>
    </row>
    <row r="8" spans="1:12" ht="15.75" x14ac:dyDescent="0.25">
      <c r="A8" s="89" t="s">
        <v>50</v>
      </c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</row>
    <row r="9" spans="1:12" ht="15.75" x14ac:dyDescent="0.25">
      <c r="A9" s="89" t="s">
        <v>95</v>
      </c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</row>
    <row r="10" spans="1:12" ht="15.75" customHeight="1" x14ac:dyDescent="0.25">
      <c r="A10" s="89" t="s">
        <v>101</v>
      </c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</row>
    <row r="12" spans="1:12" x14ac:dyDescent="0.25">
      <c r="A12" s="19" t="s">
        <v>100</v>
      </c>
    </row>
    <row r="13" spans="1:12" x14ac:dyDescent="0.25">
      <c r="A13" s="19" t="s">
        <v>97</v>
      </c>
    </row>
    <row r="14" spans="1:12" hidden="1" x14ac:dyDescent="0.25">
      <c r="A14" s="19" t="s">
        <v>83</v>
      </c>
    </row>
    <row r="15" spans="1:12" x14ac:dyDescent="0.25">
      <c r="A15" s="19" t="s">
        <v>87</v>
      </c>
    </row>
    <row r="16" spans="1:12" x14ac:dyDescent="0.25">
      <c r="A16" s="19" t="s">
        <v>103</v>
      </c>
    </row>
    <row r="17" spans="1:12" ht="30" x14ac:dyDescent="0.25">
      <c r="A17" s="90" t="s">
        <v>0</v>
      </c>
      <c r="B17" s="90"/>
      <c r="C17" s="90"/>
      <c r="D17" s="90"/>
      <c r="E17" s="90"/>
      <c r="F17" s="20" t="s">
        <v>1</v>
      </c>
      <c r="G17" s="90" t="s">
        <v>2</v>
      </c>
      <c r="H17" s="90"/>
      <c r="I17" s="90"/>
      <c r="J17" s="90"/>
      <c r="K17" s="90"/>
      <c r="L17" s="9" t="s">
        <v>1</v>
      </c>
    </row>
    <row r="18" spans="1:12" x14ac:dyDescent="0.25">
      <c r="A18" s="76" t="s">
        <v>46</v>
      </c>
      <c r="B18" s="77"/>
      <c r="C18" s="77"/>
      <c r="D18" s="77"/>
      <c r="E18" s="78"/>
      <c r="F18" s="59">
        <v>1E-3</v>
      </c>
      <c r="G18" s="74" t="s">
        <v>3</v>
      </c>
      <c r="H18" s="74"/>
      <c r="I18" s="74"/>
      <c r="J18" s="74"/>
      <c r="K18" s="74"/>
      <c r="L18" s="57">
        <v>1E-3</v>
      </c>
    </row>
    <row r="19" spans="1:12" x14ac:dyDescent="0.25">
      <c r="A19" s="67" t="s">
        <v>98</v>
      </c>
      <c r="B19" s="67"/>
      <c r="C19" s="67"/>
      <c r="D19" s="67"/>
      <c r="E19" s="67"/>
      <c r="F19" s="59">
        <v>1E-3</v>
      </c>
      <c r="G19" s="74" t="s">
        <v>47</v>
      </c>
      <c r="H19" s="74"/>
      <c r="I19" s="74"/>
      <c r="J19" s="74"/>
      <c r="K19" s="74"/>
      <c r="L19" s="57">
        <v>1E-3</v>
      </c>
    </row>
    <row r="20" spans="1:12" x14ac:dyDescent="0.25">
      <c r="A20" s="67" t="s">
        <v>76</v>
      </c>
      <c r="B20" s="67"/>
      <c r="C20" s="67"/>
      <c r="D20" s="67"/>
      <c r="E20" s="67"/>
      <c r="F20" s="59">
        <v>1E-3</v>
      </c>
      <c r="G20" s="67"/>
      <c r="H20" s="67"/>
      <c r="I20" s="67"/>
      <c r="J20" s="67"/>
      <c r="K20" s="67"/>
      <c r="L20" s="57"/>
    </row>
    <row r="21" spans="1:12" x14ac:dyDescent="0.25">
      <c r="A21" s="67" t="s">
        <v>71</v>
      </c>
      <c r="B21" s="67"/>
      <c r="C21" s="67"/>
      <c r="D21" s="67"/>
      <c r="E21" s="67"/>
      <c r="F21" s="59">
        <v>1E-3</v>
      </c>
      <c r="G21" s="74"/>
      <c r="H21" s="74"/>
      <c r="I21" s="74"/>
      <c r="J21" s="74"/>
      <c r="K21" s="74"/>
      <c r="L21" s="57"/>
    </row>
    <row r="22" spans="1:12" x14ac:dyDescent="0.25">
      <c r="A22" s="67" t="s">
        <v>74</v>
      </c>
      <c r="B22" s="67"/>
      <c r="C22" s="67"/>
      <c r="D22" s="67"/>
      <c r="E22" s="67"/>
      <c r="F22" s="59">
        <v>5.0000000000000001E-4</v>
      </c>
      <c r="G22" s="74"/>
      <c r="H22" s="74"/>
      <c r="I22" s="74"/>
      <c r="J22" s="74"/>
      <c r="K22" s="74"/>
      <c r="L22" s="57"/>
    </row>
    <row r="23" spans="1:12" x14ac:dyDescent="0.25">
      <c r="A23" s="67" t="s">
        <v>78</v>
      </c>
      <c r="B23" s="67"/>
      <c r="C23" s="67"/>
      <c r="D23" s="67"/>
      <c r="E23" s="67"/>
      <c r="F23" s="59">
        <v>1E-3</v>
      </c>
      <c r="G23" s="74"/>
      <c r="H23" s="74"/>
      <c r="I23" s="74"/>
      <c r="J23" s="74"/>
      <c r="K23" s="74"/>
      <c r="L23" s="57"/>
    </row>
    <row r="24" spans="1:12" x14ac:dyDescent="0.25">
      <c r="A24" s="74" t="s">
        <v>41</v>
      </c>
      <c r="B24" s="74"/>
      <c r="C24" s="74"/>
      <c r="D24" s="74"/>
      <c r="E24" s="74"/>
      <c r="F24" s="59">
        <v>0.01</v>
      </c>
      <c r="G24" s="74"/>
      <c r="H24" s="74"/>
      <c r="I24" s="74"/>
      <c r="J24" s="74"/>
      <c r="K24" s="74"/>
      <c r="L24" s="57"/>
    </row>
    <row r="25" spans="1:12" x14ac:dyDescent="0.25">
      <c r="A25" s="79" t="s">
        <v>79</v>
      </c>
      <c r="B25" s="81"/>
      <c r="C25" s="81"/>
      <c r="D25" s="81"/>
      <c r="E25" s="82"/>
      <c r="F25" s="59">
        <v>0.01</v>
      </c>
      <c r="G25" s="74"/>
      <c r="H25" s="74"/>
      <c r="I25" s="74"/>
      <c r="J25" s="74"/>
      <c r="K25" s="74"/>
      <c r="L25" s="58"/>
    </row>
    <row r="26" spans="1:12" x14ac:dyDescent="0.25">
      <c r="A26" s="67" t="s">
        <v>70</v>
      </c>
      <c r="B26" s="67"/>
      <c r="C26" s="67"/>
      <c r="D26" s="67"/>
      <c r="E26" s="67"/>
      <c r="F26" s="59">
        <v>0.01</v>
      </c>
      <c r="G26" s="67"/>
      <c r="H26" s="67"/>
      <c r="I26" s="67"/>
      <c r="J26" s="67"/>
      <c r="K26" s="67"/>
      <c r="L26" s="57"/>
    </row>
    <row r="27" spans="1:12" x14ac:dyDescent="0.25">
      <c r="A27" s="67" t="s">
        <v>80</v>
      </c>
      <c r="B27" s="67"/>
      <c r="C27" s="67"/>
      <c r="D27" s="67"/>
      <c r="E27" s="67"/>
      <c r="F27" s="59">
        <v>0.01</v>
      </c>
      <c r="G27" s="67"/>
      <c r="H27" s="67"/>
      <c r="I27" s="67"/>
      <c r="J27" s="67"/>
      <c r="K27" s="67"/>
      <c r="L27" s="57"/>
    </row>
    <row r="28" spans="1:12" x14ac:dyDescent="0.25">
      <c r="A28" s="74" t="s">
        <v>48</v>
      </c>
      <c r="B28" s="74"/>
      <c r="C28" s="74"/>
      <c r="D28" s="74"/>
      <c r="E28" s="74"/>
      <c r="F28" s="59">
        <v>3.0000000000000001E-3</v>
      </c>
      <c r="G28" s="67"/>
      <c r="H28" s="67"/>
      <c r="I28" s="67"/>
      <c r="J28" s="67"/>
      <c r="K28" s="67"/>
      <c r="L28" s="57"/>
    </row>
    <row r="29" spans="1:12" x14ac:dyDescent="0.25">
      <c r="A29" s="74" t="s">
        <v>77</v>
      </c>
      <c r="B29" s="74"/>
      <c r="C29" s="74"/>
      <c r="D29" s="74"/>
      <c r="E29" s="74"/>
      <c r="F29" s="59">
        <v>2E-3</v>
      </c>
      <c r="G29" s="74"/>
      <c r="H29" s="74"/>
      <c r="I29" s="74"/>
      <c r="J29" s="74"/>
      <c r="K29" s="74"/>
      <c r="L29" s="58"/>
    </row>
    <row r="30" spans="1:12" x14ac:dyDescent="0.25">
      <c r="A30" s="74" t="s">
        <v>72</v>
      </c>
      <c r="B30" s="74"/>
      <c r="C30" s="74"/>
      <c r="D30" s="74"/>
      <c r="E30" s="74"/>
      <c r="F30" s="59">
        <v>1E-3</v>
      </c>
      <c r="G30" s="67"/>
      <c r="H30" s="67"/>
      <c r="I30" s="67"/>
      <c r="J30" s="67"/>
      <c r="K30" s="67"/>
      <c r="L30" s="57"/>
    </row>
    <row r="31" spans="1:12" ht="15" customHeight="1" x14ac:dyDescent="0.25">
      <c r="A31" s="74" t="s">
        <v>75</v>
      </c>
      <c r="B31" s="74"/>
      <c r="C31" s="74"/>
      <c r="D31" s="74"/>
      <c r="E31" s="74"/>
      <c r="F31" s="59">
        <v>2E-3</v>
      </c>
      <c r="G31" s="67"/>
      <c r="H31" s="67"/>
      <c r="I31" s="67"/>
      <c r="J31" s="67"/>
      <c r="K31" s="67"/>
      <c r="L31" s="57"/>
    </row>
    <row r="32" spans="1:12" x14ac:dyDescent="0.25">
      <c r="A32" s="74" t="s">
        <v>49</v>
      </c>
      <c r="B32" s="74"/>
      <c r="C32" s="74"/>
      <c r="D32" s="74"/>
      <c r="E32" s="74"/>
      <c r="F32" s="59">
        <v>1E-3</v>
      </c>
      <c r="G32" s="67"/>
      <c r="H32" s="67"/>
      <c r="I32" s="67"/>
      <c r="J32" s="67"/>
      <c r="K32" s="67"/>
      <c r="L32" s="57"/>
    </row>
    <row r="33" spans="1:12" hidden="1" x14ac:dyDescent="0.25">
      <c r="A33" s="79"/>
      <c r="B33" s="81"/>
      <c r="C33" s="81"/>
      <c r="D33" s="81"/>
      <c r="E33" s="82"/>
      <c r="F33" s="59"/>
      <c r="G33" s="67"/>
      <c r="H33" s="67"/>
      <c r="I33" s="67"/>
      <c r="J33" s="67"/>
      <c r="K33" s="67"/>
      <c r="L33" s="57"/>
    </row>
    <row r="34" spans="1:12" ht="9.75" hidden="1" customHeight="1" x14ac:dyDescent="0.25">
      <c r="A34" s="79"/>
      <c r="B34" s="81"/>
      <c r="C34" s="81"/>
      <c r="D34" s="81"/>
      <c r="E34" s="82"/>
      <c r="F34" s="59"/>
      <c r="G34" s="76"/>
      <c r="H34" s="77"/>
      <c r="I34" s="77"/>
      <c r="J34" s="77"/>
      <c r="K34" s="78"/>
      <c r="L34" s="57"/>
    </row>
    <row r="35" spans="1:12" x14ac:dyDescent="0.25">
      <c r="A35" s="73" t="s">
        <v>4</v>
      </c>
      <c r="B35" s="73"/>
      <c r="C35" s="73"/>
      <c r="D35" s="73"/>
      <c r="E35" s="73"/>
      <c r="F35" s="9">
        <f>SUM(F18:F34)</f>
        <v>5.4500000000000014E-2</v>
      </c>
      <c r="G35" s="73" t="s">
        <v>4</v>
      </c>
      <c r="H35" s="73"/>
      <c r="I35" s="73"/>
      <c r="J35" s="73"/>
      <c r="K35" s="73"/>
      <c r="L35" s="57">
        <f>SUM(L18:L34)</f>
        <v>2E-3</v>
      </c>
    </row>
    <row r="37" spans="1:12" x14ac:dyDescent="0.25">
      <c r="A37" s="19" t="s">
        <v>88</v>
      </c>
      <c r="F37" s="7">
        <v>38</v>
      </c>
    </row>
    <row r="38" spans="1:12" ht="60" x14ac:dyDescent="0.25">
      <c r="A38" s="91" t="s">
        <v>5</v>
      </c>
      <c r="B38" s="92"/>
      <c r="C38" s="92"/>
      <c r="D38" s="92"/>
      <c r="E38" s="93"/>
      <c r="F38" s="20" t="s">
        <v>6</v>
      </c>
      <c r="G38" s="20" t="s">
        <v>1</v>
      </c>
      <c r="H38" s="20" t="s">
        <v>60</v>
      </c>
      <c r="I38" s="20" t="s">
        <v>61</v>
      </c>
      <c r="J38" s="20" t="s">
        <v>62</v>
      </c>
      <c r="K38" s="62" t="s">
        <v>63</v>
      </c>
      <c r="L38" s="35"/>
    </row>
    <row r="39" spans="1:12" ht="30.75" hidden="1" customHeight="1" x14ac:dyDescent="0.25">
      <c r="A39" s="76" t="s">
        <v>46</v>
      </c>
      <c r="B39" s="77"/>
      <c r="C39" s="77"/>
      <c r="D39" s="77"/>
      <c r="E39" s="78"/>
      <c r="F39" s="26">
        <f>'Услуга №1 '!F39</f>
        <v>11538</v>
      </c>
      <c r="G39" s="9">
        <v>0.01</v>
      </c>
      <c r="H39" s="4">
        <f>G39*F39*12</f>
        <v>1384.56</v>
      </c>
      <c r="I39" s="4">
        <f>H39*1.302</f>
        <v>1802.69712</v>
      </c>
      <c r="J39" s="9">
        <f>F37</f>
        <v>38</v>
      </c>
      <c r="K39" s="9">
        <f>I39/J39</f>
        <v>47.439397894736842</v>
      </c>
      <c r="L39" s="30"/>
    </row>
    <row r="40" spans="1:12" ht="14.25" hidden="1" customHeight="1" x14ac:dyDescent="0.25">
      <c r="A40" s="67" t="s">
        <v>73</v>
      </c>
      <c r="B40" s="67"/>
      <c r="C40" s="67"/>
      <c r="D40" s="67"/>
      <c r="E40" s="67"/>
      <c r="F40" s="26">
        <f>'Услуга №1 '!F40</f>
        <v>11538</v>
      </c>
      <c r="G40" s="9">
        <v>0.01</v>
      </c>
      <c r="H40" s="4">
        <f t="shared" ref="H40:H53" si="0">G40*F40*12</f>
        <v>1384.56</v>
      </c>
      <c r="I40" s="4">
        <f t="shared" ref="I40:I53" si="1">H40*1.302</f>
        <v>1802.69712</v>
      </c>
      <c r="J40" s="9">
        <f>J44</f>
        <v>38</v>
      </c>
      <c r="K40" s="9">
        <f t="shared" ref="K40:K53" si="2">I40/J40</f>
        <v>47.439397894736842</v>
      </c>
      <c r="L40" s="30"/>
    </row>
    <row r="41" spans="1:12" ht="14.25" hidden="1" customHeight="1" x14ac:dyDescent="0.25">
      <c r="A41" s="67" t="s">
        <v>76</v>
      </c>
      <c r="B41" s="67"/>
      <c r="C41" s="67"/>
      <c r="D41" s="67"/>
      <c r="E41" s="67"/>
      <c r="F41" s="26">
        <f>'Услуга №1 '!F41</f>
        <v>11538</v>
      </c>
      <c r="G41" s="9">
        <v>0.01</v>
      </c>
      <c r="H41" s="4">
        <f t="shared" si="0"/>
        <v>1384.56</v>
      </c>
      <c r="I41" s="4">
        <f t="shared" si="1"/>
        <v>1802.69712</v>
      </c>
      <c r="J41" s="9">
        <f>J39</f>
        <v>38</v>
      </c>
      <c r="K41" s="9">
        <f t="shared" si="2"/>
        <v>47.439397894736842</v>
      </c>
      <c r="L41" s="30"/>
    </row>
    <row r="42" spans="1:12" ht="13.5" hidden="1" customHeight="1" x14ac:dyDescent="0.25">
      <c r="A42" s="67" t="s">
        <v>71</v>
      </c>
      <c r="B42" s="67"/>
      <c r="C42" s="67"/>
      <c r="D42" s="67"/>
      <c r="E42" s="67"/>
      <c r="F42" s="26">
        <f>'Услуга №1 '!F42</f>
        <v>8837</v>
      </c>
      <c r="G42" s="9">
        <v>0.01</v>
      </c>
      <c r="H42" s="4">
        <f t="shared" si="0"/>
        <v>1060.44</v>
      </c>
      <c r="I42" s="4">
        <f t="shared" si="1"/>
        <v>1380.6928800000001</v>
      </c>
      <c r="J42" s="9">
        <f>J39</f>
        <v>38</v>
      </c>
      <c r="K42" s="9">
        <f t="shared" si="2"/>
        <v>36.334023157894741</v>
      </c>
      <c r="L42" s="30"/>
    </row>
    <row r="43" spans="1:12" hidden="1" x14ac:dyDescent="0.25">
      <c r="A43" s="67" t="s">
        <v>74</v>
      </c>
      <c r="B43" s="67"/>
      <c r="C43" s="67"/>
      <c r="D43" s="67"/>
      <c r="E43" s="67"/>
      <c r="F43" s="26">
        <f>'Услуга №1 '!F43</f>
        <v>4418.5</v>
      </c>
      <c r="G43" s="9">
        <v>5.0000000000000001E-3</v>
      </c>
      <c r="H43" s="4">
        <f t="shared" si="0"/>
        <v>265.11</v>
      </c>
      <c r="I43" s="4">
        <f t="shared" si="1"/>
        <v>345.17322000000001</v>
      </c>
      <c r="J43" s="9">
        <f>J41</f>
        <v>38</v>
      </c>
      <c r="K43" s="9">
        <f t="shared" si="2"/>
        <v>9.0835057894736853</v>
      </c>
      <c r="L43" s="30"/>
    </row>
    <row r="44" spans="1:12" hidden="1" x14ac:dyDescent="0.25">
      <c r="A44" s="67" t="s">
        <v>78</v>
      </c>
      <c r="B44" s="67"/>
      <c r="C44" s="67"/>
      <c r="D44" s="67"/>
      <c r="E44" s="67"/>
      <c r="F44" s="26">
        <f>'Услуга №1 '!F44</f>
        <v>8837</v>
      </c>
      <c r="G44" s="9">
        <v>0.01</v>
      </c>
      <c r="H44" s="4">
        <f t="shared" si="0"/>
        <v>1060.44</v>
      </c>
      <c r="I44" s="4">
        <f t="shared" si="1"/>
        <v>1380.6928800000001</v>
      </c>
      <c r="J44" s="9">
        <f>J41</f>
        <v>38</v>
      </c>
      <c r="K44" s="9">
        <f t="shared" si="2"/>
        <v>36.334023157894741</v>
      </c>
      <c r="L44" s="30"/>
    </row>
    <row r="45" spans="1:12" ht="15" hidden="1" customHeight="1" x14ac:dyDescent="0.25">
      <c r="A45" s="74" t="s">
        <v>41</v>
      </c>
      <c r="B45" s="74"/>
      <c r="C45" s="74"/>
      <c r="D45" s="74"/>
      <c r="E45" s="74"/>
      <c r="F45" s="9">
        <f>'Услуга №1 '!F45</f>
        <v>6556</v>
      </c>
      <c r="G45" s="9">
        <v>0.01</v>
      </c>
      <c r="H45" s="4">
        <f t="shared" si="0"/>
        <v>786.72</v>
      </c>
      <c r="I45" s="4">
        <f t="shared" si="1"/>
        <v>1024.30944</v>
      </c>
      <c r="J45" s="9">
        <f>J43</f>
        <v>38</v>
      </c>
      <c r="K45" s="9">
        <f t="shared" si="2"/>
        <v>26.95551157894737</v>
      </c>
      <c r="L45" s="30"/>
    </row>
    <row r="46" spans="1:12" hidden="1" x14ac:dyDescent="0.25">
      <c r="A46" s="79" t="s">
        <v>79</v>
      </c>
      <c r="B46" s="81"/>
      <c r="C46" s="81"/>
      <c r="D46" s="81"/>
      <c r="E46" s="82"/>
      <c r="F46" s="9">
        <f>'Услуга №1 '!F46</f>
        <v>3933</v>
      </c>
      <c r="G46" s="9">
        <v>0.01</v>
      </c>
      <c r="H46" s="4">
        <f t="shared" si="0"/>
        <v>471.96</v>
      </c>
      <c r="I46" s="4">
        <f t="shared" si="1"/>
        <v>614.49192000000005</v>
      </c>
      <c r="J46" s="9">
        <f>J43</f>
        <v>38</v>
      </c>
      <c r="K46" s="9">
        <f t="shared" si="2"/>
        <v>16.170840000000002</v>
      </c>
      <c r="L46" s="30"/>
    </row>
    <row r="47" spans="1:12" ht="15.75" hidden="1" customHeight="1" x14ac:dyDescent="0.25">
      <c r="A47" s="67" t="s">
        <v>70</v>
      </c>
      <c r="B47" s="67"/>
      <c r="C47" s="67"/>
      <c r="D47" s="67"/>
      <c r="E47" s="67"/>
      <c r="F47" s="9">
        <f>'Услуга №1 '!F47</f>
        <v>4496</v>
      </c>
      <c r="G47" s="9">
        <v>0.01</v>
      </c>
      <c r="H47" s="4">
        <f t="shared" si="0"/>
        <v>539.52</v>
      </c>
      <c r="I47" s="4">
        <f t="shared" si="1"/>
        <v>702.45504000000005</v>
      </c>
      <c r="J47" s="9">
        <f>J44</f>
        <v>38</v>
      </c>
      <c r="K47" s="9">
        <f t="shared" si="2"/>
        <v>18.485658947368421</v>
      </c>
      <c r="L47" s="30"/>
    </row>
    <row r="48" spans="1:12" hidden="1" x14ac:dyDescent="0.25">
      <c r="A48" s="67" t="s">
        <v>80</v>
      </c>
      <c r="B48" s="67"/>
      <c r="C48" s="67"/>
      <c r="D48" s="67"/>
      <c r="E48" s="67"/>
      <c r="F48" s="9">
        <f>'Услуга №1 '!F48</f>
        <v>11538</v>
      </c>
      <c r="G48" s="9">
        <v>0.01</v>
      </c>
      <c r="H48" s="4">
        <f t="shared" si="0"/>
        <v>1384.56</v>
      </c>
      <c r="I48" s="4">
        <f t="shared" si="1"/>
        <v>1802.69712</v>
      </c>
      <c r="J48" s="9">
        <f>J45</f>
        <v>38</v>
      </c>
      <c r="K48" s="9">
        <f t="shared" si="2"/>
        <v>47.439397894736842</v>
      </c>
      <c r="L48" s="30"/>
    </row>
    <row r="49" spans="1:13" ht="15" hidden="1" customHeight="1" x14ac:dyDescent="0.25">
      <c r="A49" s="74" t="s">
        <v>48</v>
      </c>
      <c r="B49" s="74"/>
      <c r="C49" s="74"/>
      <c r="D49" s="74"/>
      <c r="E49" s="74"/>
      <c r="F49" s="9">
        <f>'Услуга №1 '!F49</f>
        <v>11538</v>
      </c>
      <c r="G49" s="9">
        <v>3.0000000000000001E-3</v>
      </c>
      <c r="H49" s="4">
        <f t="shared" si="0"/>
        <v>415.36799999999994</v>
      </c>
      <c r="I49" s="4">
        <f t="shared" si="1"/>
        <v>540.80913599999997</v>
      </c>
      <c r="J49" s="9">
        <f>J45</f>
        <v>38</v>
      </c>
      <c r="K49" s="9">
        <f t="shared" si="2"/>
        <v>14.231819368421052</v>
      </c>
      <c r="L49" s="30"/>
    </row>
    <row r="50" spans="1:13" ht="15" hidden="1" customHeight="1" x14ac:dyDescent="0.25">
      <c r="A50" s="74" t="s">
        <v>77</v>
      </c>
      <c r="B50" s="74"/>
      <c r="C50" s="74"/>
      <c r="D50" s="74"/>
      <c r="E50" s="74"/>
      <c r="F50" s="9">
        <f>'Услуга №1 '!F50</f>
        <v>6556</v>
      </c>
      <c r="G50" s="9">
        <v>0.01</v>
      </c>
      <c r="H50" s="4">
        <f t="shared" si="0"/>
        <v>786.72</v>
      </c>
      <c r="I50" s="4">
        <f t="shared" si="1"/>
        <v>1024.30944</v>
      </c>
      <c r="J50" s="9">
        <f>J48</f>
        <v>38</v>
      </c>
      <c r="K50" s="9">
        <f t="shared" si="2"/>
        <v>26.95551157894737</v>
      </c>
      <c r="L50" s="30"/>
    </row>
    <row r="51" spans="1:13" ht="17.25" hidden="1" customHeight="1" x14ac:dyDescent="0.25">
      <c r="A51" s="74" t="s">
        <v>72</v>
      </c>
      <c r="B51" s="74"/>
      <c r="C51" s="74"/>
      <c r="D51" s="74"/>
      <c r="E51" s="74"/>
      <c r="F51" s="26">
        <f>'Услуга №1 '!F51</f>
        <v>11538</v>
      </c>
      <c r="G51" s="9">
        <v>0.01</v>
      </c>
      <c r="H51" s="4">
        <f t="shared" si="0"/>
        <v>1384.56</v>
      </c>
      <c r="I51" s="4">
        <f t="shared" si="1"/>
        <v>1802.69712</v>
      </c>
      <c r="J51" s="9">
        <f>J49</f>
        <v>38</v>
      </c>
      <c r="K51" s="9">
        <f t="shared" si="2"/>
        <v>47.439397894736842</v>
      </c>
      <c r="L51" s="30"/>
    </row>
    <row r="52" spans="1:13" ht="15" hidden="1" customHeight="1" x14ac:dyDescent="0.25">
      <c r="A52" s="74" t="s">
        <v>75</v>
      </c>
      <c r="B52" s="74"/>
      <c r="C52" s="74"/>
      <c r="D52" s="74"/>
      <c r="E52" s="74"/>
      <c r="F52" s="26">
        <f>'Услуга №1 '!F52</f>
        <v>8837</v>
      </c>
      <c r="G52" s="9">
        <v>2E-3</v>
      </c>
      <c r="H52" s="4">
        <f t="shared" si="0"/>
        <v>212.08799999999999</v>
      </c>
      <c r="I52" s="4">
        <f t="shared" si="1"/>
        <v>276.138576</v>
      </c>
      <c r="J52" s="9">
        <f>J51</f>
        <v>38</v>
      </c>
      <c r="K52" s="9">
        <f t="shared" si="2"/>
        <v>7.266804631578947</v>
      </c>
      <c r="L52" s="30"/>
    </row>
    <row r="53" spans="1:13" ht="15" hidden="1" customHeight="1" x14ac:dyDescent="0.25">
      <c r="A53" s="74" t="s">
        <v>49</v>
      </c>
      <c r="B53" s="74"/>
      <c r="C53" s="74"/>
      <c r="D53" s="74"/>
      <c r="E53" s="74"/>
      <c r="F53" s="26">
        <f>'Услуга №1 '!F53</f>
        <v>11538</v>
      </c>
      <c r="G53" s="9">
        <v>0.01</v>
      </c>
      <c r="H53" s="4">
        <f t="shared" si="0"/>
        <v>1384.56</v>
      </c>
      <c r="I53" s="4">
        <f t="shared" si="1"/>
        <v>1802.69712</v>
      </c>
      <c r="J53" s="9">
        <f>J52</f>
        <v>38</v>
      </c>
      <c r="K53" s="9">
        <f t="shared" si="2"/>
        <v>47.439397894736842</v>
      </c>
      <c r="L53" s="30"/>
    </row>
    <row r="54" spans="1:13" s="8" customFormat="1" ht="14.25" customHeight="1" x14ac:dyDescent="0.25">
      <c r="A54" s="27" t="s">
        <v>82</v>
      </c>
      <c r="B54" s="28"/>
      <c r="C54" s="28"/>
      <c r="D54" s="28"/>
      <c r="E54" s="28"/>
      <c r="F54" s="3">
        <v>7894.26</v>
      </c>
      <c r="G54" s="3">
        <f>F35</f>
        <v>5.4500000000000014E-2</v>
      </c>
      <c r="H54" s="3">
        <v>4736.5600000000004</v>
      </c>
      <c r="I54" s="3">
        <f>(H54*1.302)</f>
        <v>6167.0011200000008</v>
      </c>
      <c r="J54" s="48">
        <f>J53</f>
        <v>38</v>
      </c>
      <c r="K54" s="3">
        <f>I54/J54</f>
        <v>162.28950315789476</v>
      </c>
      <c r="L54" s="30"/>
      <c r="M54" s="7"/>
    </row>
    <row r="55" spans="1:13" x14ac:dyDescent="0.25">
      <c r="A55" s="29"/>
      <c r="B55" s="29"/>
      <c r="C55" s="29"/>
      <c r="D55" s="29"/>
      <c r="E55" s="29"/>
      <c r="F55" s="30"/>
      <c r="G55" s="30"/>
      <c r="H55" s="30"/>
      <c r="I55" s="30"/>
      <c r="J55" s="30"/>
      <c r="K55" s="30"/>
      <c r="L55" s="30"/>
    </row>
    <row r="56" spans="1:13" ht="12" customHeight="1" x14ac:dyDescent="0.25"/>
    <row r="57" spans="1:13" ht="18" customHeight="1" x14ac:dyDescent="0.25">
      <c r="A57" s="75" t="s">
        <v>8</v>
      </c>
      <c r="B57" s="75"/>
      <c r="C57" s="75"/>
      <c r="D57" s="75"/>
      <c r="E57" s="75"/>
      <c r="F57" s="75"/>
      <c r="G57" s="75"/>
      <c r="H57" s="75"/>
      <c r="I57" s="75"/>
      <c r="J57" s="75"/>
      <c r="K57" s="75"/>
      <c r="L57" s="75"/>
    </row>
    <row r="58" spans="1:13" ht="45" x14ac:dyDescent="0.25">
      <c r="A58" s="73" t="s">
        <v>9</v>
      </c>
      <c r="B58" s="73"/>
      <c r="C58" s="73"/>
      <c r="D58" s="73"/>
      <c r="E58" s="73"/>
      <c r="F58" s="20" t="s">
        <v>7</v>
      </c>
      <c r="G58" s="20" t="s">
        <v>59</v>
      </c>
      <c r="H58" s="20" t="s">
        <v>58</v>
      </c>
      <c r="I58" s="20" t="s">
        <v>64</v>
      </c>
      <c r="J58" s="20" t="s">
        <v>62</v>
      </c>
      <c r="K58" s="24" t="s">
        <v>63</v>
      </c>
      <c r="L58" s="31"/>
    </row>
    <row r="59" spans="1:13" x14ac:dyDescent="0.25">
      <c r="A59" s="79" t="s">
        <v>42</v>
      </c>
      <c r="B59" s="81"/>
      <c r="C59" s="81"/>
      <c r="D59" s="81"/>
      <c r="E59" s="82"/>
      <c r="F59" s="25" t="s">
        <v>43</v>
      </c>
      <c r="G59" s="25">
        <v>35000</v>
      </c>
      <c r="H59" s="25">
        <v>4.5</v>
      </c>
      <c r="I59" s="32">
        <f>157500*0.1%</f>
        <v>157.5</v>
      </c>
      <c r="J59" s="9">
        <v>38</v>
      </c>
      <c r="K59" s="33">
        <f>I59/J59</f>
        <v>4.1447368421052628</v>
      </c>
      <c r="L59" s="31"/>
    </row>
    <row r="60" spans="1:13" x14ac:dyDescent="0.25">
      <c r="A60" s="67" t="s">
        <v>10</v>
      </c>
      <c r="B60" s="67"/>
      <c r="C60" s="67"/>
      <c r="D60" s="67"/>
      <c r="E60" s="67"/>
      <c r="F60" s="9" t="s">
        <v>13</v>
      </c>
      <c r="G60" s="9">
        <v>160</v>
      </c>
      <c r="H60" s="9">
        <v>1690.46</v>
      </c>
      <c r="I60" s="32">
        <f>270474.6*0.1%</f>
        <v>270.47460000000001</v>
      </c>
      <c r="J60" s="9">
        <f>J59</f>
        <v>38</v>
      </c>
      <c r="K60" s="33">
        <f t="shared" ref="K60:K63" si="3">I60/J60</f>
        <v>7.1177526315789477</v>
      </c>
      <c r="L60" s="22"/>
    </row>
    <row r="61" spans="1:13" x14ac:dyDescent="0.25">
      <c r="A61" s="67" t="s">
        <v>11</v>
      </c>
      <c r="B61" s="67"/>
      <c r="C61" s="67"/>
      <c r="D61" s="67"/>
      <c r="E61" s="67"/>
      <c r="F61" s="9" t="s">
        <v>14</v>
      </c>
      <c r="G61" s="9">
        <v>200</v>
      </c>
      <c r="H61" s="9">
        <v>40.96</v>
      </c>
      <c r="I61" s="32">
        <f>8192*0.1%</f>
        <v>8.1920000000000002</v>
      </c>
      <c r="J61" s="9">
        <f>J60</f>
        <v>38</v>
      </c>
      <c r="K61" s="33">
        <f t="shared" si="3"/>
        <v>0.21557894736842106</v>
      </c>
      <c r="L61" s="22"/>
    </row>
    <row r="62" spans="1:13" x14ac:dyDescent="0.25">
      <c r="A62" s="67" t="s">
        <v>12</v>
      </c>
      <c r="B62" s="67"/>
      <c r="C62" s="67"/>
      <c r="D62" s="67"/>
      <c r="E62" s="67"/>
      <c r="F62" s="9" t="s">
        <v>14</v>
      </c>
      <c r="G62" s="9">
        <v>200</v>
      </c>
      <c r="H62" s="9">
        <v>59.65</v>
      </c>
      <c r="I62" s="32">
        <f>11930*0.1%</f>
        <v>11.93</v>
      </c>
      <c r="J62" s="9">
        <f>J60</f>
        <v>38</v>
      </c>
      <c r="K62" s="33">
        <f t="shared" si="3"/>
        <v>0.31394736842105264</v>
      </c>
      <c r="L62" s="22"/>
    </row>
    <row r="63" spans="1:13" x14ac:dyDescent="0.25">
      <c r="A63" s="79" t="s">
        <v>17</v>
      </c>
      <c r="B63" s="80"/>
      <c r="C63" s="80"/>
      <c r="D63" s="80"/>
      <c r="E63" s="80"/>
      <c r="F63" s="9" t="s">
        <v>14</v>
      </c>
      <c r="G63" s="9">
        <v>12</v>
      </c>
      <c r="H63" s="9">
        <v>1833.34</v>
      </c>
      <c r="I63" s="34">
        <f>22000.1*0.1%</f>
        <v>22.0001</v>
      </c>
      <c r="J63" s="9">
        <f>J61</f>
        <v>38</v>
      </c>
      <c r="K63" s="33">
        <f t="shared" si="3"/>
        <v>0.57894999999999996</v>
      </c>
      <c r="L63" s="22"/>
    </row>
    <row r="64" spans="1:13" s="8" customFormat="1" ht="15" customHeight="1" x14ac:dyDescent="0.25">
      <c r="A64" s="83" t="s">
        <v>15</v>
      </c>
      <c r="B64" s="84"/>
      <c r="C64" s="84"/>
      <c r="D64" s="84"/>
      <c r="E64" s="84"/>
      <c r="F64" s="84"/>
      <c r="G64" s="84"/>
      <c r="H64" s="85"/>
      <c r="I64" s="5">
        <f>SUM(I59:I63)</f>
        <v>470.0967</v>
      </c>
      <c r="J64" s="48">
        <f>J62</f>
        <v>38</v>
      </c>
      <c r="K64" s="5">
        <f>I64/J64</f>
        <v>12.370965789473685</v>
      </c>
      <c r="L64" s="22"/>
      <c r="M64" s="7"/>
    </row>
    <row r="66" spans="1:13" x14ac:dyDescent="0.25">
      <c r="A66" s="75" t="s">
        <v>16</v>
      </c>
      <c r="B66" s="75"/>
      <c r="C66" s="75"/>
      <c r="D66" s="75"/>
      <c r="E66" s="75"/>
      <c r="F66" s="75"/>
      <c r="G66" s="75"/>
      <c r="H66" s="75"/>
      <c r="I66" s="75"/>
      <c r="J66" s="75"/>
      <c r="K66" s="75"/>
      <c r="L66" s="75"/>
    </row>
    <row r="67" spans="1:13" ht="45" x14ac:dyDescent="0.25">
      <c r="A67" s="73" t="s">
        <v>20</v>
      </c>
      <c r="B67" s="73"/>
      <c r="C67" s="73"/>
      <c r="D67" s="73"/>
      <c r="E67" s="73"/>
      <c r="F67" s="25" t="s">
        <v>7</v>
      </c>
      <c r="G67" s="25" t="s">
        <v>59</v>
      </c>
      <c r="H67" s="25" t="s">
        <v>58</v>
      </c>
      <c r="I67" s="25" t="s">
        <v>64</v>
      </c>
      <c r="J67" s="25" t="s">
        <v>62</v>
      </c>
      <c r="K67" s="33" t="s">
        <v>63</v>
      </c>
      <c r="L67" s="31"/>
    </row>
    <row r="68" spans="1:13" ht="14.25" customHeight="1" x14ac:dyDescent="0.25">
      <c r="A68" s="67" t="s">
        <v>44</v>
      </c>
      <c r="B68" s="67"/>
      <c r="C68" s="67"/>
      <c r="D68" s="67"/>
      <c r="E68" s="67"/>
      <c r="F68" s="9" t="s">
        <v>18</v>
      </c>
      <c r="G68" s="9">
        <v>12</v>
      </c>
      <c r="H68" s="9">
        <v>785.4</v>
      </c>
      <c r="I68" s="9">
        <f>9424.8*0.1%</f>
        <v>9.4247999999999994</v>
      </c>
      <c r="J68" s="9">
        <v>38</v>
      </c>
      <c r="K68" s="21">
        <f t="shared" ref="K68:K71" si="4">I68/J68</f>
        <v>0.24802105263157892</v>
      </c>
      <c r="L68" s="22"/>
    </row>
    <row r="69" spans="1:13" ht="14.25" customHeight="1" x14ac:dyDescent="0.25">
      <c r="A69" s="67" t="s">
        <v>104</v>
      </c>
      <c r="B69" s="67"/>
      <c r="C69" s="67"/>
      <c r="D69" s="67"/>
      <c r="E69" s="67"/>
      <c r="F69" s="9" t="s">
        <v>18</v>
      </c>
      <c r="G69" s="9">
        <v>12</v>
      </c>
      <c r="H69" s="9">
        <v>2900</v>
      </c>
      <c r="I69" s="9">
        <f>34800*0.1%</f>
        <v>34.800000000000004</v>
      </c>
      <c r="J69" s="9">
        <v>38</v>
      </c>
      <c r="K69" s="21">
        <f t="shared" si="4"/>
        <v>0.9157894736842106</v>
      </c>
      <c r="L69" s="22"/>
    </row>
    <row r="70" spans="1:13" ht="14.25" customHeight="1" x14ac:dyDescent="0.25">
      <c r="A70" s="67" t="s">
        <v>105</v>
      </c>
      <c r="B70" s="67"/>
      <c r="C70" s="67"/>
      <c r="D70" s="67"/>
      <c r="E70" s="67"/>
      <c r="F70" s="9" t="s">
        <v>18</v>
      </c>
      <c r="G70" s="9">
        <v>12</v>
      </c>
      <c r="H70" s="9">
        <v>2100</v>
      </c>
      <c r="I70" s="9">
        <f>25200*0.1%</f>
        <v>25.2</v>
      </c>
      <c r="J70" s="9">
        <v>38</v>
      </c>
      <c r="K70" s="21">
        <f t="shared" si="4"/>
        <v>0.66315789473684206</v>
      </c>
      <c r="L70" s="22"/>
    </row>
    <row r="71" spans="1:13" ht="23.25" customHeight="1" x14ac:dyDescent="0.25">
      <c r="A71" s="76" t="s">
        <v>106</v>
      </c>
      <c r="B71" s="77"/>
      <c r="C71" s="77"/>
      <c r="D71" s="77"/>
      <c r="E71" s="78"/>
      <c r="F71" s="9" t="s">
        <v>18</v>
      </c>
      <c r="G71" s="9">
        <v>12</v>
      </c>
      <c r="H71" s="9">
        <v>800</v>
      </c>
      <c r="I71" s="9">
        <f>9600*0.1%</f>
        <v>9.6</v>
      </c>
      <c r="J71" s="9">
        <v>38</v>
      </c>
      <c r="K71" s="9">
        <f t="shared" si="4"/>
        <v>0.25263157894736843</v>
      </c>
      <c r="L71" s="30"/>
    </row>
    <row r="72" spans="1:13" s="8" customFormat="1" ht="15.75" customHeight="1" x14ac:dyDescent="0.25">
      <c r="A72" s="68" t="s">
        <v>19</v>
      </c>
      <c r="B72" s="69"/>
      <c r="C72" s="69"/>
      <c r="D72" s="69"/>
      <c r="E72" s="69"/>
      <c r="F72" s="69"/>
      <c r="G72" s="69"/>
      <c r="H72" s="70"/>
      <c r="I72" s="3">
        <f>SUM(I68:I71)</f>
        <v>79.024799999999999</v>
      </c>
      <c r="J72" s="3">
        <f>F37</f>
        <v>38</v>
      </c>
      <c r="K72" s="3">
        <f>SUM(K68:K71)</f>
        <v>2.0795999999999997</v>
      </c>
      <c r="L72" s="22"/>
      <c r="M72" s="7"/>
    </row>
    <row r="74" spans="1:13" x14ac:dyDescent="0.25">
      <c r="A74" s="75" t="s">
        <v>89</v>
      </c>
      <c r="B74" s="75"/>
      <c r="C74" s="75"/>
      <c r="D74" s="75"/>
      <c r="E74" s="75"/>
      <c r="F74" s="75"/>
      <c r="G74" s="75"/>
      <c r="H74" s="75"/>
      <c r="I74" s="75"/>
      <c r="J74" s="75"/>
      <c r="K74" s="75"/>
      <c r="L74" s="75"/>
    </row>
    <row r="75" spans="1:13" ht="45" x14ac:dyDescent="0.25">
      <c r="A75" s="91" t="s">
        <v>20</v>
      </c>
      <c r="B75" s="92"/>
      <c r="C75" s="92"/>
      <c r="D75" s="92"/>
      <c r="E75" s="93"/>
      <c r="F75" s="20" t="s">
        <v>7</v>
      </c>
      <c r="G75" s="20" t="s">
        <v>59</v>
      </c>
      <c r="H75" s="20" t="s">
        <v>58</v>
      </c>
      <c r="I75" s="20" t="s">
        <v>64</v>
      </c>
      <c r="J75" s="20" t="s">
        <v>62</v>
      </c>
      <c r="K75" s="24" t="s">
        <v>63</v>
      </c>
      <c r="L75" s="31"/>
      <c r="M75" s="35"/>
    </row>
    <row r="76" spans="1:13" ht="34.5" customHeight="1" x14ac:dyDescent="0.25">
      <c r="A76" s="67" t="s">
        <v>21</v>
      </c>
      <c r="B76" s="67"/>
      <c r="C76" s="67"/>
      <c r="D76" s="67"/>
      <c r="E76" s="67"/>
      <c r="F76" s="36" t="s">
        <v>22</v>
      </c>
      <c r="G76" s="9">
        <v>2</v>
      </c>
      <c r="H76" s="37">
        <v>400</v>
      </c>
      <c r="I76" s="9">
        <f>9600*0.1%</f>
        <v>9.6</v>
      </c>
      <c r="J76" s="9">
        <v>38</v>
      </c>
      <c r="K76" s="21">
        <f>I76/J76</f>
        <v>0.25263157894736843</v>
      </c>
      <c r="L76" s="22"/>
      <c r="M76" s="30"/>
    </row>
    <row r="77" spans="1:13" ht="35.25" customHeight="1" x14ac:dyDescent="0.25">
      <c r="A77" s="79" t="s">
        <v>107</v>
      </c>
      <c r="B77" s="81"/>
      <c r="C77" s="81"/>
      <c r="D77" s="81"/>
      <c r="E77" s="82"/>
      <c r="F77" s="36" t="s">
        <v>22</v>
      </c>
      <c r="G77" s="9">
        <v>1</v>
      </c>
      <c r="H77" s="37"/>
      <c r="I77" s="9">
        <f>4200*0.1%</f>
        <v>4.2</v>
      </c>
      <c r="J77" s="9">
        <v>38</v>
      </c>
      <c r="K77" s="21">
        <f>I77/J77</f>
        <v>0.11052631578947369</v>
      </c>
      <c r="L77" s="22"/>
      <c r="M77" s="30"/>
    </row>
    <row r="78" spans="1:13" ht="35.25" customHeight="1" x14ac:dyDescent="0.25">
      <c r="A78" s="67" t="s">
        <v>90</v>
      </c>
      <c r="B78" s="67"/>
      <c r="C78" s="67"/>
      <c r="D78" s="67"/>
      <c r="E78" s="67"/>
      <c r="F78" s="36" t="s">
        <v>91</v>
      </c>
      <c r="G78" s="9">
        <v>9</v>
      </c>
      <c r="H78" s="37">
        <v>5000</v>
      </c>
      <c r="I78" s="9">
        <f>60000*0.1%</f>
        <v>60</v>
      </c>
      <c r="J78" s="9">
        <f>J76</f>
        <v>38</v>
      </c>
      <c r="K78" s="21">
        <f>I78/J78</f>
        <v>1.5789473684210527</v>
      </c>
      <c r="L78" s="22"/>
      <c r="M78" s="30"/>
    </row>
    <row r="79" spans="1:13" x14ac:dyDescent="0.25">
      <c r="A79" s="68" t="s">
        <v>23</v>
      </c>
      <c r="B79" s="69"/>
      <c r="C79" s="69"/>
      <c r="D79" s="69"/>
      <c r="E79" s="69"/>
      <c r="F79" s="69"/>
      <c r="G79" s="69"/>
      <c r="H79" s="70"/>
      <c r="I79" s="6">
        <f>SUM(I76:I78)</f>
        <v>73.8</v>
      </c>
      <c r="J79" s="6">
        <f>F37</f>
        <v>38</v>
      </c>
      <c r="K79" s="6">
        <f>SUM(K76:K78)</f>
        <v>1.9421052631578948</v>
      </c>
      <c r="L79" s="14"/>
      <c r="M79" s="30"/>
    </row>
    <row r="81" spans="1:13" x14ac:dyDescent="0.25">
      <c r="A81" s="75" t="s">
        <v>40</v>
      </c>
      <c r="B81" s="75"/>
      <c r="C81" s="75"/>
      <c r="D81" s="75"/>
      <c r="E81" s="75"/>
      <c r="F81" s="75"/>
      <c r="G81" s="75"/>
      <c r="H81" s="75"/>
      <c r="I81" s="75"/>
      <c r="J81" s="75"/>
      <c r="K81" s="75"/>
      <c r="L81" s="75"/>
    </row>
    <row r="82" spans="1:13" ht="57.75" customHeight="1" x14ac:dyDescent="0.25">
      <c r="A82" s="91" t="s">
        <v>5</v>
      </c>
      <c r="B82" s="92"/>
      <c r="C82" s="92"/>
      <c r="D82" s="92"/>
      <c r="E82" s="93"/>
      <c r="F82" s="20" t="s">
        <v>6</v>
      </c>
      <c r="G82" s="20" t="s">
        <v>1</v>
      </c>
      <c r="H82" s="20" t="s">
        <v>60</v>
      </c>
      <c r="I82" s="20" t="s">
        <v>61</v>
      </c>
      <c r="J82" s="20" t="s">
        <v>62</v>
      </c>
      <c r="K82" s="24" t="s">
        <v>63</v>
      </c>
      <c r="L82" s="31"/>
    </row>
    <row r="83" spans="1:13" hidden="1" x14ac:dyDescent="0.25">
      <c r="A83" s="67" t="s">
        <v>3</v>
      </c>
      <c r="B83" s="67"/>
      <c r="C83" s="67"/>
      <c r="D83" s="67"/>
      <c r="E83" s="67"/>
      <c r="F83" s="26">
        <f>'Услуга №1 '!F82</f>
        <v>15898</v>
      </c>
      <c r="G83" s="57">
        <v>1E-3</v>
      </c>
      <c r="H83" s="4">
        <f>F83*G83*12</f>
        <v>190.77600000000001</v>
      </c>
      <c r="I83" s="9">
        <f>H83*1.302</f>
        <v>248.39035200000004</v>
      </c>
      <c r="J83" s="9">
        <v>38</v>
      </c>
      <c r="K83" s="21">
        <f>I83/J83</f>
        <v>6.5365882105263164</v>
      </c>
      <c r="L83" s="22"/>
    </row>
    <row r="84" spans="1:13" ht="20.25" hidden="1" customHeight="1" x14ac:dyDescent="0.25">
      <c r="A84" s="67" t="s">
        <v>45</v>
      </c>
      <c r="B84" s="67"/>
      <c r="C84" s="67"/>
      <c r="D84" s="67"/>
      <c r="E84" s="67"/>
      <c r="F84" s="26">
        <f>'Услуга №1 '!F83</f>
        <v>14309</v>
      </c>
      <c r="G84" s="57">
        <v>1E-3</v>
      </c>
      <c r="H84" s="4">
        <f>F84*G84*12</f>
        <v>171.70800000000003</v>
      </c>
      <c r="I84" s="9">
        <f>H84*1.302-0.01</f>
        <v>223.55381600000004</v>
      </c>
      <c r="J84" s="9">
        <f>J83</f>
        <v>38</v>
      </c>
      <c r="K84" s="21">
        <f>I84/J84</f>
        <v>5.8829951578947375</v>
      </c>
      <c r="L84" s="22"/>
    </row>
    <row r="85" spans="1:13" x14ac:dyDescent="0.25">
      <c r="A85" s="38" t="s">
        <v>24</v>
      </c>
      <c r="B85" s="38"/>
      <c r="C85" s="38"/>
      <c r="D85" s="38"/>
      <c r="E85" s="38"/>
      <c r="F85" s="48">
        <v>24165.599999999999</v>
      </c>
      <c r="G85" s="61">
        <f>SUM(G83:G84)</f>
        <v>2E-3</v>
      </c>
      <c r="H85" s="48">
        <f>F85*G85*12</f>
        <v>579.97439999999995</v>
      </c>
      <c r="I85" s="6">
        <f>H85*1.302</f>
        <v>755.12666879999995</v>
      </c>
      <c r="J85" s="6">
        <f>F37</f>
        <v>38</v>
      </c>
      <c r="K85" s="6">
        <f>I85/J85</f>
        <v>19.87175444210526</v>
      </c>
      <c r="L85" s="22"/>
    </row>
    <row r="86" spans="1:13" ht="10.5" customHeight="1" x14ac:dyDescent="0.25">
      <c r="F86" s="39"/>
      <c r="G86" s="39"/>
      <c r="H86" s="39"/>
      <c r="I86" s="39"/>
      <c r="J86" s="39"/>
      <c r="K86" s="39"/>
      <c r="L86" s="39"/>
    </row>
    <row r="87" spans="1:13" s="8" customFormat="1" x14ac:dyDescent="0.25">
      <c r="A87" s="71" t="s">
        <v>67</v>
      </c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2"/>
      <c r="M87" s="7"/>
    </row>
    <row r="88" spans="1:13" ht="49.5" customHeight="1" x14ac:dyDescent="0.25">
      <c r="A88" s="73" t="s">
        <v>69</v>
      </c>
      <c r="B88" s="73"/>
      <c r="C88" s="73"/>
      <c r="D88" s="73"/>
      <c r="E88" s="73"/>
      <c r="F88" s="20" t="s">
        <v>7</v>
      </c>
      <c r="G88" s="20" t="s">
        <v>59</v>
      </c>
      <c r="H88" s="20" t="s">
        <v>58</v>
      </c>
      <c r="I88" s="20" t="s">
        <v>64</v>
      </c>
      <c r="J88" s="20" t="s">
        <v>62</v>
      </c>
      <c r="K88" s="24" t="s">
        <v>63</v>
      </c>
      <c r="L88" s="31"/>
    </row>
    <row r="89" spans="1:13" ht="33" customHeight="1" x14ac:dyDescent="0.25">
      <c r="A89" s="76" t="s">
        <v>66</v>
      </c>
      <c r="B89" s="77"/>
      <c r="C89" s="77"/>
      <c r="D89" s="77"/>
      <c r="E89" s="78"/>
      <c r="F89" s="9" t="s">
        <v>25</v>
      </c>
      <c r="G89" s="9">
        <v>11</v>
      </c>
      <c r="H89" s="4">
        <v>5525.3</v>
      </c>
      <c r="I89" s="9">
        <f>60778.32*0.1%</f>
        <v>60.778320000000001</v>
      </c>
      <c r="J89" s="9">
        <v>38</v>
      </c>
      <c r="K89" s="21">
        <f>I89/J89</f>
        <v>1.5994294736842105</v>
      </c>
      <c r="L89" s="22"/>
    </row>
    <row r="90" spans="1:13" s="8" customFormat="1" x14ac:dyDescent="0.25">
      <c r="A90" s="68" t="s">
        <v>68</v>
      </c>
      <c r="B90" s="69"/>
      <c r="C90" s="69"/>
      <c r="D90" s="69"/>
      <c r="E90" s="69"/>
      <c r="F90" s="69"/>
      <c r="G90" s="69"/>
      <c r="H90" s="69"/>
      <c r="I90" s="6">
        <f>SUM(I89:I89)</f>
        <v>60.778320000000001</v>
      </c>
      <c r="J90" s="6">
        <f>F37</f>
        <v>38</v>
      </c>
      <c r="K90" s="6">
        <f>SUM(K89:K89)</f>
        <v>1.5994294736842105</v>
      </c>
      <c r="L90" s="22"/>
      <c r="M90" s="7"/>
    </row>
    <row r="91" spans="1:13" s="8" customFormat="1" x14ac:dyDescent="0.25">
      <c r="A91" s="40"/>
      <c r="B91" s="40"/>
      <c r="C91" s="40"/>
      <c r="D91" s="40"/>
      <c r="E91" s="40"/>
      <c r="F91" s="40"/>
      <c r="G91" s="40"/>
      <c r="H91" s="40"/>
      <c r="I91" s="14"/>
      <c r="J91" s="14"/>
      <c r="K91" s="14"/>
      <c r="L91" s="30"/>
      <c r="M91" s="7"/>
    </row>
    <row r="92" spans="1:13" s="8" customFormat="1" x14ac:dyDescent="0.25">
      <c r="A92" s="41"/>
      <c r="B92" s="41"/>
      <c r="C92" s="41"/>
      <c r="D92" s="41"/>
      <c r="E92" s="41"/>
      <c r="F92" s="41"/>
      <c r="G92" s="41"/>
      <c r="H92" s="41"/>
      <c r="I92" s="15"/>
      <c r="J92" s="15"/>
      <c r="K92" s="15"/>
      <c r="L92" s="30"/>
      <c r="M92" s="7"/>
    </row>
    <row r="93" spans="1:13" s="8" customFormat="1" x14ac:dyDescent="0.25">
      <c r="A93" s="71" t="s">
        <v>108</v>
      </c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2"/>
      <c r="M93" s="7"/>
    </row>
    <row r="94" spans="1:13" ht="49.5" customHeight="1" x14ac:dyDescent="0.25">
      <c r="A94" s="73" t="s">
        <v>69</v>
      </c>
      <c r="B94" s="73"/>
      <c r="C94" s="73"/>
      <c r="D94" s="73"/>
      <c r="E94" s="73"/>
      <c r="F94" s="20" t="s">
        <v>7</v>
      </c>
      <c r="G94" s="20" t="s">
        <v>59</v>
      </c>
      <c r="H94" s="20" t="s">
        <v>58</v>
      </c>
      <c r="I94" s="20" t="s">
        <v>64</v>
      </c>
      <c r="J94" s="20" t="s">
        <v>62</v>
      </c>
      <c r="K94" s="24" t="s">
        <v>63</v>
      </c>
      <c r="L94" s="31"/>
    </row>
    <row r="95" spans="1:13" x14ac:dyDescent="0.25">
      <c r="A95" s="67" t="s">
        <v>109</v>
      </c>
      <c r="B95" s="67"/>
      <c r="C95" s="67"/>
      <c r="D95" s="67"/>
      <c r="E95" s="67"/>
      <c r="F95" s="9"/>
      <c r="G95" s="9"/>
      <c r="H95" s="4"/>
      <c r="I95" s="9">
        <f>720*0.1%</f>
        <v>0.72</v>
      </c>
      <c r="J95" s="9">
        <v>38</v>
      </c>
      <c r="K95" s="21">
        <f>I95/J95</f>
        <v>1.8947368421052629E-2</v>
      </c>
      <c r="L95" s="22"/>
    </row>
    <row r="96" spans="1:13" s="8" customFormat="1" x14ac:dyDescent="0.25">
      <c r="A96" s="68" t="s">
        <v>110</v>
      </c>
      <c r="B96" s="69"/>
      <c r="C96" s="69"/>
      <c r="D96" s="69"/>
      <c r="E96" s="69"/>
      <c r="F96" s="69"/>
      <c r="G96" s="69"/>
      <c r="H96" s="69"/>
      <c r="I96" s="6">
        <f>SUM(I95:I95)</f>
        <v>0.72</v>
      </c>
      <c r="J96" s="6">
        <f>F37</f>
        <v>38</v>
      </c>
      <c r="K96" s="6">
        <f>SUM(K95:K95)</f>
        <v>1.8947368421052629E-2</v>
      </c>
      <c r="L96" s="22"/>
      <c r="M96" s="7"/>
    </row>
    <row r="97" spans="1:13" x14ac:dyDescent="0.25">
      <c r="F97" s="39"/>
      <c r="G97" s="39"/>
      <c r="H97" s="39"/>
      <c r="I97" s="39"/>
      <c r="J97" s="39"/>
      <c r="K97" s="39"/>
      <c r="L97" s="39"/>
    </row>
    <row r="98" spans="1:13" s="8" customFormat="1" x14ac:dyDescent="0.25">
      <c r="A98" s="40"/>
      <c r="B98" s="40"/>
      <c r="C98" s="40"/>
      <c r="D98" s="40"/>
      <c r="E98" s="40"/>
      <c r="F98" s="40"/>
      <c r="G98" s="40"/>
      <c r="H98" s="40"/>
      <c r="I98" s="14"/>
      <c r="J98" s="14"/>
      <c r="K98" s="14"/>
      <c r="L98" s="30"/>
      <c r="M98" s="7"/>
    </row>
    <row r="99" spans="1:13" s="8" customFormat="1" x14ac:dyDescent="0.25">
      <c r="A99" s="71" t="s">
        <v>111</v>
      </c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2"/>
      <c r="M99" s="7"/>
    </row>
    <row r="100" spans="1:13" ht="49.5" customHeight="1" x14ac:dyDescent="0.25">
      <c r="A100" s="73" t="s">
        <v>69</v>
      </c>
      <c r="B100" s="73"/>
      <c r="C100" s="73"/>
      <c r="D100" s="73"/>
      <c r="E100" s="73"/>
      <c r="F100" s="20" t="s">
        <v>7</v>
      </c>
      <c r="G100" s="20" t="s">
        <v>59</v>
      </c>
      <c r="H100" s="20" t="s">
        <v>58</v>
      </c>
      <c r="I100" s="20" t="s">
        <v>64</v>
      </c>
      <c r="J100" s="20" t="s">
        <v>62</v>
      </c>
      <c r="K100" s="24" t="s">
        <v>63</v>
      </c>
      <c r="L100" s="31"/>
    </row>
    <row r="101" spans="1:13" x14ac:dyDescent="0.25">
      <c r="A101" s="67" t="s">
        <v>112</v>
      </c>
      <c r="B101" s="67"/>
      <c r="C101" s="67"/>
      <c r="D101" s="67"/>
      <c r="E101" s="67"/>
      <c r="F101" s="9"/>
      <c r="G101" s="9"/>
      <c r="H101" s="4"/>
      <c r="I101" s="9">
        <f>49300*0.1%</f>
        <v>49.300000000000004</v>
      </c>
      <c r="J101" s="9">
        <v>38</v>
      </c>
      <c r="K101" s="21">
        <f>I101/J101</f>
        <v>1.2973684210526317</v>
      </c>
      <c r="L101" s="22"/>
    </row>
    <row r="102" spans="1:13" s="8" customFormat="1" x14ac:dyDescent="0.25">
      <c r="A102" s="68" t="s">
        <v>114</v>
      </c>
      <c r="B102" s="69"/>
      <c r="C102" s="69"/>
      <c r="D102" s="69"/>
      <c r="E102" s="69"/>
      <c r="F102" s="69"/>
      <c r="G102" s="69"/>
      <c r="H102" s="69"/>
      <c r="I102" s="6">
        <f>SUM(I101:I101)</f>
        <v>49.300000000000004</v>
      </c>
      <c r="J102" s="6">
        <f>F37</f>
        <v>38</v>
      </c>
      <c r="K102" s="6">
        <f>SUM(K101:K101)</f>
        <v>1.2973684210526317</v>
      </c>
      <c r="L102" s="22"/>
      <c r="M102" s="7"/>
    </row>
    <row r="103" spans="1:13" s="8" customFormat="1" x14ac:dyDescent="0.25">
      <c r="A103" s="41"/>
      <c r="B103" s="41"/>
      <c r="C103" s="41"/>
      <c r="D103" s="41"/>
      <c r="E103" s="41"/>
      <c r="F103" s="41"/>
      <c r="G103" s="41"/>
      <c r="H103" s="41"/>
      <c r="I103" s="15"/>
      <c r="J103" s="15"/>
      <c r="K103" s="15"/>
      <c r="L103" s="30"/>
      <c r="M103" s="7"/>
    </row>
    <row r="104" spans="1:13" s="8" customFormat="1" x14ac:dyDescent="0.25">
      <c r="A104" s="71" t="s">
        <v>113</v>
      </c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2"/>
      <c r="M104" s="7"/>
    </row>
    <row r="105" spans="1:13" ht="49.5" customHeight="1" x14ac:dyDescent="0.25">
      <c r="A105" s="73" t="s">
        <v>69</v>
      </c>
      <c r="B105" s="73"/>
      <c r="C105" s="73"/>
      <c r="D105" s="73"/>
      <c r="E105" s="73"/>
      <c r="F105" s="20" t="s">
        <v>7</v>
      </c>
      <c r="G105" s="20" t="s">
        <v>59</v>
      </c>
      <c r="H105" s="20" t="s">
        <v>58</v>
      </c>
      <c r="I105" s="20" t="s">
        <v>64</v>
      </c>
      <c r="J105" s="20" t="s">
        <v>62</v>
      </c>
      <c r="K105" s="24" t="s">
        <v>63</v>
      </c>
      <c r="L105" s="31"/>
    </row>
    <row r="106" spans="1:13" x14ac:dyDescent="0.25">
      <c r="A106" s="67" t="s">
        <v>115</v>
      </c>
      <c r="B106" s="67"/>
      <c r="C106" s="67"/>
      <c r="D106" s="67"/>
      <c r="E106" s="67"/>
      <c r="F106" s="9"/>
      <c r="G106" s="9"/>
      <c r="H106" s="4"/>
      <c r="I106" s="9">
        <f>103090*0.1%</f>
        <v>103.09</v>
      </c>
      <c r="J106" s="9">
        <v>38</v>
      </c>
      <c r="K106" s="21">
        <f>I106/J106</f>
        <v>2.7128947368421055</v>
      </c>
      <c r="L106" s="22"/>
    </row>
    <row r="107" spans="1:13" s="8" customFormat="1" x14ac:dyDescent="0.25">
      <c r="A107" s="68" t="s">
        <v>116</v>
      </c>
      <c r="B107" s="69"/>
      <c r="C107" s="69"/>
      <c r="D107" s="69"/>
      <c r="E107" s="69"/>
      <c r="F107" s="69"/>
      <c r="G107" s="69"/>
      <c r="H107" s="69"/>
      <c r="I107" s="6">
        <f>SUM(I106:I106)</f>
        <v>103.09</v>
      </c>
      <c r="J107" s="6">
        <f>F37</f>
        <v>38</v>
      </c>
      <c r="K107" s="6">
        <f>SUM(K106:K106)</f>
        <v>2.7128947368421055</v>
      </c>
      <c r="L107" s="22"/>
      <c r="M107" s="7"/>
    </row>
    <row r="108" spans="1:13" s="8" customFormat="1" x14ac:dyDescent="0.25">
      <c r="A108" s="40"/>
      <c r="B108" s="40"/>
      <c r="C108" s="40"/>
      <c r="D108" s="40"/>
      <c r="E108" s="40"/>
      <c r="F108" s="40"/>
      <c r="G108" s="40"/>
      <c r="H108" s="40"/>
      <c r="I108" s="14"/>
      <c r="J108" s="14"/>
      <c r="K108" s="14"/>
      <c r="L108" s="30"/>
      <c r="M108" s="7"/>
    </row>
    <row r="109" spans="1:13" x14ac:dyDescent="0.25">
      <c r="A109" s="75" t="s">
        <v>26</v>
      </c>
      <c r="B109" s="75"/>
      <c r="C109" s="75"/>
      <c r="D109" s="75"/>
      <c r="E109" s="75"/>
      <c r="F109" s="75"/>
      <c r="G109" s="75"/>
      <c r="H109" s="75"/>
      <c r="I109" s="75"/>
      <c r="J109" s="75"/>
      <c r="K109" s="75"/>
      <c r="L109" s="75"/>
    </row>
    <row r="110" spans="1:13" hidden="1" x14ac:dyDescent="0.25"/>
    <row r="111" spans="1:13" ht="15" customHeight="1" x14ac:dyDescent="0.25">
      <c r="A111" s="90" t="s">
        <v>27</v>
      </c>
      <c r="B111" s="90"/>
      <c r="C111" s="90"/>
      <c r="D111" s="73" t="s">
        <v>28</v>
      </c>
      <c r="E111" s="73"/>
      <c r="F111" s="73"/>
      <c r="G111" s="73"/>
      <c r="H111" s="73"/>
      <c r="I111" s="73"/>
      <c r="J111" s="73"/>
      <c r="K111" s="90" t="s">
        <v>39</v>
      </c>
      <c r="L111" s="90"/>
    </row>
    <row r="112" spans="1:13" ht="30" x14ac:dyDescent="0.25">
      <c r="A112" s="9" t="s">
        <v>29</v>
      </c>
      <c r="B112" s="25" t="s">
        <v>30</v>
      </c>
      <c r="C112" s="9" t="s">
        <v>31</v>
      </c>
      <c r="D112" s="9" t="s">
        <v>32</v>
      </c>
      <c r="E112" s="9" t="s">
        <v>33</v>
      </c>
      <c r="F112" s="9" t="s">
        <v>34</v>
      </c>
      <c r="G112" s="9" t="s">
        <v>35</v>
      </c>
      <c r="H112" s="9" t="s">
        <v>36</v>
      </c>
      <c r="I112" s="9" t="s">
        <v>37</v>
      </c>
      <c r="J112" s="9" t="s">
        <v>38</v>
      </c>
      <c r="K112" s="90"/>
      <c r="L112" s="90"/>
    </row>
    <row r="113" spans="1:12" x14ac:dyDescent="0.25">
      <c r="A113" s="9">
        <f>K54</f>
        <v>162.28950315789476</v>
      </c>
      <c r="B113" s="9"/>
      <c r="C113" s="9"/>
      <c r="D113" s="9">
        <f>K64</f>
        <v>12.370965789473685</v>
      </c>
      <c r="E113" s="9">
        <f>K72</f>
        <v>2.0795999999999997</v>
      </c>
      <c r="F113" s="9"/>
      <c r="G113" s="9">
        <f>K79</f>
        <v>1.9421052631578948</v>
      </c>
      <c r="H113" s="9">
        <v>0</v>
      </c>
      <c r="I113" s="9">
        <f>K85</f>
        <v>19.87175444210526</v>
      </c>
      <c r="J113" s="9">
        <f>K96+K102+K107+K90</f>
        <v>5.6286400000000008</v>
      </c>
      <c r="K113" s="94">
        <f>SUM(A113:J113)</f>
        <v>204.18256865263157</v>
      </c>
      <c r="L113" s="95"/>
    </row>
    <row r="115" spans="1:12" x14ac:dyDescent="0.25">
      <c r="A115" s="42"/>
      <c r="B115" s="43"/>
      <c r="C115" s="44"/>
      <c r="D115" s="1"/>
      <c r="E115" s="1"/>
      <c r="F115" s="1"/>
    </row>
    <row r="116" spans="1:12" ht="15.75" x14ac:dyDescent="0.25">
      <c r="A116" s="16" t="s">
        <v>55</v>
      </c>
      <c r="B116" s="16"/>
      <c r="C116" s="16"/>
      <c r="D116" s="16"/>
      <c r="E116" s="16"/>
      <c r="F116" s="45"/>
      <c r="G116" s="45" t="s">
        <v>57</v>
      </c>
      <c r="H116" s="45"/>
      <c r="I116" s="12">
        <f>I54+I64+I72+I79+I90+I96+I102+I107+I85</f>
        <v>7758.9376088000017</v>
      </c>
      <c r="L116" s="12">
        <f>K113*J106</f>
        <v>7758.9376087999999</v>
      </c>
    </row>
    <row r="117" spans="1:12" ht="15.75" x14ac:dyDescent="0.25">
      <c r="A117" s="46"/>
      <c r="B117" s="16"/>
      <c r="C117" s="2"/>
      <c r="D117" s="2"/>
      <c r="E117" s="2"/>
      <c r="F117" s="2"/>
    </row>
    <row r="119" spans="1:12" ht="15.75" x14ac:dyDescent="0.25">
      <c r="A119" s="46" t="s">
        <v>117</v>
      </c>
      <c r="B119" s="16"/>
      <c r="C119" s="46"/>
      <c r="D119" s="16"/>
    </row>
    <row r="120" spans="1:12" ht="15.75" x14ac:dyDescent="0.25">
      <c r="A120" s="46" t="s">
        <v>56</v>
      </c>
      <c r="B120" s="16"/>
      <c r="C120" s="46"/>
      <c r="D120" s="16"/>
    </row>
  </sheetData>
  <mergeCells count="105">
    <mergeCell ref="A4:E4"/>
    <mergeCell ref="A6:E6"/>
    <mergeCell ref="A8:L8"/>
    <mergeCell ref="A9:L9"/>
    <mergeCell ref="A10:L10"/>
    <mergeCell ref="A26:E26"/>
    <mergeCell ref="G26:K26"/>
    <mergeCell ref="A21:E21"/>
    <mergeCell ref="G21:K21"/>
    <mergeCell ref="A22:E22"/>
    <mergeCell ref="G22:K22"/>
    <mergeCell ref="A23:E23"/>
    <mergeCell ref="G23:K23"/>
    <mergeCell ref="A17:E17"/>
    <mergeCell ref="G17:K17"/>
    <mergeCell ref="A24:E24"/>
    <mergeCell ref="G24:K24"/>
    <mergeCell ref="A25:E25"/>
    <mergeCell ref="G25:K25"/>
    <mergeCell ref="A18:E18"/>
    <mergeCell ref="G18:K18"/>
    <mergeCell ref="A19:E19"/>
    <mergeCell ref="G19:K19"/>
    <mergeCell ref="A20:E20"/>
    <mergeCell ref="G20:K20"/>
    <mergeCell ref="A27:E27"/>
    <mergeCell ref="G27:K27"/>
    <mergeCell ref="A28:E28"/>
    <mergeCell ref="G28:K28"/>
    <mergeCell ref="A29:E29"/>
    <mergeCell ref="G29:K29"/>
    <mergeCell ref="A30:E30"/>
    <mergeCell ref="G30:K30"/>
    <mergeCell ref="A31:E31"/>
    <mergeCell ref="G31:K31"/>
    <mergeCell ref="A41:E41"/>
    <mergeCell ref="A32:E32"/>
    <mergeCell ref="G32:K32"/>
    <mergeCell ref="A33:E33"/>
    <mergeCell ref="G33:K33"/>
    <mergeCell ref="A34:E34"/>
    <mergeCell ref="G34:K34"/>
    <mergeCell ref="A35:E35"/>
    <mergeCell ref="G35:K35"/>
    <mergeCell ref="A38:E38"/>
    <mergeCell ref="A39:E39"/>
    <mergeCell ref="A40:E40"/>
    <mergeCell ref="A66:L66"/>
    <mergeCell ref="A52:E52"/>
    <mergeCell ref="A42:E42"/>
    <mergeCell ref="A43:E43"/>
    <mergeCell ref="A44:E44"/>
    <mergeCell ref="A45:E45"/>
    <mergeCell ref="A46:E46"/>
    <mergeCell ref="A47:E47"/>
    <mergeCell ref="A48:E48"/>
    <mergeCell ref="A49:E49"/>
    <mergeCell ref="A50:E50"/>
    <mergeCell ref="A51:E51"/>
    <mergeCell ref="A58:E58"/>
    <mergeCell ref="A59:E59"/>
    <mergeCell ref="A60:E60"/>
    <mergeCell ref="A61:E61"/>
    <mergeCell ref="A62:E62"/>
    <mergeCell ref="A63:E63"/>
    <mergeCell ref="A64:H64"/>
    <mergeCell ref="A57:L57"/>
    <mergeCell ref="A53:E53"/>
    <mergeCell ref="A67:E67"/>
    <mergeCell ref="A68:E68"/>
    <mergeCell ref="A69:E69"/>
    <mergeCell ref="A70:E70"/>
    <mergeCell ref="A71:E71"/>
    <mergeCell ref="A83:E83"/>
    <mergeCell ref="A84:E84"/>
    <mergeCell ref="K113:L113"/>
    <mergeCell ref="A74:L74"/>
    <mergeCell ref="A87:L87"/>
    <mergeCell ref="A109:L109"/>
    <mergeCell ref="A111:C111"/>
    <mergeCell ref="D111:J111"/>
    <mergeCell ref="K111:L112"/>
    <mergeCell ref="A81:L81"/>
    <mergeCell ref="A82:E82"/>
    <mergeCell ref="A79:H79"/>
    <mergeCell ref="A88:E88"/>
    <mergeCell ref="A89:E89"/>
    <mergeCell ref="A90:H90"/>
    <mergeCell ref="A72:H72"/>
    <mergeCell ref="A75:E75"/>
    <mergeCell ref="A76:E76"/>
    <mergeCell ref="A104:L104"/>
    <mergeCell ref="A105:E105"/>
    <mergeCell ref="A106:E106"/>
    <mergeCell ref="A107:H107"/>
    <mergeCell ref="A99:L99"/>
    <mergeCell ref="A100:E100"/>
    <mergeCell ref="A101:E101"/>
    <mergeCell ref="A102:H102"/>
    <mergeCell ref="A77:E77"/>
    <mergeCell ref="A78:E78"/>
    <mergeCell ref="A95:E95"/>
    <mergeCell ref="A96:H96"/>
    <mergeCell ref="A93:L93"/>
    <mergeCell ref="A94:E94"/>
  </mergeCells>
  <pageMargins left="0.7" right="0.7" top="0.75" bottom="0.75" header="0.3" footer="0.3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СВОД</vt:lpstr>
      <vt:lpstr>Услуга №1 </vt:lpstr>
      <vt:lpstr>Услуга №2</vt:lpstr>
      <vt:lpstr>Работа №1.</vt:lpstr>
      <vt:lpstr>Работа №2</vt:lpstr>
      <vt:lpstr>Работа №3</vt:lpstr>
      <vt:lpstr>Работа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2020-02-27T09:20:05Z</dcterms:modified>
</cp:coreProperties>
</file>