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activeTab="1"/>
  </bookViews>
  <sheets>
    <sheet name="СВОД" sheetId="8" r:id="rId1"/>
    <sheet name="Услуга №1 " sheetId="4" r:id="rId2"/>
    <sheet name="Работа №1" sheetId="5" r:id="rId3"/>
    <sheet name="Работа №2" sheetId="6" r:id="rId4"/>
    <sheet name="Работа №3" sheetId="7" r:id="rId5"/>
  </sheets>
  <calcPr calcId="162913"/>
</workbook>
</file>

<file path=xl/calcChain.xml><?xml version="1.0" encoding="utf-8"?>
<calcChain xmlns="http://schemas.openxmlformats.org/spreadsheetml/2006/main">
  <c r="L106" i="4" l="1"/>
  <c r="I106" i="4"/>
  <c r="I47" i="4"/>
  <c r="A2" i="8" l="1"/>
  <c r="I70" i="4"/>
  <c r="I62" i="4"/>
  <c r="I55" i="4"/>
  <c r="I43" i="5"/>
  <c r="M81" i="4"/>
  <c r="M97" i="4"/>
  <c r="M92" i="4"/>
  <c r="I79" i="7" l="1"/>
  <c r="H79" i="7"/>
  <c r="I85" i="6"/>
  <c r="H85" i="6"/>
  <c r="I86" i="5"/>
  <c r="I87" i="4"/>
  <c r="M87" i="4" s="1"/>
  <c r="H87" i="4"/>
  <c r="H34" i="7" l="1"/>
  <c r="I34" i="7" s="1"/>
  <c r="I43" i="6"/>
  <c r="H43" i="6"/>
  <c r="M47" i="4"/>
  <c r="H47" i="4"/>
  <c r="J76" i="6" l="1"/>
  <c r="J91" i="5"/>
  <c r="J77" i="5"/>
  <c r="J81" i="4"/>
  <c r="I88" i="7" l="1"/>
  <c r="K88" i="7" s="1"/>
  <c r="I94" i="6"/>
  <c r="K94" i="6" s="1"/>
  <c r="I95" i="5"/>
  <c r="K95" i="5" s="1"/>
  <c r="I96" i="5"/>
  <c r="I96" i="4"/>
  <c r="I97" i="4" s="1"/>
  <c r="I83" i="7"/>
  <c r="I89" i="6"/>
  <c r="I90" i="5"/>
  <c r="I91" i="4"/>
  <c r="I80" i="4"/>
  <c r="I78" i="4"/>
  <c r="K58" i="7"/>
  <c r="K57" i="7"/>
  <c r="K69" i="6"/>
  <c r="K68" i="6"/>
  <c r="K69" i="5"/>
  <c r="K68" i="5"/>
  <c r="I69" i="4"/>
  <c r="I74" i="4" s="1"/>
  <c r="K70" i="4"/>
  <c r="K71" i="4"/>
  <c r="I89" i="7" l="1"/>
  <c r="I95" i="6"/>
  <c r="K95" i="6" s="1"/>
  <c r="K96" i="5"/>
  <c r="K97" i="4"/>
  <c r="K96" i="4"/>
  <c r="I48" i="7"/>
  <c r="I59" i="6"/>
  <c r="I59" i="5"/>
  <c r="I61" i="4"/>
  <c r="K61" i="4" s="1"/>
  <c r="I63" i="4"/>
  <c r="I64" i="4"/>
  <c r="I60" i="4"/>
  <c r="I42" i="7"/>
  <c r="I52" i="6"/>
  <c r="I53" i="5"/>
  <c r="K53" i="5" s="1"/>
  <c r="I52" i="4"/>
  <c r="I53" i="4"/>
  <c r="I54" i="4"/>
  <c r="I51" i="4"/>
  <c r="K89" i="7" l="1"/>
  <c r="I65" i="4"/>
  <c r="J51" i="4" l="1"/>
  <c r="J52" i="4" s="1"/>
  <c r="J54" i="4" s="1"/>
  <c r="J55" i="4" s="1"/>
  <c r="J56" i="4" s="1"/>
  <c r="G43" i="4"/>
  <c r="J60" i="4" l="1"/>
  <c r="J62" i="4" s="1"/>
  <c r="K53" i="4" l="1"/>
  <c r="G72" i="7" l="1"/>
  <c r="G73" i="7"/>
  <c r="G74" i="7"/>
  <c r="G75" i="7"/>
  <c r="G76" i="7"/>
  <c r="G77" i="7"/>
  <c r="G78" i="7"/>
  <c r="G71" i="7"/>
  <c r="F72" i="7"/>
  <c r="G83" i="6"/>
  <c r="G84" i="6"/>
  <c r="G82" i="6"/>
  <c r="G84" i="5"/>
  <c r="G85" i="5"/>
  <c r="G83" i="5"/>
  <c r="G86" i="4"/>
  <c r="G85" i="4"/>
  <c r="G31" i="7"/>
  <c r="G32" i="7"/>
  <c r="G33" i="7"/>
  <c r="G30" i="7"/>
  <c r="G35" i="6"/>
  <c r="G36" i="6"/>
  <c r="G37" i="6"/>
  <c r="G38" i="6"/>
  <c r="G39" i="6"/>
  <c r="G40" i="6"/>
  <c r="G41" i="6"/>
  <c r="G42" i="6"/>
  <c r="G34" i="6"/>
  <c r="G35" i="5"/>
  <c r="G36" i="5"/>
  <c r="G37" i="5"/>
  <c r="G38" i="5"/>
  <c r="G39" i="5"/>
  <c r="G40" i="5"/>
  <c r="G41" i="5"/>
  <c r="G42" i="5"/>
  <c r="G34" i="5"/>
  <c r="G38" i="4"/>
  <c r="H38" i="4" s="1"/>
  <c r="G39" i="4"/>
  <c r="H39" i="4" s="1"/>
  <c r="G40" i="4"/>
  <c r="H40" i="4" s="1"/>
  <c r="G41" i="4"/>
  <c r="H41" i="4" s="1"/>
  <c r="I41" i="4" s="1"/>
  <c r="G42" i="4"/>
  <c r="H42" i="4" s="1"/>
  <c r="H43" i="4"/>
  <c r="G44" i="4"/>
  <c r="H44" i="4" s="1"/>
  <c r="G45" i="4"/>
  <c r="H45" i="4" s="1"/>
  <c r="G46" i="4"/>
  <c r="H46" i="4" s="1"/>
  <c r="G37" i="4"/>
  <c r="H37" i="4" s="1"/>
  <c r="G86" i="5" l="1"/>
  <c r="G85" i="6"/>
  <c r="G34" i="7"/>
  <c r="G43" i="6"/>
  <c r="H86" i="4"/>
  <c r="I86" i="4" s="1"/>
  <c r="G47" i="4"/>
  <c r="H85" i="4"/>
  <c r="I85" i="4" s="1"/>
  <c r="K85" i="4" s="1"/>
  <c r="G79" i="7"/>
  <c r="G43" i="5"/>
  <c r="G87" i="4"/>
  <c r="H72" i="7"/>
  <c r="I72" i="7" l="1"/>
  <c r="K72" i="7" s="1"/>
  <c r="K87" i="4" l="1"/>
  <c r="K47" i="4"/>
  <c r="A103" i="4" s="1"/>
  <c r="I90" i="6" l="1"/>
  <c r="K90" i="6" s="1"/>
  <c r="J101" i="6" s="1"/>
  <c r="H74" i="5"/>
  <c r="I74" i="5" s="1"/>
  <c r="K79" i="4"/>
  <c r="I75" i="5"/>
  <c r="I38" i="4"/>
  <c r="K51" i="4" l="1"/>
  <c r="I81" i="4"/>
  <c r="H64" i="7"/>
  <c r="K75" i="6"/>
  <c r="K75" i="5"/>
  <c r="H75" i="5"/>
  <c r="I56" i="4"/>
  <c r="K56" i="4" l="1"/>
  <c r="D103" i="4" s="1"/>
  <c r="K54" i="4"/>
  <c r="K64" i="7"/>
  <c r="I44" i="4"/>
  <c r="K44" i="4" s="1"/>
  <c r="K55" i="4" l="1"/>
  <c r="F32" i="4"/>
  <c r="F33" i="7" l="1"/>
  <c r="H33" i="7" s="1"/>
  <c r="F84" i="6"/>
  <c r="H84" i="6" s="1"/>
  <c r="F83" i="6"/>
  <c r="F82" i="6"/>
  <c r="F85" i="5"/>
  <c r="H85" i="5" s="1"/>
  <c r="F84" i="5"/>
  <c r="F83" i="5"/>
  <c r="H83" i="5" l="1"/>
  <c r="H82" i="6"/>
  <c r="F71" i="7"/>
  <c r="H71" i="7" s="1"/>
  <c r="I71" i="7" s="1"/>
  <c r="K71" i="7" s="1"/>
  <c r="H83" i="6"/>
  <c r="F74" i="7"/>
  <c r="H84" i="5"/>
  <c r="H65" i="7"/>
  <c r="I65" i="7" s="1"/>
  <c r="H63" i="7"/>
  <c r="I63" i="7" s="1"/>
  <c r="H76" i="6"/>
  <c r="I76" i="6" s="1"/>
  <c r="H74" i="6"/>
  <c r="I74" i="6" s="1"/>
  <c r="H76" i="5"/>
  <c r="I76" i="5" s="1"/>
  <c r="I77" i="5" s="1"/>
  <c r="H56" i="7"/>
  <c r="I56" i="7" s="1"/>
  <c r="I59" i="7" s="1"/>
  <c r="H67" i="6"/>
  <c r="I67" i="6" s="1"/>
  <c r="I70" i="6" s="1"/>
  <c r="H67" i="5"/>
  <c r="I67" i="5" s="1"/>
  <c r="I70" i="5" s="1"/>
  <c r="H47" i="7"/>
  <c r="I47" i="7" s="1"/>
  <c r="H49" i="7"/>
  <c r="I49" i="7" s="1"/>
  <c r="H50" i="7"/>
  <c r="I50" i="7" s="1"/>
  <c r="H51" i="7"/>
  <c r="I51" i="7" s="1"/>
  <c r="H58" i="6"/>
  <c r="I58" i="6" s="1"/>
  <c r="H60" i="6"/>
  <c r="I60" i="6" s="1"/>
  <c r="H61" i="6"/>
  <c r="I61" i="6" s="1"/>
  <c r="H62" i="6"/>
  <c r="I62" i="6" s="1"/>
  <c r="H61" i="5"/>
  <c r="I61" i="5" s="1"/>
  <c r="H62" i="5"/>
  <c r="I62" i="5" s="1"/>
  <c r="H60" i="5"/>
  <c r="I60" i="5" s="1"/>
  <c r="H58" i="5"/>
  <c r="I58" i="5" s="1"/>
  <c r="H41" i="7"/>
  <c r="I41" i="7" s="1"/>
  <c r="H40" i="7"/>
  <c r="I40" i="7" s="1"/>
  <c r="H39" i="7"/>
  <c r="I39" i="7" s="1"/>
  <c r="H38" i="7"/>
  <c r="I38" i="7" s="1"/>
  <c r="H51" i="6"/>
  <c r="I51" i="6" s="1"/>
  <c r="H50" i="6"/>
  <c r="I50" i="6" s="1"/>
  <c r="H49" i="6"/>
  <c r="I49" i="6" s="1"/>
  <c r="H48" i="6"/>
  <c r="I48" i="6" s="1"/>
  <c r="H52" i="5"/>
  <c r="I52" i="5" s="1"/>
  <c r="H51" i="5"/>
  <c r="I51" i="5" s="1"/>
  <c r="H50" i="5"/>
  <c r="I50" i="5" s="1"/>
  <c r="H49" i="5"/>
  <c r="I49" i="5" s="1"/>
  <c r="F42" i="6"/>
  <c r="F42" i="5"/>
  <c r="H42" i="5" s="1"/>
  <c r="F41" i="6"/>
  <c r="F41" i="5"/>
  <c r="H41" i="5" s="1"/>
  <c r="F32" i="7"/>
  <c r="H32" i="7" s="1"/>
  <c r="F40" i="6"/>
  <c r="H40" i="6" s="1"/>
  <c r="F40" i="5"/>
  <c r="H40" i="5" s="1"/>
  <c r="F39" i="6"/>
  <c r="F39" i="5"/>
  <c r="H39" i="5" s="1"/>
  <c r="F38" i="6"/>
  <c r="F38" i="5"/>
  <c r="H38" i="5" s="1"/>
  <c r="F37" i="6"/>
  <c r="F37" i="5"/>
  <c r="F36" i="6"/>
  <c r="F36" i="5"/>
  <c r="F31" i="7"/>
  <c r="H31" i="7" s="1"/>
  <c r="F35" i="6"/>
  <c r="F35" i="5"/>
  <c r="F30" i="7"/>
  <c r="H30" i="7" s="1"/>
  <c r="F34" i="6"/>
  <c r="F34" i="5"/>
  <c r="I54" i="5" l="1"/>
  <c r="I53" i="6"/>
  <c r="I43" i="7"/>
  <c r="H35" i="6"/>
  <c r="H36" i="6"/>
  <c r="H35" i="5"/>
  <c r="H36" i="5"/>
  <c r="H37" i="5"/>
  <c r="I77" i="6"/>
  <c r="F78" i="7"/>
  <c r="H78" i="7" s="1"/>
  <c r="I78" i="7" s="1"/>
  <c r="K78" i="7" s="1"/>
  <c r="H41" i="6"/>
  <c r="H34" i="6"/>
  <c r="H37" i="6"/>
  <c r="F76" i="7"/>
  <c r="F73" i="7"/>
  <c r="H38" i="6"/>
  <c r="H39" i="6"/>
  <c r="F75" i="7"/>
  <c r="H34" i="5"/>
  <c r="F77" i="7"/>
  <c r="H42" i="6"/>
  <c r="H74" i="7"/>
  <c r="I74" i="7" s="1"/>
  <c r="K74" i="7" s="1"/>
  <c r="I63" i="6"/>
  <c r="J34" i="6"/>
  <c r="J35" i="6" s="1"/>
  <c r="J37" i="6" s="1"/>
  <c r="H77" i="7" l="1"/>
  <c r="I77" i="7" s="1"/>
  <c r="K77" i="7" s="1"/>
  <c r="H75" i="7"/>
  <c r="I75" i="7" s="1"/>
  <c r="K75" i="7" s="1"/>
  <c r="H76" i="7"/>
  <c r="I76" i="7" s="1"/>
  <c r="K76" i="7" s="1"/>
  <c r="H73" i="7"/>
  <c r="J36" i="6"/>
  <c r="J38" i="6" s="1"/>
  <c r="J39" i="6" s="1"/>
  <c r="J41" i="6" s="1"/>
  <c r="J42" i="6" s="1"/>
  <c r="L30" i="6"/>
  <c r="J90" i="5"/>
  <c r="K90" i="5" s="1"/>
  <c r="J91" i="4"/>
  <c r="J40" i="6" l="1"/>
  <c r="K91" i="4"/>
  <c r="I73" i="7"/>
  <c r="K73" i="7" s="1"/>
  <c r="I84" i="7"/>
  <c r="I91" i="5"/>
  <c r="K91" i="5" s="1"/>
  <c r="J102" i="5" s="1"/>
  <c r="I92" i="4"/>
  <c r="I82" i="6"/>
  <c r="J82" i="6"/>
  <c r="J38" i="7"/>
  <c r="J39" i="7" s="1"/>
  <c r="J48" i="6"/>
  <c r="J49" i="6" s="1"/>
  <c r="J49" i="5"/>
  <c r="J50" i="5" s="1"/>
  <c r="K50" i="5" s="1"/>
  <c r="K84" i="7" l="1"/>
  <c r="J95" i="7" s="1"/>
  <c r="K92" i="4"/>
  <c r="J103" i="4" s="1"/>
  <c r="J50" i="6"/>
  <c r="J51" i="6" s="1"/>
  <c r="J89" i="6"/>
  <c r="K89" i="6" s="1"/>
  <c r="J83" i="6"/>
  <c r="J84" i="6" s="1"/>
  <c r="J51" i="5"/>
  <c r="I97" i="7"/>
  <c r="K82" i="6"/>
  <c r="J40" i="7"/>
  <c r="J41" i="7" s="1"/>
  <c r="K49" i="6"/>
  <c r="K48" i="6"/>
  <c r="I63" i="5"/>
  <c r="I66" i="7"/>
  <c r="K39" i="7"/>
  <c r="I52" i="7"/>
  <c r="K60" i="4"/>
  <c r="J63" i="4"/>
  <c r="J64" i="4" s="1"/>
  <c r="K49" i="5"/>
  <c r="K38" i="7"/>
  <c r="K52" i="4"/>
  <c r="K50" i="6" l="1"/>
  <c r="K65" i="4"/>
  <c r="E103" i="4" s="1"/>
  <c r="J65" i="4"/>
  <c r="J47" i="7"/>
  <c r="J42" i="7"/>
  <c r="K42" i="7" s="1"/>
  <c r="J52" i="6"/>
  <c r="K52" i="6" s="1"/>
  <c r="K51" i="6"/>
  <c r="J52" i="5"/>
  <c r="J58" i="5" s="1"/>
  <c r="K58" i="5" s="1"/>
  <c r="K51" i="5"/>
  <c r="J58" i="6"/>
  <c r="K53" i="6"/>
  <c r="D101" i="6" s="1"/>
  <c r="K79" i="7"/>
  <c r="M74" i="4"/>
  <c r="K41" i="7"/>
  <c r="M65" i="4"/>
  <c r="M56" i="4"/>
  <c r="K43" i="7"/>
  <c r="D95" i="7" s="1"/>
  <c r="K40" i="7"/>
  <c r="J69" i="4"/>
  <c r="K62" i="4"/>
  <c r="K64" i="4"/>
  <c r="K63" i="4"/>
  <c r="K34" i="7" l="1"/>
  <c r="A95" i="7" s="1"/>
  <c r="K52" i="5"/>
  <c r="K54" i="5"/>
  <c r="D102" i="5" s="1"/>
  <c r="K69" i="4"/>
  <c r="J78" i="4"/>
  <c r="K74" i="4"/>
  <c r="H103" i="4" s="1"/>
  <c r="J60" i="5"/>
  <c r="J60" i="6"/>
  <c r="K58" i="6"/>
  <c r="K60" i="5" l="1"/>
  <c r="J61" i="5"/>
  <c r="J61" i="6"/>
  <c r="K60" i="6"/>
  <c r="K47" i="7"/>
  <c r="J49" i="7"/>
  <c r="K78" i="4"/>
  <c r="K61" i="5" l="1"/>
  <c r="J62" i="5"/>
  <c r="J63" i="5" s="1"/>
  <c r="K61" i="6"/>
  <c r="J62" i="6"/>
  <c r="K63" i="6" s="1"/>
  <c r="E101" i="6" s="1"/>
  <c r="J50" i="7"/>
  <c r="K49" i="7"/>
  <c r="J80" i="4"/>
  <c r="K81" i="4" l="1"/>
  <c r="G103" i="4" s="1"/>
  <c r="K63" i="5"/>
  <c r="J67" i="5"/>
  <c r="J74" i="5" s="1"/>
  <c r="J76" i="5" s="1"/>
  <c r="K62" i="5"/>
  <c r="J67" i="6"/>
  <c r="K70" i="6" s="1"/>
  <c r="H101" i="6" s="1"/>
  <c r="K62" i="6"/>
  <c r="J51" i="7"/>
  <c r="K52" i="7" s="1"/>
  <c r="K50" i="7"/>
  <c r="K80" i="4"/>
  <c r="K74" i="5" l="1"/>
  <c r="E102" i="5"/>
  <c r="K70" i="5"/>
  <c r="H102" i="5" s="1"/>
  <c r="K67" i="5"/>
  <c r="K67" i="6"/>
  <c r="K76" i="5"/>
  <c r="K77" i="5"/>
  <c r="G102" i="5" s="1"/>
  <c r="J56" i="7"/>
  <c r="J63" i="7" s="1"/>
  <c r="K51" i="7"/>
  <c r="E95" i="7" s="1"/>
  <c r="K59" i="7" l="1"/>
  <c r="H95" i="7" s="1"/>
  <c r="K56" i="7"/>
  <c r="K74" i="6" l="1"/>
  <c r="K77" i="6"/>
  <c r="G101" i="6" s="1"/>
  <c r="K76" i="6" l="1"/>
  <c r="K63" i="7"/>
  <c r="J65" i="7"/>
  <c r="I84" i="5"/>
  <c r="K84" i="5" s="1"/>
  <c r="J86" i="4"/>
  <c r="J92" i="4" s="1"/>
  <c r="K83" i="7"/>
  <c r="L26" i="7"/>
  <c r="L32" i="4"/>
  <c r="K86" i="4" l="1"/>
  <c r="I103" i="4" s="1"/>
  <c r="K103" i="4" s="1"/>
  <c r="K65" i="7"/>
  <c r="K66" i="7"/>
  <c r="G95" i="7" s="1"/>
  <c r="I83" i="5"/>
  <c r="K83" i="5" l="1"/>
  <c r="I85" i="5"/>
  <c r="I105" i="5" s="1"/>
  <c r="I95" i="7"/>
  <c r="K43" i="5" l="1"/>
  <c r="A102" i="5" s="1"/>
  <c r="K85" i="5"/>
  <c r="K86" i="5" l="1"/>
  <c r="I102" i="5" s="1"/>
  <c r="K102" i="5" s="1"/>
  <c r="K105" i="5" s="1"/>
  <c r="B2" i="8" s="1"/>
  <c r="I37" i="4"/>
  <c r="I39" i="4"/>
  <c r="K39" i="4" s="1"/>
  <c r="I40" i="4"/>
  <c r="K40" i="4" s="1"/>
  <c r="K41" i="4"/>
  <c r="I42" i="4"/>
  <c r="K42" i="4" s="1"/>
  <c r="I43" i="4"/>
  <c r="I45" i="4"/>
  <c r="K45" i="4" s="1"/>
  <c r="I46" i="4"/>
  <c r="K46" i="4" s="1"/>
  <c r="I34" i="5"/>
  <c r="I35" i="5"/>
  <c r="K35" i="5" s="1"/>
  <c r="I36" i="5"/>
  <c r="K36" i="5" s="1"/>
  <c r="I37" i="5"/>
  <c r="K37" i="5" s="1"/>
  <c r="I38" i="5"/>
  <c r="K38" i="5" s="1"/>
  <c r="I39" i="5"/>
  <c r="K39" i="5" s="1"/>
  <c r="I40" i="5"/>
  <c r="K40" i="5" s="1"/>
  <c r="I41" i="5"/>
  <c r="K41" i="5" s="1"/>
  <c r="I42" i="5"/>
  <c r="K34" i="5" l="1"/>
  <c r="K37" i="4"/>
  <c r="K43" i="4"/>
  <c r="K42" i="5"/>
  <c r="I31" i="7"/>
  <c r="K31" i="7" s="1"/>
  <c r="I32" i="7"/>
  <c r="K32" i="7" s="1"/>
  <c r="I33" i="7"/>
  <c r="K33" i="7" s="1"/>
  <c r="I30" i="7"/>
  <c r="I35" i="6"/>
  <c r="K35" i="6" s="1"/>
  <c r="I36" i="6"/>
  <c r="K36" i="6" s="1"/>
  <c r="I37" i="6"/>
  <c r="K37" i="6" s="1"/>
  <c r="I38" i="6"/>
  <c r="K38" i="6" s="1"/>
  <c r="I39" i="6"/>
  <c r="K39" i="6" s="1"/>
  <c r="I83" i="6"/>
  <c r="I40" i="6"/>
  <c r="K40" i="6" s="1"/>
  <c r="I41" i="6"/>
  <c r="K41" i="6" s="1"/>
  <c r="I84" i="6"/>
  <c r="I42" i="6"/>
  <c r="K42" i="6" s="1"/>
  <c r="I34" i="6"/>
  <c r="K84" i="6" l="1"/>
  <c r="K34" i="6"/>
  <c r="K38" i="4"/>
  <c r="K30" i="7"/>
  <c r="K83" i="6"/>
  <c r="F30" i="6"/>
  <c r="F30" i="5"/>
  <c r="K43" i="6" l="1"/>
  <c r="A101" i="6" s="1"/>
  <c r="K85" i="6"/>
  <c r="I101" i="6" s="1"/>
  <c r="F95" i="7"/>
  <c r="F26" i="7"/>
  <c r="L30" i="5"/>
  <c r="I103" i="6" l="1"/>
  <c r="K101" i="6"/>
  <c r="L103" i="6" s="1"/>
  <c r="M32" i="4"/>
  <c r="K95" i="7"/>
  <c r="L97" i="7" s="1"/>
</calcChain>
</file>

<file path=xl/sharedStrings.xml><?xml version="1.0" encoding="utf-8"?>
<sst xmlns="http://schemas.openxmlformats.org/spreadsheetml/2006/main" count="667" uniqueCount="118">
  <si>
    <t>Работники, непосредственно связанные с оказанием услуги</t>
  </si>
  <si>
    <t>Кол-во ставок</t>
  </si>
  <si>
    <t>Работники, непосредственно не связанные с оказанием услуги</t>
  </si>
  <si>
    <t>Ученый секретарь</t>
  </si>
  <si>
    <t>Заведующий выставочным залом</t>
  </si>
  <si>
    <t>Директор</t>
  </si>
  <si>
    <t>Главный хранитель фондов</t>
  </si>
  <si>
    <t>Художник-фотограф</t>
  </si>
  <si>
    <t>Заведующий сектором учета отдела фондов и научной паспортизации</t>
  </si>
  <si>
    <t>Художник-реставратор</t>
  </si>
  <si>
    <t>Смотритель музейный</t>
  </si>
  <si>
    <t>Методист музея</t>
  </si>
  <si>
    <t>Специалист экспозиционного и выставочного отдела</t>
  </si>
  <si>
    <t>Руководитель любительского объединения "Эхо Арги"</t>
  </si>
  <si>
    <t>Всего</t>
  </si>
  <si>
    <t>Должности по штатному расписанию</t>
  </si>
  <si>
    <t>З/п на одну ставку (ФОТ)</t>
  </si>
  <si>
    <t>Ед.изм. нормы</t>
  </si>
  <si>
    <t>Затраты на коммунальные услуги</t>
  </si>
  <si>
    <t>Наименование коммунальных услуг</t>
  </si>
  <si>
    <t>Электроэнергия</t>
  </si>
  <si>
    <t>Теплоэнергия</t>
  </si>
  <si>
    <t>Холодное водоснабжение</t>
  </si>
  <si>
    <t>Водоотведение</t>
  </si>
  <si>
    <t>кВт час.</t>
  </si>
  <si>
    <t>Гкал</t>
  </si>
  <si>
    <t>м3</t>
  </si>
  <si>
    <t>Затраты на содержание объектов недвижимого имущества</t>
  </si>
  <si>
    <t>ТО средств тревожной сигнализации</t>
  </si>
  <si>
    <t>Промывка теплосети</t>
  </si>
  <si>
    <t>ТО пожарной сигнализации</t>
  </si>
  <si>
    <t>договор</t>
  </si>
  <si>
    <t>Итого содержание объектов недвиж.имущества</t>
  </si>
  <si>
    <t>Наименование затрат</t>
  </si>
  <si>
    <t>Наименование услуги связи</t>
  </si>
  <si>
    <t>Абонентская связь</t>
  </si>
  <si>
    <t>кол-во номеров, ед.</t>
  </si>
  <si>
    <t>Итого услуги связи</t>
  </si>
  <si>
    <t>Итого работники, не связанные с оказанием услуг</t>
  </si>
  <si>
    <t>Затраты на прочие общехозяйственные нужды</t>
  </si>
  <si>
    <t>сумма в год</t>
  </si>
  <si>
    <t>Итого прочие общехоз.нужды</t>
  </si>
  <si>
    <t>Утверждение базового норматива затрат</t>
  </si>
  <si>
    <t>Затраты, непосредственно связанные с оказанием услуги, руб.</t>
  </si>
  <si>
    <t>Затраты на общехозяйственные нужды, руб.</t>
  </si>
  <si>
    <t>ОТ1</t>
  </si>
  <si>
    <t>МЗ и ОЦДИ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</si>
  <si>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</si>
  <si>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</si>
  <si>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</si>
  <si>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</si>
  <si>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</si>
  <si>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</si>
  <si>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</si>
  <si>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</si>
  <si>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Базовый норматив затрат на оказание услуг, руб.</t>
  </si>
  <si>
    <t>Руководитель коллектива (народный)</t>
  </si>
  <si>
    <t>Затраты на оплату труда (с начислениями) работников, непосредственно не связанных с оказанием услуги</t>
  </si>
  <si>
    <t>Планируемое число зрителей в год:</t>
  </si>
  <si>
    <t xml:space="preserve">ИСХОДНЫЕ ДАННЫЕ И РЕЗУЛЬТАТЫ РАСЧЕТОВ  МБУК  "МВЦ"г.НАЗАРОВО </t>
  </si>
  <si>
    <t>Утверждаю</t>
  </si>
  <si>
    <t xml:space="preserve">Приказ № _____ от  _______________ </t>
  </si>
  <si>
    <t>_______________________ Н.Н.Гурулев</t>
  </si>
  <si>
    <t>Директор МБУК "МВЦ"</t>
  </si>
  <si>
    <t>Т.М.Мельникова</t>
  </si>
  <si>
    <t>8(39155) 7-45-95</t>
  </si>
  <si>
    <r>
      <t xml:space="preserve">Учреждение: </t>
    </r>
    <r>
      <rPr>
        <sz val="11"/>
        <color theme="1"/>
        <rFont val="Times New Roman"/>
        <family val="1"/>
        <charset val="204"/>
      </rPr>
      <t>Муниципальное бюджетное учреждение культуры "Музейно-Выставочный центр" г.Назарово Красноярского края</t>
    </r>
  </si>
  <si>
    <r>
      <t xml:space="preserve">Услуга: </t>
    </r>
    <r>
      <rPr>
        <sz val="11"/>
        <color theme="1"/>
        <rFont val="Times New Roman"/>
        <family val="1"/>
        <charset val="204"/>
      </rPr>
      <t xml:space="preserve">Публичный показ музейных предметов, музейных коллекций </t>
    </r>
  </si>
  <si>
    <t xml:space="preserve">Тариф (цена), рублей </t>
  </si>
  <si>
    <t xml:space="preserve">Нормативный объем </t>
  </si>
  <si>
    <t xml:space="preserve">Итого работники, непосредственно связанные с оказанием услуг </t>
  </si>
  <si>
    <t>Итого коммунальные услуги</t>
  </si>
  <si>
    <r>
      <t xml:space="preserve">Содержание услуги: </t>
    </r>
    <r>
      <rPr>
        <sz val="11"/>
        <color theme="1"/>
        <rFont val="Times New Roman"/>
        <family val="1"/>
        <charset val="204"/>
      </rPr>
      <t>Стационар, вне стационара, удаленно через сеть Интернет</t>
    </r>
  </si>
  <si>
    <t>Штатное расписание: 11,5 человек</t>
  </si>
  <si>
    <t>ФОТ за год с учетом количества ставок</t>
  </si>
  <si>
    <t>ФОТ с начислениями на выплаты по оплате труда</t>
  </si>
  <si>
    <t>Количество потребителей</t>
  </si>
  <si>
    <t>Нормативные затраты на 1 потребителя</t>
  </si>
  <si>
    <t>Руководитель коллектива "народный"</t>
  </si>
  <si>
    <t>СВОД рубли</t>
  </si>
  <si>
    <t>СВОД норматив</t>
  </si>
  <si>
    <t>Сумма в год</t>
  </si>
  <si>
    <t>Плата за содерж. и тек. ремонт общего имущества мнгоквартирного дома</t>
  </si>
  <si>
    <t>Затраты на прочие работы, услуги</t>
  </si>
  <si>
    <t>Реагирование на срабатывание средств тревожной сигнализации</t>
  </si>
  <si>
    <t>Итого прочие работы, услуги</t>
  </si>
  <si>
    <t>Затраты на услуги связи</t>
  </si>
  <si>
    <t>Интернет</t>
  </si>
  <si>
    <t>Прочие затраты</t>
  </si>
  <si>
    <t>Планируемое число выставок в год:</t>
  </si>
  <si>
    <t>Планируемое число основного фонда в год:</t>
  </si>
  <si>
    <t xml:space="preserve"> БАЗОВОГО  НОРМАТИВА ЗАТРАТ НА ОКАЗАНИЕ МУНИЦИПАЛЬНЫХ УСЛУГ (РАБОТ)</t>
  </si>
  <si>
    <r>
      <t xml:space="preserve">Работа: </t>
    </r>
    <r>
      <rPr>
        <sz val="11"/>
        <color theme="1"/>
        <rFont val="Times New Roman"/>
        <family val="1"/>
        <charset val="204"/>
      </rPr>
      <t>Формирование, учет, изучение, обеспечение физического сохранения и безопасности музейных предметов, музейных коллекций.</t>
    </r>
  </si>
  <si>
    <r>
      <t xml:space="preserve">Работа: </t>
    </r>
    <r>
      <rPr>
        <sz val="11"/>
        <color theme="1"/>
        <rFont val="Times New Roman"/>
        <family val="1"/>
        <charset val="204"/>
      </rPr>
      <t>Осуществление экскурсионного обслуживания</t>
    </r>
  </si>
  <si>
    <r>
      <t xml:space="preserve">Работа: </t>
    </r>
    <r>
      <rPr>
        <sz val="11"/>
        <color theme="1"/>
        <rFont val="Times New Roman"/>
        <family val="1"/>
        <charset val="204"/>
      </rPr>
      <t>Создание экспозиций (выставок) музеев, организация выездных выставок</t>
    </r>
  </si>
  <si>
    <r>
      <t xml:space="preserve">Содержание работы: </t>
    </r>
    <r>
      <rPr>
        <sz val="11"/>
        <color theme="1"/>
        <rFont val="Times New Roman"/>
        <family val="1"/>
        <charset val="204"/>
      </rPr>
      <t>Стационар</t>
    </r>
  </si>
  <si>
    <t>Услуги междугородней связи</t>
  </si>
  <si>
    <t>Мероприятия, призовая продукция</t>
  </si>
  <si>
    <t>месяц</t>
  </si>
  <si>
    <t xml:space="preserve">Итого услуги </t>
  </si>
  <si>
    <t>"________"____________2019 г.</t>
  </si>
  <si>
    <t xml:space="preserve">НА 2020г. </t>
  </si>
  <si>
    <r>
      <t xml:space="preserve">Наименование показателя объема: 20222 </t>
    </r>
    <r>
      <rPr>
        <sz val="11"/>
        <color theme="1"/>
        <rFont val="Times New Roman"/>
        <family val="1"/>
        <charset val="204"/>
      </rPr>
      <t>человека.</t>
    </r>
  </si>
  <si>
    <r>
      <t xml:space="preserve">Наименование показателя объема: </t>
    </r>
    <r>
      <rPr>
        <sz val="11"/>
        <color theme="1"/>
        <rFont val="Times New Roman"/>
        <family val="1"/>
        <charset val="204"/>
      </rPr>
      <t>44 выставки</t>
    </r>
  </si>
  <si>
    <r>
      <t xml:space="preserve">Наименование показателя объема: </t>
    </r>
    <r>
      <rPr>
        <sz val="11"/>
        <color theme="1"/>
        <rFont val="Times New Roman"/>
        <family val="1"/>
        <charset val="204"/>
      </rPr>
      <t>3010 человек</t>
    </r>
  </si>
  <si>
    <t>Лонская Клавдия Алексеевна</t>
  </si>
  <si>
    <t>Вывоз мусора</t>
  </si>
  <si>
    <t>Охрана объекта</t>
  </si>
  <si>
    <t>Взносы по капитальному ремонту</t>
  </si>
  <si>
    <t>Ремонт (текущий) помещения МВЦ</t>
  </si>
  <si>
    <t>Видеонаблюдение</t>
  </si>
  <si>
    <t>Кредиторская задолженность по взносам на кап. Ремонту</t>
  </si>
  <si>
    <t>Мероприятия</t>
  </si>
  <si>
    <t>Увеличение стоимости материальных запасов однократного применения</t>
  </si>
  <si>
    <t>Призовая продукция</t>
  </si>
  <si>
    <t>Итого материальные запасы</t>
  </si>
  <si>
    <r>
      <t xml:space="preserve">Содержание работы: </t>
    </r>
    <r>
      <rPr>
        <sz val="11"/>
        <color theme="1"/>
        <rFont val="Times New Roman"/>
        <family val="1"/>
        <charset val="204"/>
      </rPr>
      <t>Стационар, вне стационара</t>
    </r>
  </si>
  <si>
    <r>
      <t xml:space="preserve">Наименование показателя объема: </t>
    </r>
    <r>
      <rPr>
        <sz val="11"/>
        <color theme="1"/>
        <rFont val="Times New Roman"/>
        <family val="1"/>
        <charset val="204"/>
      </rPr>
      <t>13840 ед. основного фонда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</si>
</sst>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4" fontId="4" fillId="0" borderId="0" xfId="0" applyNumberFormat="1" applyFont="1" applyBorder="1" applyAlignment="1">
      <alignment horizontal="center"/>
    </xf>
    <xf numFmtId="4" fontId="1" fillId="0" borderId="0" xfId="0" applyNumberFormat="1" applyFont="1"/>
    <xf numFmtId="4" fontId="0" fillId="0" borderId="0" xfId="0" applyNumberFormat="1"/>
    <xf numFmtId="0" fontId="6" fillId="0" borderId="1" xfId="0" applyFon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5" fillId="0" borderId="1" xfId="0" applyNumberFormat="1" applyFont="1" applyBorder="1" applyAlignment="1"/>
    <xf numFmtId="4" fontId="5" fillId="0" borderId="1" xfId="0" applyNumberFormat="1" applyFont="1" applyBorder="1" applyAlignment="1">
      <alignment horizontal="right"/>
    </xf>
    <xf numFmtId="4" fontId="5" fillId="0" borderId="1" xfId="0" applyNumberFormat="1" applyFont="1" applyBorder="1"/>
    <xf numFmtId="4" fontId="5" fillId="0" borderId="0" xfId="0" applyNumberFormat="1" applyFont="1" applyBorder="1" applyAlignment="1"/>
    <xf numFmtId="2" fontId="0" fillId="0" borderId="0" xfId="0" applyNumberFormat="1"/>
    <xf numFmtId="4" fontId="7" fillId="2" borderId="1" xfId="0" applyNumberFormat="1" applyFont="1" applyFill="1" applyBorder="1"/>
    <xf numFmtId="4" fontId="5" fillId="0" borderId="0" xfId="0" applyNumberFormat="1" applyFont="1"/>
    <xf numFmtId="4" fontId="3" fillId="0" borderId="0" xfId="0" applyNumberFormat="1" applyFont="1"/>
    <xf numFmtId="4" fontId="3" fillId="0" borderId="0" xfId="0" applyNumberFormat="1" applyFont="1" applyAlignment="1">
      <alignment horizontal="left"/>
    </xf>
    <xf numFmtId="4" fontId="4" fillId="0" borderId="0" xfId="0" applyNumberFormat="1" applyFont="1" applyBorder="1" applyAlignment="1">
      <alignment horizontal="center" vertical="center"/>
    </xf>
    <xf numFmtId="4" fontId="4" fillId="0" borderId="0" xfId="0" applyNumberFormat="1" applyFont="1" applyBorder="1" applyAlignment="1"/>
    <xf numFmtId="4" fontId="3" fillId="0" borderId="0" xfId="0" applyNumberFormat="1" applyFont="1" applyAlignment="1"/>
    <xf numFmtId="4" fontId="1" fillId="0" borderId="1" xfId="0" applyNumberFormat="1" applyFont="1" applyBorder="1" applyAlignment="1">
      <alignment horizontal="center" wrapText="1"/>
    </xf>
    <xf numFmtId="4" fontId="1" fillId="0" borderId="1" xfId="0" applyNumberFormat="1" applyFont="1" applyBorder="1"/>
    <xf numFmtId="4" fontId="1" fillId="0" borderId="1" xfId="0" applyNumberFormat="1" applyFont="1" applyFill="1" applyBorder="1"/>
    <xf numFmtId="4" fontId="1" fillId="0" borderId="1" xfId="0" applyNumberFormat="1" applyFont="1" applyFill="1" applyBorder="1" applyAlignment="1">
      <alignment horizontal="center" wrapText="1"/>
    </xf>
    <xf numFmtId="4" fontId="1" fillId="0" borderId="1" xfId="0" applyNumberFormat="1" applyFont="1" applyBorder="1" applyAlignment="1">
      <alignment wrapText="1"/>
    </xf>
    <xf numFmtId="4" fontId="4" fillId="0" borderId="1" xfId="0" applyNumberFormat="1" applyFont="1" applyBorder="1"/>
    <xf numFmtId="4" fontId="5" fillId="0" borderId="0" xfId="0" applyNumberFormat="1" applyFont="1" applyBorder="1" applyAlignment="1">
      <alignment horizontal="left" wrapText="1"/>
    </xf>
    <xf numFmtId="4" fontId="1" fillId="0" borderId="0" xfId="0" applyNumberFormat="1" applyFont="1" applyBorder="1"/>
    <xf numFmtId="4" fontId="5" fillId="0" borderId="0" xfId="0" applyNumberFormat="1" applyFont="1" applyBorder="1"/>
    <xf numFmtId="4" fontId="1" fillId="0" borderId="0" xfId="0" applyNumberFormat="1" applyFont="1" applyBorder="1" applyAlignment="1">
      <alignment wrapText="1"/>
    </xf>
    <xf numFmtId="4" fontId="1" fillId="0" borderId="0" xfId="0" applyNumberFormat="1" applyFont="1" applyAlignment="1">
      <alignment horizontal="right"/>
    </xf>
    <xf numFmtId="4" fontId="5" fillId="0" borderId="0" xfId="0" applyNumberFormat="1" applyFont="1" applyBorder="1" applyAlignment="1">
      <alignment horizontal="left"/>
    </xf>
    <xf numFmtId="4" fontId="1" fillId="0" borderId="2" xfId="0" applyNumberFormat="1" applyFont="1" applyBorder="1" applyAlignment="1">
      <alignment horizontal="center" wrapText="1"/>
    </xf>
    <xf numFmtId="4" fontId="1" fillId="0" borderId="1" xfId="0" applyNumberFormat="1" applyFont="1" applyFill="1" applyBorder="1" applyAlignment="1">
      <alignment wrapText="1"/>
    </xf>
    <xf numFmtId="4" fontId="1" fillId="0" borderId="2" xfId="0" applyNumberFormat="1" applyFont="1" applyBorder="1"/>
    <xf numFmtId="4" fontId="5" fillId="0" borderId="2" xfId="0" applyNumberFormat="1" applyFont="1" applyBorder="1"/>
    <xf numFmtId="4" fontId="1" fillId="0" borderId="2" xfId="0" applyNumberFormat="1" applyFont="1" applyFill="1" applyBorder="1" applyAlignment="1">
      <alignment horizontal="center" wrapText="1"/>
    </xf>
    <xf numFmtId="4" fontId="1" fillId="0" borderId="9" xfId="0" applyNumberFormat="1" applyFont="1" applyBorder="1" applyAlignment="1">
      <alignment wrapText="1"/>
    </xf>
    <xf numFmtId="4" fontId="1" fillId="0" borderId="9" xfId="0" applyNumberFormat="1" applyFont="1" applyBorder="1"/>
    <xf numFmtId="4" fontId="5" fillId="0" borderId="2" xfId="0" applyNumberFormat="1" applyFont="1" applyBorder="1" applyAlignment="1"/>
    <xf numFmtId="4" fontId="0" fillId="0" borderId="1" xfId="0" applyNumberFormat="1" applyFont="1" applyBorder="1"/>
    <xf numFmtId="4" fontId="4" fillId="0" borderId="0" xfId="0" applyNumberFormat="1" applyFont="1"/>
    <xf numFmtId="4" fontId="1" fillId="0" borderId="0" xfId="0" applyNumberFormat="1" applyFont="1" applyFill="1" applyBorder="1"/>
    <xf numFmtId="4" fontId="1" fillId="0" borderId="0" xfId="0" applyNumberFormat="1" applyFont="1" applyBorder="1" applyAlignment="1">
      <alignment horizontal="center"/>
    </xf>
    <xf numFmtId="4" fontId="5" fillId="0" borderId="0" xfId="0" applyNumberFormat="1" applyFont="1" applyAlignment="1">
      <alignment horizontal="center"/>
    </xf>
    <xf numFmtId="4" fontId="1" fillId="0" borderId="0" xfId="0" applyNumberFormat="1" applyFont="1" applyBorder="1" applyAlignment="1"/>
    <xf numFmtId="4" fontId="1" fillId="0" borderId="0" xfId="0" applyNumberFormat="1" applyFont="1" applyAlignment="1"/>
    <xf numFmtId="4" fontId="1" fillId="0" borderId="0" xfId="0" applyNumberFormat="1" applyFont="1" applyBorder="1" applyAlignment="1">
      <alignment horizontal="center" wrapText="1"/>
    </xf>
    <xf numFmtId="4" fontId="5" fillId="3" borderId="1" xfId="0" applyNumberFormat="1" applyFont="1" applyFill="1" applyBorder="1"/>
    <xf numFmtId="164" fontId="1" fillId="0" borderId="1" xfId="0" applyNumberFormat="1" applyFont="1" applyBorder="1"/>
    <xf numFmtId="164" fontId="1" fillId="0" borderId="1" xfId="0" applyNumberFormat="1" applyFont="1" applyFill="1" applyBorder="1"/>
    <xf numFmtId="164" fontId="5" fillId="0" borderId="1" xfId="0" applyNumberFormat="1" applyFont="1" applyBorder="1" applyAlignment="1"/>
    <xf numFmtId="4" fontId="1" fillId="0" borderId="2" xfId="0" applyNumberFormat="1" applyFont="1" applyBorder="1" applyAlignment="1">
      <alignment horizontal="left"/>
    </xf>
    <xf numFmtId="4" fontId="0" fillId="0" borderId="3" xfId="0" applyNumberFormat="1" applyBorder="1" applyAlignment="1">
      <alignment horizontal="left"/>
    </xf>
    <xf numFmtId="4" fontId="0" fillId="0" borderId="4" xfId="0" applyNumberFormat="1" applyBorder="1" applyAlignment="1">
      <alignment horizontal="left"/>
    </xf>
    <xf numFmtId="4" fontId="5" fillId="0" borderId="2" xfId="0" applyNumberFormat="1" applyFont="1" applyBorder="1" applyAlignment="1">
      <alignment horizontal="left" wrapText="1"/>
    </xf>
    <xf numFmtId="4" fontId="5" fillId="0" borderId="3" xfId="0" applyNumberFormat="1" applyFont="1" applyBorder="1" applyAlignment="1">
      <alignment horizontal="left" wrapText="1"/>
    </xf>
    <xf numFmtId="4" fontId="5" fillId="0" borderId="4" xfId="0" applyNumberFormat="1" applyFont="1" applyBorder="1" applyAlignment="1">
      <alignment horizontal="left" wrapText="1"/>
    </xf>
    <xf numFmtId="4" fontId="1" fillId="0" borderId="1" xfId="0" applyNumberFormat="1" applyFont="1" applyBorder="1" applyAlignment="1">
      <alignment horizontal="left"/>
    </xf>
    <xf numFmtId="4" fontId="5" fillId="0" borderId="0" xfId="0" applyNumberFormat="1" applyFont="1" applyAlignment="1">
      <alignment horizontal="center"/>
    </xf>
    <xf numFmtId="4" fontId="1" fillId="0" borderId="2" xfId="0" applyNumberFormat="1" applyFont="1" applyBorder="1" applyAlignment="1">
      <alignment horizontal="center"/>
    </xf>
    <xf numFmtId="4" fontId="1" fillId="0" borderId="3" xfId="0" applyNumberFormat="1" applyFont="1" applyBorder="1" applyAlignment="1">
      <alignment horizontal="center"/>
    </xf>
    <xf numFmtId="4" fontId="1" fillId="0" borderId="4" xfId="0" applyNumberFormat="1" applyFont="1" applyBorder="1" applyAlignment="1">
      <alignment horizontal="center"/>
    </xf>
    <xf numFmtId="4" fontId="1" fillId="0" borderId="3" xfId="0" applyNumberFormat="1" applyFont="1" applyBorder="1" applyAlignment="1">
      <alignment horizontal="left"/>
    </xf>
    <xf numFmtId="4" fontId="1" fillId="0" borderId="4" xfId="0" applyNumberFormat="1" applyFont="1" applyBorder="1" applyAlignment="1">
      <alignment horizontal="left"/>
    </xf>
    <xf numFmtId="4" fontId="1" fillId="0" borderId="1" xfId="0" applyNumberFormat="1" applyFont="1" applyBorder="1" applyAlignment="1">
      <alignment horizontal="center"/>
    </xf>
    <xf numFmtId="4" fontId="1" fillId="0" borderId="2" xfId="0" applyNumberFormat="1" applyFont="1" applyBorder="1"/>
    <xf numFmtId="4" fontId="1" fillId="0" borderId="4" xfId="0" applyNumberFormat="1" applyFont="1" applyBorder="1"/>
    <xf numFmtId="4" fontId="5" fillId="0" borderId="2" xfId="0" applyNumberFormat="1" applyFont="1" applyBorder="1" applyAlignment="1">
      <alignment horizontal="left"/>
    </xf>
    <xf numFmtId="4" fontId="5" fillId="0" borderId="3" xfId="0" applyNumberFormat="1" applyFont="1" applyBorder="1" applyAlignment="1">
      <alignment horizontal="left"/>
    </xf>
    <xf numFmtId="4" fontId="1" fillId="0" borderId="2" xfId="0" applyNumberFormat="1" applyFont="1" applyBorder="1" applyAlignment="1">
      <alignment horizontal="left" wrapText="1"/>
    </xf>
    <xf numFmtId="4" fontId="1" fillId="0" borderId="3" xfId="0" applyNumberFormat="1" applyFont="1" applyBorder="1" applyAlignment="1">
      <alignment horizontal="left" wrapText="1"/>
    </xf>
    <xf numFmtId="4" fontId="1" fillId="0" borderId="4" xfId="0" applyNumberFormat="1" applyFont="1" applyBorder="1" applyAlignment="1">
      <alignment horizontal="left" wrapText="1"/>
    </xf>
    <xf numFmtId="4" fontId="5" fillId="0" borderId="4" xfId="0" applyNumberFormat="1" applyFont="1" applyBorder="1" applyAlignment="1">
      <alignment horizontal="left"/>
    </xf>
    <xf numFmtId="4" fontId="1" fillId="0" borderId="1" xfId="0" applyNumberFormat="1" applyFont="1" applyBorder="1" applyAlignment="1">
      <alignment horizontal="center" wrapText="1"/>
    </xf>
    <xf numFmtId="4" fontId="1" fillId="0" borderId="5" xfId="0" applyNumberFormat="1" applyFont="1" applyBorder="1" applyAlignment="1">
      <alignment horizontal="center" wrapText="1"/>
    </xf>
    <xf numFmtId="4" fontId="1" fillId="0" borderId="6" xfId="0" applyNumberFormat="1" applyFont="1" applyBorder="1" applyAlignment="1">
      <alignment horizontal="center" wrapText="1"/>
    </xf>
    <xf numFmtId="4" fontId="1" fillId="0" borderId="7" xfId="0" applyNumberFormat="1" applyFont="1" applyBorder="1" applyAlignment="1">
      <alignment horizontal="center" wrapText="1"/>
    </xf>
    <xf numFmtId="4" fontId="1" fillId="0" borderId="8" xfId="0" applyNumberFormat="1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left"/>
    </xf>
    <xf numFmtId="4" fontId="3" fillId="0" borderId="0" xfId="0" applyNumberFormat="1" applyFont="1" applyAlignment="1">
      <alignment horizontal="left"/>
    </xf>
    <xf numFmtId="4" fontId="0" fillId="0" borderId="0" xfId="0" applyNumberFormat="1" applyAlignment="1"/>
    <xf numFmtId="4" fontId="3" fillId="0" borderId="0" xfId="0" applyNumberFormat="1" applyFont="1" applyAlignment="1"/>
    <xf numFmtId="4" fontId="2" fillId="0" borderId="0" xfId="0" applyNumberFormat="1" applyFont="1" applyAlignment="1">
      <alignment horizontal="center"/>
    </xf>
    <xf numFmtId="4" fontId="1" fillId="0" borderId="1" xfId="0" applyNumberFormat="1" applyFont="1" applyFill="1" applyBorder="1" applyAlignment="1">
      <alignment horizontal="left"/>
    </xf>
    <xf numFmtId="4" fontId="0" fillId="0" borderId="10" xfId="0" applyNumberFormat="1" applyBorder="1" applyAlignment="1"/>
    <xf numFmtId="4" fontId="0" fillId="0" borderId="3" xfId="0" applyNumberFormat="1" applyBorder="1" applyAlignment="1">
      <alignment horizontal="center"/>
    </xf>
    <xf numFmtId="4" fontId="0" fillId="0" borderId="4" xfId="0" applyNumberFormat="1" applyBorder="1" applyAlignment="1">
      <alignment horizontal="center"/>
    </xf>
    <xf numFmtId="4" fontId="5" fillId="0" borderId="10" xfId="0" applyNumberFormat="1" applyFont="1" applyBorder="1" applyAlignment="1">
      <alignment horizontal="center"/>
    </xf>
    <xf numFmtId="4" fontId="0" fillId="0" borderId="10" xfId="0" applyNumberFormat="1" applyBorder="1" applyAlignment="1">
      <alignment horizontal="center"/>
    </xf>
    <xf numFmtId="4" fontId="0" fillId="0" borderId="0" xfId="0" applyNumberFormat="1" applyBorder="1" applyAlignment="1"/>
    <xf numFmtId="4" fontId="1" fillId="0" borderId="1" xfId="0" applyNumberFormat="1" applyFont="1" applyBorder="1" applyAlignment="1">
      <alignment horizontal="left" wrapText="1"/>
    </xf>
    <xf numFmtId="4" fontId="1" fillId="0" borderId="2" xfId="0" applyNumberFormat="1" applyFont="1" applyBorder="1" applyAlignment="1">
      <alignment horizontal="center" wrapText="1"/>
    </xf>
    <xf numFmtId="4" fontId="1" fillId="0" borderId="3" xfId="0" applyNumberFormat="1" applyFont="1" applyBorder="1" applyAlignment="1">
      <alignment horizontal="center" wrapText="1"/>
    </xf>
    <xf numFmtId="4" fontId="1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A3" sqref="A3"/>
    </sheetView>
  </sheetViews>
  <sheetFormatPr defaultRowHeight="15" x14ac:dyDescent="0.25"/>
  <cols>
    <col min="1" max="2" width="18.28515625" customWidth="1"/>
  </cols>
  <sheetData>
    <row r="1" spans="1:2" ht="33" customHeight="1" x14ac:dyDescent="0.25">
      <c r="A1" s="4" t="s">
        <v>79</v>
      </c>
      <c r="B1" s="4" t="s">
        <v>80</v>
      </c>
    </row>
    <row r="2" spans="1:2" ht="31.5" customHeight="1" x14ac:dyDescent="0.25">
      <c r="A2" s="5">
        <f>'Услуга №1 '!I106+'Работа №1'!I105+'Работа №2'!I103+'Работа №3'!I97</f>
        <v>4864880.7011136003</v>
      </c>
      <c r="B2" s="5">
        <f>'Услуга №1 '!L106+'Работа №1'!K105+'Работа №2'!L103+'Работа №3'!L97</f>
        <v>4864880.7011136003</v>
      </c>
    </row>
    <row r="6" spans="1:2" x14ac:dyDescent="0.25">
      <c r="A6" s="1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11"/>
  <sheetViews>
    <sheetView tabSelected="1" topLeftCell="A84" zoomScale="85" zoomScaleNormal="85" workbookViewId="0">
      <selection activeCell="L107" sqref="L107"/>
    </sheetView>
  </sheetViews>
  <sheetFormatPr defaultRowHeight="15" x14ac:dyDescent="0.25"/>
  <cols>
    <col min="1" max="1" width="13.140625" style="3" customWidth="1"/>
    <col min="2" max="4" width="9.140625" style="3"/>
    <col min="5" max="5" width="14.140625" style="3" customWidth="1"/>
    <col min="6" max="6" width="11.42578125" style="3" customWidth="1"/>
    <col min="7" max="7" width="9.7109375" style="3" customWidth="1"/>
    <col min="8" max="8" width="14" style="3" customWidth="1"/>
    <col min="9" max="9" width="13.7109375" style="3" customWidth="1"/>
    <col min="10" max="10" width="17" style="3" customWidth="1"/>
    <col min="11" max="11" width="14.140625" style="3" customWidth="1"/>
    <col min="12" max="12" width="14.7109375" style="3" customWidth="1"/>
    <col min="13" max="13" width="13.85546875" style="3" hidden="1" customWidth="1"/>
    <col min="14" max="16384" width="9.140625" style="3"/>
  </cols>
  <sheetData>
    <row r="2" spans="1:13" ht="15.75" x14ac:dyDescent="0.25">
      <c r="A2" s="13" t="s">
        <v>60</v>
      </c>
      <c r="B2" s="13"/>
      <c r="C2" s="1"/>
      <c r="D2" s="1"/>
    </row>
    <row r="3" spans="1:13" ht="15.75" x14ac:dyDescent="0.25">
      <c r="A3" s="14" t="s">
        <v>61</v>
      </c>
      <c r="B3" s="14"/>
      <c r="C3" s="1"/>
      <c r="D3" s="1"/>
    </row>
    <row r="4" spans="1:13" ht="6" customHeight="1" x14ac:dyDescent="0.25">
      <c r="A4" s="15"/>
      <c r="B4" s="16"/>
      <c r="C4" s="1"/>
      <c r="D4" s="1"/>
    </row>
    <row r="5" spans="1:13" ht="15.75" x14ac:dyDescent="0.25">
      <c r="A5" s="78" t="s">
        <v>62</v>
      </c>
      <c r="B5" s="78"/>
      <c r="C5" s="78"/>
      <c r="D5" s="79"/>
      <c r="E5" s="79"/>
      <c r="F5" s="79"/>
    </row>
    <row r="6" spans="1:13" ht="15.75" x14ac:dyDescent="0.25">
      <c r="A6" s="80" t="s">
        <v>100</v>
      </c>
      <c r="B6" s="80"/>
      <c r="C6" s="80"/>
      <c r="D6" s="79"/>
    </row>
    <row r="7" spans="1:13" ht="15.75" x14ac:dyDescent="0.25">
      <c r="A7" s="17"/>
      <c r="B7" s="17"/>
      <c r="C7" s="17"/>
      <c r="D7" s="13"/>
    </row>
    <row r="9" spans="1:13" ht="15.75" x14ac:dyDescent="0.25">
      <c r="A9" s="81" t="s">
        <v>59</v>
      </c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</row>
    <row r="10" spans="1:13" ht="15.75" x14ac:dyDescent="0.25">
      <c r="A10" s="81" t="s">
        <v>91</v>
      </c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</row>
    <row r="11" spans="1:13" ht="15.75" x14ac:dyDescent="0.25">
      <c r="A11" s="81" t="s">
        <v>101</v>
      </c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</row>
    <row r="13" spans="1:13" s="2" customFormat="1" x14ac:dyDescent="0.25">
      <c r="A13" s="12" t="s">
        <v>66</v>
      </c>
    </row>
    <row r="14" spans="1:13" s="2" customFormat="1" x14ac:dyDescent="0.25">
      <c r="A14" s="12" t="s">
        <v>67</v>
      </c>
    </row>
    <row r="15" spans="1:13" s="2" customFormat="1" x14ac:dyDescent="0.25">
      <c r="A15" s="12" t="s">
        <v>72</v>
      </c>
    </row>
    <row r="16" spans="1:13" s="2" customFormat="1" x14ac:dyDescent="0.25">
      <c r="A16" s="12" t="s">
        <v>102</v>
      </c>
    </row>
    <row r="17" spans="1:13" x14ac:dyDescent="0.25">
      <c r="A17" s="12" t="s">
        <v>73</v>
      </c>
      <c r="B17" s="2"/>
      <c r="C17" s="2"/>
      <c r="D17" s="2"/>
      <c r="E17" s="2"/>
    </row>
    <row r="18" spans="1:13" s="2" customFormat="1" ht="33" customHeight="1" x14ac:dyDescent="0.25">
      <c r="A18" s="72" t="s">
        <v>0</v>
      </c>
      <c r="B18" s="72"/>
      <c r="C18" s="72"/>
      <c r="D18" s="72"/>
      <c r="E18" s="72"/>
      <c r="F18" s="18" t="s">
        <v>1</v>
      </c>
      <c r="G18" s="72" t="s">
        <v>2</v>
      </c>
      <c r="H18" s="72"/>
      <c r="I18" s="72"/>
      <c r="J18" s="72"/>
      <c r="K18" s="72"/>
      <c r="L18" s="19" t="s">
        <v>1</v>
      </c>
    </row>
    <row r="19" spans="1:13" s="2" customFormat="1" x14ac:dyDescent="0.25">
      <c r="A19" s="50" t="s">
        <v>6</v>
      </c>
      <c r="B19" s="61"/>
      <c r="C19" s="61"/>
      <c r="D19" s="61"/>
      <c r="E19" s="62"/>
      <c r="F19" s="19">
        <v>0.55000000000000004</v>
      </c>
      <c r="G19" s="82" t="s">
        <v>5</v>
      </c>
      <c r="H19" s="82"/>
      <c r="I19" s="82"/>
      <c r="J19" s="82"/>
      <c r="K19" s="82"/>
      <c r="L19" s="20">
        <v>0.55000000000000004</v>
      </c>
    </row>
    <row r="20" spans="1:13" s="2" customFormat="1" x14ac:dyDescent="0.25">
      <c r="A20" s="50" t="s">
        <v>3</v>
      </c>
      <c r="B20" s="61"/>
      <c r="C20" s="61"/>
      <c r="D20" s="61"/>
      <c r="E20" s="62"/>
      <c r="F20" s="19">
        <v>0.55000000000000004</v>
      </c>
      <c r="G20" s="82" t="s">
        <v>13</v>
      </c>
      <c r="H20" s="82"/>
      <c r="I20" s="82"/>
      <c r="J20" s="82"/>
      <c r="K20" s="82"/>
      <c r="L20" s="20">
        <v>0.55000000000000004</v>
      </c>
    </row>
    <row r="21" spans="1:13" s="2" customFormat="1" x14ac:dyDescent="0.25">
      <c r="A21" s="50" t="s">
        <v>4</v>
      </c>
      <c r="B21" s="61"/>
      <c r="C21" s="61"/>
      <c r="D21" s="61"/>
      <c r="E21" s="62"/>
      <c r="F21" s="19">
        <v>0.55000000000000004</v>
      </c>
      <c r="G21" s="56"/>
      <c r="H21" s="56"/>
      <c r="I21" s="56"/>
      <c r="J21" s="56"/>
      <c r="K21" s="56"/>
      <c r="L21" s="19"/>
    </row>
    <row r="22" spans="1:13" s="2" customFormat="1" x14ac:dyDescent="0.25">
      <c r="A22" s="50" t="s">
        <v>11</v>
      </c>
      <c r="B22" s="61"/>
      <c r="C22" s="61"/>
      <c r="D22" s="61"/>
      <c r="E22" s="62"/>
      <c r="F22" s="19">
        <v>0.55000000000000004</v>
      </c>
      <c r="G22" s="56"/>
      <c r="H22" s="56"/>
      <c r="I22" s="56"/>
      <c r="J22" s="56"/>
      <c r="K22" s="56"/>
      <c r="L22" s="19"/>
    </row>
    <row r="23" spans="1:13" s="2" customFormat="1" x14ac:dyDescent="0.25">
      <c r="A23" s="50" t="s">
        <v>7</v>
      </c>
      <c r="B23" s="61"/>
      <c r="C23" s="61"/>
      <c r="D23" s="61"/>
      <c r="E23" s="62"/>
      <c r="F23" s="19">
        <v>0.55000000000000004</v>
      </c>
      <c r="G23" s="56"/>
      <c r="H23" s="56"/>
      <c r="I23" s="56"/>
      <c r="J23" s="56"/>
      <c r="K23" s="56"/>
      <c r="L23" s="19"/>
    </row>
    <row r="24" spans="1:13" s="2" customFormat="1" x14ac:dyDescent="0.25">
      <c r="A24" s="50" t="s">
        <v>10</v>
      </c>
      <c r="B24" s="61"/>
      <c r="C24" s="61"/>
      <c r="D24" s="61"/>
      <c r="E24" s="62"/>
      <c r="F24" s="19">
        <v>0.55000000000000004</v>
      </c>
      <c r="G24" s="56"/>
      <c r="H24" s="56"/>
      <c r="I24" s="56"/>
      <c r="J24" s="56"/>
      <c r="K24" s="56"/>
      <c r="L24" s="19"/>
    </row>
    <row r="25" spans="1:13" s="2" customFormat="1" x14ac:dyDescent="0.25">
      <c r="A25" s="50" t="s">
        <v>9</v>
      </c>
      <c r="B25" s="61"/>
      <c r="C25" s="61"/>
      <c r="D25" s="61"/>
      <c r="E25" s="62"/>
      <c r="F25" s="19">
        <v>0.27</v>
      </c>
      <c r="G25" s="56"/>
      <c r="H25" s="56"/>
      <c r="I25" s="56"/>
      <c r="J25" s="56"/>
      <c r="K25" s="56"/>
      <c r="L25" s="19"/>
    </row>
    <row r="26" spans="1:13" s="2" customFormat="1" x14ac:dyDescent="0.25">
      <c r="A26" s="50" t="s">
        <v>12</v>
      </c>
      <c r="B26" s="61"/>
      <c r="C26" s="61"/>
      <c r="D26" s="61"/>
      <c r="E26" s="62"/>
      <c r="F26" s="19">
        <v>0.55000000000000004</v>
      </c>
      <c r="G26" s="56"/>
      <c r="H26" s="56"/>
      <c r="I26" s="56"/>
      <c r="J26" s="56"/>
      <c r="K26" s="56"/>
      <c r="L26" s="19"/>
    </row>
    <row r="27" spans="1:13" s="2" customFormat="1" ht="28.5" customHeight="1" x14ac:dyDescent="0.25">
      <c r="A27" s="68" t="s">
        <v>8</v>
      </c>
      <c r="B27" s="69"/>
      <c r="C27" s="69"/>
      <c r="D27" s="69"/>
      <c r="E27" s="70"/>
      <c r="F27" s="19">
        <v>0.55000000000000004</v>
      </c>
      <c r="G27" s="56"/>
      <c r="H27" s="56"/>
      <c r="I27" s="56"/>
      <c r="J27" s="56"/>
      <c r="K27" s="56"/>
      <c r="L27" s="19"/>
    </row>
    <row r="28" spans="1:13" s="2" customFormat="1" x14ac:dyDescent="0.25">
      <c r="A28" s="50" t="s">
        <v>56</v>
      </c>
      <c r="B28" s="61"/>
      <c r="C28" s="61"/>
      <c r="D28" s="61"/>
      <c r="E28" s="62"/>
      <c r="F28" s="19">
        <v>0.55000000000000004</v>
      </c>
      <c r="G28" s="56"/>
      <c r="H28" s="56"/>
      <c r="I28" s="56"/>
      <c r="J28" s="56"/>
      <c r="K28" s="56"/>
      <c r="L28" s="19"/>
    </row>
    <row r="29" spans="1:13" s="2" customFormat="1" x14ac:dyDescent="0.25">
      <c r="A29" s="50"/>
      <c r="B29" s="61"/>
      <c r="C29" s="61"/>
      <c r="D29" s="61"/>
      <c r="E29" s="62"/>
      <c r="F29" s="19"/>
      <c r="G29" s="56"/>
      <c r="H29" s="56"/>
      <c r="I29" s="56"/>
      <c r="J29" s="56"/>
      <c r="K29" s="56"/>
      <c r="L29" s="19"/>
    </row>
    <row r="30" spans="1:13" s="2" customFormat="1" x14ac:dyDescent="0.25">
      <c r="A30" s="50"/>
      <c r="B30" s="61"/>
      <c r="C30" s="61"/>
      <c r="D30" s="61"/>
      <c r="E30" s="62"/>
      <c r="F30" s="19"/>
      <c r="G30" s="56"/>
      <c r="H30" s="56"/>
      <c r="I30" s="56"/>
      <c r="J30" s="56"/>
      <c r="K30" s="56"/>
      <c r="L30" s="19"/>
    </row>
    <row r="31" spans="1:13" s="2" customFormat="1" x14ac:dyDescent="0.25">
      <c r="A31" s="50"/>
      <c r="B31" s="61"/>
      <c r="C31" s="61"/>
      <c r="D31" s="61"/>
      <c r="E31" s="62"/>
      <c r="F31" s="19"/>
      <c r="G31" s="56"/>
      <c r="H31" s="56"/>
      <c r="I31" s="56"/>
      <c r="J31" s="56"/>
      <c r="K31" s="56"/>
      <c r="L31" s="19"/>
    </row>
    <row r="32" spans="1:13" s="2" customFormat="1" x14ac:dyDescent="0.25">
      <c r="A32" s="63" t="s">
        <v>14</v>
      </c>
      <c r="B32" s="63"/>
      <c r="C32" s="63"/>
      <c r="D32" s="63"/>
      <c r="E32" s="63"/>
      <c r="F32" s="19">
        <f>SUM(F19:F31)</f>
        <v>5.22</v>
      </c>
      <c r="G32" s="63" t="s">
        <v>14</v>
      </c>
      <c r="H32" s="63"/>
      <c r="I32" s="63"/>
      <c r="J32" s="63"/>
      <c r="K32" s="63"/>
      <c r="L32" s="19">
        <f>SUM(L19:L31)</f>
        <v>1.1000000000000001</v>
      </c>
      <c r="M32" s="12">
        <f>F32+L32+'Работа №1'!F30+'Работа №1'!L30+'Работа №2'!F30+'Работа №2'!L30+'Работа №3'!F26+'Работа №3'!L26</f>
        <v>11.511500000000002</v>
      </c>
    </row>
    <row r="33" spans="1:13" s="2" customFormat="1" x14ac:dyDescent="0.25"/>
    <row r="34" spans="1:13" s="2" customFormat="1" x14ac:dyDescent="0.25">
      <c r="A34" s="12" t="s">
        <v>58</v>
      </c>
      <c r="F34" s="2">
        <v>20222</v>
      </c>
    </row>
    <row r="35" spans="1:13" s="2" customFormat="1" x14ac:dyDescent="0.25"/>
    <row r="36" spans="1:13" s="2" customFormat="1" ht="60.75" customHeight="1" x14ac:dyDescent="0.25">
      <c r="A36" s="63" t="s">
        <v>15</v>
      </c>
      <c r="B36" s="63"/>
      <c r="C36" s="63"/>
      <c r="D36" s="63"/>
      <c r="E36" s="63"/>
      <c r="F36" s="18" t="s">
        <v>16</v>
      </c>
      <c r="G36" s="18" t="s">
        <v>1</v>
      </c>
      <c r="H36" s="18" t="s">
        <v>74</v>
      </c>
      <c r="I36" s="18" t="s">
        <v>75</v>
      </c>
      <c r="J36" s="18" t="s">
        <v>76</v>
      </c>
      <c r="K36" s="21" t="s">
        <v>77</v>
      </c>
      <c r="L36" s="27"/>
    </row>
    <row r="37" spans="1:13" s="2" customFormat="1" ht="14.25" hidden="1" customHeight="1" x14ac:dyDescent="0.25">
      <c r="A37" s="56" t="s">
        <v>6</v>
      </c>
      <c r="B37" s="56"/>
      <c r="C37" s="56"/>
      <c r="D37" s="56"/>
      <c r="E37" s="56"/>
      <c r="F37" s="19">
        <v>11538</v>
      </c>
      <c r="G37" s="19">
        <f>F19</f>
        <v>0.55000000000000004</v>
      </c>
      <c r="H37" s="19">
        <f>F37*G37*12</f>
        <v>76150.8</v>
      </c>
      <c r="I37" s="19">
        <f>H37*1.302</f>
        <v>99148.341600000014</v>
      </c>
      <c r="J37" s="19">
        <v>20222</v>
      </c>
      <c r="K37" s="19">
        <f>I37/J37</f>
        <v>4.9029938482840478</v>
      </c>
      <c r="L37" s="25"/>
    </row>
    <row r="38" spans="1:13" s="2" customFormat="1" ht="15" hidden="1" customHeight="1" x14ac:dyDescent="0.25">
      <c r="A38" s="56" t="s">
        <v>3</v>
      </c>
      <c r="B38" s="56"/>
      <c r="C38" s="56"/>
      <c r="D38" s="56"/>
      <c r="E38" s="56"/>
      <c r="F38" s="19">
        <v>11235</v>
      </c>
      <c r="G38" s="19">
        <f t="shared" ref="G38:G46" si="0">F20</f>
        <v>0.55000000000000004</v>
      </c>
      <c r="H38" s="19">
        <f>F38*G38*12</f>
        <v>74151.000000000015</v>
      </c>
      <c r="I38" s="19">
        <f>H38*1.302</f>
        <v>96544.602000000028</v>
      </c>
      <c r="J38" s="19">
        <v>20222</v>
      </c>
      <c r="K38" s="19">
        <f>I38/J38</f>
        <v>4.7742360795173591</v>
      </c>
      <c r="L38" s="25"/>
    </row>
    <row r="39" spans="1:13" s="2" customFormat="1" ht="15" hidden="1" customHeight="1" x14ac:dyDescent="0.25">
      <c r="A39" s="56" t="s">
        <v>4</v>
      </c>
      <c r="B39" s="56"/>
      <c r="C39" s="56"/>
      <c r="D39" s="56"/>
      <c r="E39" s="56"/>
      <c r="F39" s="19">
        <v>11538</v>
      </c>
      <c r="G39" s="19">
        <f t="shared" si="0"/>
        <v>0.55000000000000004</v>
      </c>
      <c r="H39" s="19">
        <f>F39*G39*12</f>
        <v>76150.8</v>
      </c>
      <c r="I39" s="19">
        <f t="shared" ref="I39:I46" si="1">H39*1.302</f>
        <v>99148.341600000014</v>
      </c>
      <c r="J39" s="19">
        <v>20222</v>
      </c>
      <c r="K39" s="19">
        <f t="shared" ref="K39:K43" si="2">I39/J39</f>
        <v>4.9029938482840478</v>
      </c>
      <c r="L39" s="25"/>
    </row>
    <row r="40" spans="1:13" s="2" customFormat="1" ht="15" hidden="1" customHeight="1" x14ac:dyDescent="0.25">
      <c r="A40" s="56" t="s">
        <v>11</v>
      </c>
      <c r="B40" s="56"/>
      <c r="C40" s="56"/>
      <c r="D40" s="56"/>
      <c r="E40" s="56"/>
      <c r="F40" s="19">
        <v>8837</v>
      </c>
      <c r="G40" s="19">
        <f t="shared" si="0"/>
        <v>0.55000000000000004</v>
      </c>
      <c r="H40" s="19">
        <f t="shared" ref="H40:H46" si="3">F40*G40*12</f>
        <v>58324.200000000004</v>
      </c>
      <c r="I40" s="19">
        <f t="shared" si="1"/>
        <v>75938.108400000012</v>
      </c>
      <c r="J40" s="19">
        <v>20222</v>
      </c>
      <c r="K40" s="19">
        <f>I40/J40</f>
        <v>3.7552224507961633</v>
      </c>
      <c r="L40" s="25"/>
    </row>
    <row r="41" spans="1:13" s="2" customFormat="1" ht="15" hidden="1" customHeight="1" x14ac:dyDescent="0.25">
      <c r="A41" s="56" t="s">
        <v>7</v>
      </c>
      <c r="B41" s="56"/>
      <c r="C41" s="56"/>
      <c r="D41" s="56"/>
      <c r="E41" s="56"/>
      <c r="F41" s="19">
        <v>8837</v>
      </c>
      <c r="G41" s="19">
        <f t="shared" si="0"/>
        <v>0.55000000000000004</v>
      </c>
      <c r="H41" s="19">
        <f>F41*G41*12</f>
        <v>58324.200000000004</v>
      </c>
      <c r="I41" s="19">
        <f>H41*1.302</f>
        <v>75938.108400000012</v>
      </c>
      <c r="J41" s="19">
        <v>20222</v>
      </c>
      <c r="K41" s="19">
        <f t="shared" si="2"/>
        <v>3.7552224507961633</v>
      </c>
      <c r="L41" s="25"/>
    </row>
    <row r="42" spans="1:13" s="2" customFormat="1" ht="15" hidden="1" customHeight="1" x14ac:dyDescent="0.25">
      <c r="A42" s="56" t="s">
        <v>10</v>
      </c>
      <c r="B42" s="56"/>
      <c r="C42" s="56"/>
      <c r="D42" s="56"/>
      <c r="E42" s="56"/>
      <c r="F42" s="19">
        <v>4496</v>
      </c>
      <c r="G42" s="19">
        <f t="shared" si="0"/>
        <v>0.55000000000000004</v>
      </c>
      <c r="H42" s="19">
        <f t="shared" si="3"/>
        <v>29673.600000000002</v>
      </c>
      <c r="I42" s="19">
        <f t="shared" si="1"/>
        <v>38635.027200000004</v>
      </c>
      <c r="J42" s="19">
        <v>20222</v>
      </c>
      <c r="K42" s="19">
        <f t="shared" si="2"/>
        <v>1.9105443180694295</v>
      </c>
      <c r="L42" s="25"/>
    </row>
    <row r="43" spans="1:13" s="2" customFormat="1" ht="15" hidden="1" customHeight="1" x14ac:dyDescent="0.25">
      <c r="A43" s="56" t="s">
        <v>9</v>
      </c>
      <c r="B43" s="56"/>
      <c r="C43" s="56"/>
      <c r="D43" s="56"/>
      <c r="E43" s="56"/>
      <c r="F43" s="23">
        <v>4418.5</v>
      </c>
      <c r="G43" s="19">
        <f>F25</f>
        <v>0.27</v>
      </c>
      <c r="H43" s="19">
        <f t="shared" si="3"/>
        <v>14315.940000000002</v>
      </c>
      <c r="I43" s="19">
        <f t="shared" si="1"/>
        <v>18639.353880000002</v>
      </c>
      <c r="J43" s="19">
        <v>20222</v>
      </c>
      <c r="K43" s="19">
        <f t="shared" si="2"/>
        <v>0.92173641974087639</v>
      </c>
      <c r="L43" s="25"/>
    </row>
    <row r="44" spans="1:13" s="2" customFormat="1" ht="17.25" hidden="1" customHeight="1" x14ac:dyDescent="0.25">
      <c r="A44" s="68" t="s">
        <v>12</v>
      </c>
      <c r="B44" s="69"/>
      <c r="C44" s="69"/>
      <c r="D44" s="69"/>
      <c r="E44" s="70"/>
      <c r="F44" s="23">
        <v>8837</v>
      </c>
      <c r="G44" s="19">
        <f t="shared" si="0"/>
        <v>0.55000000000000004</v>
      </c>
      <c r="H44" s="19">
        <f t="shared" si="3"/>
        <v>58324.200000000004</v>
      </c>
      <c r="I44" s="19">
        <f>H44*1.302</f>
        <v>75938.108400000012</v>
      </c>
      <c r="J44" s="19">
        <v>20222</v>
      </c>
      <c r="K44" s="19">
        <f>I44/J44</f>
        <v>3.7552224507961633</v>
      </c>
      <c r="L44" s="25"/>
    </row>
    <row r="45" spans="1:13" s="2" customFormat="1" ht="30" hidden="1" customHeight="1" x14ac:dyDescent="0.25">
      <c r="A45" s="68" t="s">
        <v>8</v>
      </c>
      <c r="B45" s="69"/>
      <c r="C45" s="69"/>
      <c r="D45" s="69"/>
      <c r="E45" s="70"/>
      <c r="F45" s="23">
        <v>11538</v>
      </c>
      <c r="G45" s="19">
        <f t="shared" si="0"/>
        <v>0.55000000000000004</v>
      </c>
      <c r="H45" s="19">
        <f t="shared" si="3"/>
        <v>76150.8</v>
      </c>
      <c r="I45" s="19">
        <f t="shared" si="1"/>
        <v>99148.341600000014</v>
      </c>
      <c r="J45" s="19">
        <v>20222</v>
      </c>
      <c r="K45" s="19">
        <f>I45/J45</f>
        <v>4.9029938482840478</v>
      </c>
      <c r="L45" s="25"/>
    </row>
    <row r="46" spans="1:13" s="2" customFormat="1" ht="15.75" hidden="1" customHeight="1" x14ac:dyDescent="0.25">
      <c r="A46" s="56" t="s">
        <v>56</v>
      </c>
      <c r="B46" s="56"/>
      <c r="C46" s="56"/>
      <c r="D46" s="56"/>
      <c r="E46" s="56"/>
      <c r="F46" s="23">
        <v>11538</v>
      </c>
      <c r="G46" s="19">
        <f t="shared" si="0"/>
        <v>0.55000000000000004</v>
      </c>
      <c r="H46" s="19">
        <f t="shared" si="3"/>
        <v>76150.8</v>
      </c>
      <c r="I46" s="19">
        <f t="shared" si="1"/>
        <v>99148.341600000014</v>
      </c>
      <c r="J46" s="19">
        <v>20222</v>
      </c>
      <c r="K46" s="19">
        <f>I46/J46</f>
        <v>4.9029938482840478</v>
      </c>
      <c r="L46" s="25"/>
    </row>
    <row r="47" spans="1:13" s="2" customFormat="1" ht="30" customHeight="1" x14ac:dyDescent="0.25">
      <c r="A47" s="53" t="s">
        <v>70</v>
      </c>
      <c r="B47" s="54"/>
      <c r="C47" s="54"/>
      <c r="D47" s="54"/>
      <c r="E47" s="55"/>
      <c r="F47" s="8">
        <v>22554.42</v>
      </c>
      <c r="G47" s="8">
        <f>SUM(G37:G46)</f>
        <v>5.22</v>
      </c>
      <c r="H47" s="8">
        <f>(F47*G47)*12</f>
        <v>1412808.8687999998</v>
      </c>
      <c r="I47" s="8">
        <f>(H47*1.302)-0.04+0.01</f>
        <v>1839477.1171775998</v>
      </c>
      <c r="J47" s="8">
        <v>20222</v>
      </c>
      <c r="K47" s="8">
        <f>I47/J47</f>
        <v>90.964153752230231</v>
      </c>
      <c r="L47" s="25"/>
      <c r="M47" s="12">
        <f>I47+'Работа №1'!I43+'Работа №2'!I43+'Работа №3'!I34</f>
        <v>2902581.9738495997</v>
      </c>
    </row>
    <row r="48" spans="1:13" s="2" customFormat="1" ht="17.25" customHeight="1" x14ac:dyDescent="0.25">
      <c r="A48" s="24"/>
      <c r="B48" s="24"/>
      <c r="C48" s="24"/>
      <c r="D48" s="24"/>
      <c r="E48" s="24"/>
      <c r="F48" s="25"/>
      <c r="G48" s="25"/>
      <c r="H48" s="25"/>
      <c r="I48" s="25"/>
      <c r="J48" s="25"/>
      <c r="K48" s="25"/>
      <c r="L48" s="25"/>
    </row>
    <row r="49" spans="1:14" s="2" customFormat="1" x14ac:dyDescent="0.25">
      <c r="A49" s="57" t="s">
        <v>18</v>
      </c>
      <c r="B49" s="57"/>
      <c r="C49" s="57"/>
      <c r="D49" s="57"/>
      <c r="E49" s="57"/>
      <c r="F49" s="57"/>
      <c r="G49" s="57"/>
      <c r="H49" s="57"/>
      <c r="I49" s="57"/>
      <c r="J49" s="57"/>
      <c r="K49" s="57"/>
      <c r="L49" s="57"/>
    </row>
    <row r="50" spans="1:14" s="2" customFormat="1" ht="60" customHeight="1" x14ac:dyDescent="0.25">
      <c r="A50" s="63" t="s">
        <v>19</v>
      </c>
      <c r="B50" s="63"/>
      <c r="C50" s="63"/>
      <c r="D50" s="63"/>
      <c r="E50" s="63"/>
      <c r="F50" s="18" t="s">
        <v>17</v>
      </c>
      <c r="G50" s="18" t="s">
        <v>69</v>
      </c>
      <c r="H50" s="18" t="s">
        <v>68</v>
      </c>
      <c r="I50" s="18" t="s">
        <v>81</v>
      </c>
      <c r="J50" s="18" t="s">
        <v>76</v>
      </c>
      <c r="K50" s="21" t="s">
        <v>77</v>
      </c>
      <c r="L50" s="27"/>
    </row>
    <row r="51" spans="1:14" s="2" customFormat="1" x14ac:dyDescent="0.25">
      <c r="A51" s="56" t="s">
        <v>20</v>
      </c>
      <c r="B51" s="56"/>
      <c r="C51" s="56"/>
      <c r="D51" s="56"/>
      <c r="E51" s="56"/>
      <c r="F51" s="19" t="s">
        <v>24</v>
      </c>
      <c r="G51" s="19">
        <v>7808</v>
      </c>
      <c r="H51" s="19">
        <v>7.8</v>
      </c>
      <c r="I51" s="19">
        <f>(G51*H51)*54.5%</f>
        <v>33191.808000000005</v>
      </c>
      <c r="J51" s="19">
        <f>F34</f>
        <v>20222</v>
      </c>
      <c r="K51" s="19">
        <f>I51/J51</f>
        <v>1.6413711799030761</v>
      </c>
      <c r="L51" s="25"/>
      <c r="N51" s="25"/>
    </row>
    <row r="52" spans="1:14" s="2" customFormat="1" x14ac:dyDescent="0.25">
      <c r="A52" s="56" t="s">
        <v>21</v>
      </c>
      <c r="B52" s="56"/>
      <c r="C52" s="56"/>
      <c r="D52" s="56"/>
      <c r="E52" s="56"/>
      <c r="F52" s="19" t="s">
        <v>25</v>
      </c>
      <c r="G52" s="19">
        <v>178</v>
      </c>
      <c r="H52" s="19">
        <v>1690.47</v>
      </c>
      <c r="I52" s="19">
        <f t="shared" ref="I52:I54" si="4">(G52*H52)*54.5%</f>
        <v>163992.49470000004</v>
      </c>
      <c r="J52" s="19">
        <f>J51</f>
        <v>20222</v>
      </c>
      <c r="K52" s="19">
        <f t="shared" ref="K52:K53" si="5">I52/J52</f>
        <v>8.1096080852536865</v>
      </c>
      <c r="L52" s="25"/>
      <c r="N52" s="25"/>
    </row>
    <row r="53" spans="1:14" s="2" customFormat="1" x14ac:dyDescent="0.25">
      <c r="A53" s="56" t="s">
        <v>106</v>
      </c>
      <c r="B53" s="56"/>
      <c r="C53" s="56"/>
      <c r="D53" s="56"/>
      <c r="E53" s="56"/>
      <c r="F53" s="19" t="s">
        <v>26</v>
      </c>
      <c r="G53" s="19">
        <v>12</v>
      </c>
      <c r="H53" s="19">
        <v>800</v>
      </c>
      <c r="I53" s="19">
        <f t="shared" si="4"/>
        <v>5232</v>
      </c>
      <c r="J53" s="19">
        <v>20222</v>
      </c>
      <c r="K53" s="19">
        <f t="shared" si="5"/>
        <v>0.25872811789140537</v>
      </c>
      <c r="L53" s="25"/>
      <c r="N53" s="25"/>
    </row>
    <row r="54" spans="1:14" s="2" customFormat="1" x14ac:dyDescent="0.25">
      <c r="A54" s="56" t="s">
        <v>22</v>
      </c>
      <c r="B54" s="56"/>
      <c r="C54" s="56"/>
      <c r="D54" s="56"/>
      <c r="E54" s="56"/>
      <c r="F54" s="19" t="s">
        <v>26</v>
      </c>
      <c r="G54" s="19">
        <v>150</v>
      </c>
      <c r="H54" s="19">
        <v>40.96</v>
      </c>
      <c r="I54" s="19">
        <f t="shared" si="4"/>
        <v>3348.4800000000005</v>
      </c>
      <c r="J54" s="19">
        <f>J52</f>
        <v>20222</v>
      </c>
      <c r="K54" s="19">
        <f>I54/J54</f>
        <v>0.16558599545049948</v>
      </c>
      <c r="L54" s="25"/>
      <c r="N54" s="25"/>
    </row>
    <row r="55" spans="1:14" s="2" customFormat="1" x14ac:dyDescent="0.25">
      <c r="A55" s="56" t="s">
        <v>23</v>
      </c>
      <c r="B55" s="56"/>
      <c r="C55" s="56"/>
      <c r="D55" s="56"/>
      <c r="E55" s="56"/>
      <c r="F55" s="19" t="s">
        <v>26</v>
      </c>
      <c r="G55" s="19">
        <v>150</v>
      </c>
      <c r="H55" s="19">
        <v>59.65</v>
      </c>
      <c r="I55" s="19">
        <f>((G55*H55)*54.5%)-0.18</f>
        <v>4876.2075000000004</v>
      </c>
      <c r="J55" s="19">
        <f>J54</f>
        <v>20222</v>
      </c>
      <c r="K55" s="19">
        <f>I55/J55</f>
        <v>0.24113378993175752</v>
      </c>
      <c r="L55" s="25"/>
      <c r="M55" s="28"/>
      <c r="N55" s="25"/>
    </row>
    <row r="56" spans="1:14" s="2" customFormat="1" x14ac:dyDescent="0.25">
      <c r="A56" s="77" t="s">
        <v>71</v>
      </c>
      <c r="B56" s="77"/>
      <c r="C56" s="77"/>
      <c r="D56" s="77"/>
      <c r="E56" s="77"/>
      <c r="F56" s="77"/>
      <c r="G56" s="77"/>
      <c r="H56" s="77"/>
      <c r="I56" s="6">
        <f>SUM(I51:I55)</f>
        <v>210640.99020000006</v>
      </c>
      <c r="J56" s="8">
        <f>J55</f>
        <v>20222</v>
      </c>
      <c r="K56" s="6">
        <f>I56/J55</f>
        <v>10.416427168430426</v>
      </c>
      <c r="L56" s="26"/>
      <c r="M56" s="12">
        <f>I56+'Работа №1'!I54+'Работа №2'!I53+'Работа №3'!I43</f>
        <v>386497.38000000006</v>
      </c>
      <c r="N56" s="25"/>
    </row>
    <row r="57" spans="1:14" s="2" customFormat="1" x14ac:dyDescent="0.25"/>
    <row r="58" spans="1:14" s="2" customFormat="1" x14ac:dyDescent="0.25">
      <c r="A58" s="57" t="s">
        <v>27</v>
      </c>
      <c r="B58" s="57"/>
      <c r="C58" s="57"/>
      <c r="D58" s="57"/>
      <c r="E58" s="57"/>
      <c r="F58" s="57"/>
      <c r="G58" s="57"/>
      <c r="H58" s="57"/>
      <c r="I58" s="57"/>
      <c r="J58" s="57"/>
      <c r="K58" s="57"/>
      <c r="L58" s="57"/>
    </row>
    <row r="59" spans="1:14" s="2" customFormat="1" ht="60" customHeight="1" x14ac:dyDescent="0.25">
      <c r="A59" s="63" t="s">
        <v>33</v>
      </c>
      <c r="B59" s="63"/>
      <c r="C59" s="63"/>
      <c r="D59" s="63"/>
      <c r="E59" s="63"/>
      <c r="F59" s="18" t="s">
        <v>17</v>
      </c>
      <c r="G59" s="18" t="s">
        <v>69</v>
      </c>
      <c r="H59" s="18" t="s">
        <v>68</v>
      </c>
      <c r="I59" s="18" t="s">
        <v>81</v>
      </c>
      <c r="J59" s="18" t="s">
        <v>76</v>
      </c>
      <c r="K59" s="21" t="s">
        <v>77</v>
      </c>
      <c r="L59" s="27"/>
    </row>
    <row r="60" spans="1:14" s="2" customFormat="1" x14ac:dyDescent="0.25">
      <c r="A60" s="56" t="s">
        <v>28</v>
      </c>
      <c r="B60" s="56"/>
      <c r="C60" s="56"/>
      <c r="D60" s="56"/>
      <c r="E60" s="56"/>
      <c r="F60" s="19" t="s">
        <v>98</v>
      </c>
      <c r="G60" s="19">
        <v>12</v>
      </c>
      <c r="H60" s="19">
        <v>500</v>
      </c>
      <c r="I60" s="19">
        <f>(G60*H60)*54.5%</f>
        <v>3270.0000000000005</v>
      </c>
      <c r="J60" s="19">
        <f>F34</f>
        <v>20222</v>
      </c>
      <c r="K60" s="19">
        <f t="shared" ref="K60:K64" si="6">I60/J60</f>
        <v>0.16170507368212839</v>
      </c>
      <c r="L60" s="25"/>
    </row>
    <row r="61" spans="1:14" s="2" customFormat="1" x14ac:dyDescent="0.25">
      <c r="A61" s="50" t="s">
        <v>107</v>
      </c>
      <c r="B61" s="51"/>
      <c r="C61" s="51"/>
      <c r="D61" s="51"/>
      <c r="E61" s="52"/>
      <c r="F61" s="19" t="s">
        <v>98</v>
      </c>
      <c r="G61" s="19">
        <v>12</v>
      </c>
      <c r="H61" s="19">
        <v>2000</v>
      </c>
      <c r="I61" s="19">
        <f t="shared" ref="I61:I64" si="7">(G61*H61)*54.5%</f>
        <v>13080.000000000002</v>
      </c>
      <c r="J61" s="19">
        <v>20222</v>
      </c>
      <c r="K61" s="19">
        <f t="shared" si="6"/>
        <v>0.64682029472851355</v>
      </c>
      <c r="L61" s="25"/>
    </row>
    <row r="62" spans="1:14" s="2" customFormat="1" x14ac:dyDescent="0.25">
      <c r="A62" s="56" t="s">
        <v>29</v>
      </c>
      <c r="B62" s="56"/>
      <c r="C62" s="56"/>
      <c r="D62" s="56"/>
      <c r="E62" s="56"/>
      <c r="F62" s="19" t="s">
        <v>98</v>
      </c>
      <c r="G62" s="19">
        <v>1</v>
      </c>
      <c r="H62" s="19">
        <v>6350</v>
      </c>
      <c r="I62" s="19">
        <f>(G62*H62)*54.5%-0.04</f>
        <v>3460.7100000000005</v>
      </c>
      <c r="J62" s="19">
        <f>J60</f>
        <v>20222</v>
      </c>
      <c r="K62" s="19">
        <f t="shared" si="6"/>
        <v>0.17113589160320444</v>
      </c>
      <c r="L62" s="25"/>
    </row>
    <row r="63" spans="1:14" s="2" customFormat="1" x14ac:dyDescent="0.25">
      <c r="A63" s="56" t="s">
        <v>30</v>
      </c>
      <c r="B63" s="56"/>
      <c r="C63" s="56"/>
      <c r="D63" s="56"/>
      <c r="E63" s="56"/>
      <c r="F63" s="19" t="s">
        <v>98</v>
      </c>
      <c r="G63" s="19">
        <v>12</v>
      </c>
      <c r="H63" s="19">
        <v>1500</v>
      </c>
      <c r="I63" s="19">
        <f t="shared" si="7"/>
        <v>9810</v>
      </c>
      <c r="J63" s="19">
        <f>J62</f>
        <v>20222</v>
      </c>
      <c r="K63" s="19">
        <f t="shared" si="6"/>
        <v>0.4851152210463851</v>
      </c>
      <c r="L63" s="25"/>
    </row>
    <row r="64" spans="1:14" s="2" customFormat="1" ht="28.5" customHeight="1" x14ac:dyDescent="0.25">
      <c r="A64" s="68" t="s">
        <v>82</v>
      </c>
      <c r="B64" s="69"/>
      <c r="C64" s="69"/>
      <c r="D64" s="69"/>
      <c r="E64" s="70"/>
      <c r="F64" s="19" t="s">
        <v>98</v>
      </c>
      <c r="G64" s="19">
        <v>12</v>
      </c>
      <c r="H64" s="19">
        <v>6666.67</v>
      </c>
      <c r="I64" s="19">
        <f t="shared" si="7"/>
        <v>43600.02180000001</v>
      </c>
      <c r="J64" s="19">
        <f>J63</f>
        <v>20222</v>
      </c>
      <c r="K64" s="19">
        <f t="shared" si="6"/>
        <v>2.1560687271288699</v>
      </c>
      <c r="L64" s="25"/>
    </row>
    <row r="65" spans="1:13" s="2" customFormat="1" x14ac:dyDescent="0.25">
      <c r="A65" s="66" t="s">
        <v>32</v>
      </c>
      <c r="B65" s="67"/>
      <c r="C65" s="67"/>
      <c r="D65" s="67"/>
      <c r="E65" s="67"/>
      <c r="F65" s="67"/>
      <c r="G65" s="67"/>
      <c r="H65" s="67"/>
      <c r="I65" s="6">
        <f>SUM(I60:I64)</f>
        <v>73220.731800000009</v>
      </c>
      <c r="J65" s="8">
        <f>J64</f>
        <v>20222</v>
      </c>
      <c r="K65" s="6">
        <f>I65/J64</f>
        <v>3.6208452081891016</v>
      </c>
      <c r="L65" s="26"/>
      <c r="M65" s="12">
        <f>I65+'Работа №1'!I63+'Работа №2'!I63+'Работа №3'!I52</f>
        <v>134350</v>
      </c>
    </row>
    <row r="66" spans="1:13" s="2" customFormat="1" ht="13.5" customHeight="1" x14ac:dyDescent="0.25"/>
    <row r="67" spans="1:13" s="2" customFormat="1" x14ac:dyDescent="0.25">
      <c r="A67" s="57" t="s">
        <v>83</v>
      </c>
      <c r="B67" s="57"/>
      <c r="C67" s="57"/>
      <c r="D67" s="57"/>
      <c r="E67" s="57"/>
      <c r="F67" s="57"/>
      <c r="G67" s="57"/>
      <c r="H67" s="57"/>
      <c r="I67" s="57"/>
      <c r="J67" s="57"/>
      <c r="K67" s="57"/>
      <c r="L67" s="57"/>
    </row>
    <row r="68" spans="1:13" s="2" customFormat="1" ht="60" customHeight="1" x14ac:dyDescent="0.25">
      <c r="A68" s="63" t="s">
        <v>33</v>
      </c>
      <c r="B68" s="63"/>
      <c r="C68" s="63"/>
      <c r="D68" s="63"/>
      <c r="E68" s="63"/>
      <c r="F68" s="18" t="s">
        <v>17</v>
      </c>
      <c r="G68" s="18" t="s">
        <v>69</v>
      </c>
      <c r="H68" s="18" t="s">
        <v>68</v>
      </c>
      <c r="I68" s="18" t="s">
        <v>81</v>
      </c>
      <c r="J68" s="18" t="s">
        <v>76</v>
      </c>
      <c r="K68" s="21" t="s">
        <v>77</v>
      </c>
      <c r="L68" s="27"/>
    </row>
    <row r="69" spans="1:13" s="2" customFormat="1" ht="30.75" customHeight="1" x14ac:dyDescent="0.25">
      <c r="A69" s="68" t="s">
        <v>84</v>
      </c>
      <c r="B69" s="69"/>
      <c r="C69" s="69"/>
      <c r="D69" s="69"/>
      <c r="E69" s="70"/>
      <c r="F69" s="19" t="s">
        <v>98</v>
      </c>
      <c r="G69" s="19">
        <v>12</v>
      </c>
      <c r="H69" s="19">
        <v>1500</v>
      </c>
      <c r="I69" s="19">
        <f>(G69*H69)*54.5%</f>
        <v>9810</v>
      </c>
      <c r="J69" s="19">
        <f>J64</f>
        <v>20222</v>
      </c>
      <c r="K69" s="19">
        <f>I69/J69</f>
        <v>0.4851152210463851</v>
      </c>
      <c r="L69" s="25"/>
    </row>
    <row r="70" spans="1:13" s="2" customFormat="1" ht="20.25" customHeight="1" x14ac:dyDescent="0.25">
      <c r="A70" s="50" t="s">
        <v>108</v>
      </c>
      <c r="B70" s="51"/>
      <c r="C70" s="51"/>
      <c r="D70" s="51"/>
      <c r="E70" s="52"/>
      <c r="F70" s="19"/>
      <c r="G70" s="19"/>
      <c r="H70" s="19"/>
      <c r="I70" s="19">
        <f>36072.59-0.01</f>
        <v>36072.579999999994</v>
      </c>
      <c r="J70" s="19">
        <v>20222</v>
      </c>
      <c r="K70" s="19">
        <f t="shared" ref="K70:K71" si="8">I70/J70</f>
        <v>1.7838285036099295</v>
      </c>
      <c r="L70" s="25"/>
    </row>
    <row r="71" spans="1:13" s="2" customFormat="1" ht="20.25" customHeight="1" x14ac:dyDescent="0.25">
      <c r="A71" s="50" t="s">
        <v>111</v>
      </c>
      <c r="B71" s="51"/>
      <c r="C71" s="51"/>
      <c r="D71" s="51"/>
      <c r="E71" s="52"/>
      <c r="F71" s="19"/>
      <c r="G71" s="19"/>
      <c r="H71" s="19"/>
      <c r="I71" s="19">
        <v>81750</v>
      </c>
      <c r="J71" s="19">
        <v>20222</v>
      </c>
      <c r="K71" s="19">
        <f t="shared" si="8"/>
        <v>4.0426268420532097</v>
      </c>
      <c r="L71" s="25"/>
    </row>
    <row r="72" spans="1:13" s="2" customFormat="1" ht="21.75" hidden="1" customHeight="1" x14ac:dyDescent="0.25">
      <c r="A72" s="50" t="s">
        <v>109</v>
      </c>
      <c r="B72" s="51"/>
      <c r="C72" s="51"/>
      <c r="D72" s="51"/>
      <c r="E72" s="52"/>
      <c r="F72" s="19"/>
      <c r="G72" s="19"/>
      <c r="H72" s="19"/>
      <c r="I72" s="19"/>
      <c r="J72" s="19">
        <v>20222</v>
      </c>
      <c r="K72" s="19"/>
      <c r="L72" s="25"/>
    </row>
    <row r="73" spans="1:13" s="2" customFormat="1" ht="16.5" hidden="1" customHeight="1" x14ac:dyDescent="0.25">
      <c r="A73" s="50" t="s">
        <v>110</v>
      </c>
      <c r="B73" s="51"/>
      <c r="C73" s="51"/>
      <c r="D73" s="51"/>
      <c r="E73" s="52"/>
      <c r="F73" s="19"/>
      <c r="G73" s="19"/>
      <c r="H73" s="19"/>
      <c r="I73" s="19"/>
      <c r="J73" s="19">
        <v>20222</v>
      </c>
      <c r="K73" s="19"/>
      <c r="L73" s="25"/>
    </row>
    <row r="74" spans="1:13" s="2" customFormat="1" x14ac:dyDescent="0.25">
      <c r="A74" s="66" t="s">
        <v>85</v>
      </c>
      <c r="B74" s="67"/>
      <c r="C74" s="67"/>
      <c r="D74" s="67"/>
      <c r="E74" s="67"/>
      <c r="F74" s="67"/>
      <c r="G74" s="67"/>
      <c r="H74" s="67"/>
      <c r="I74" s="6">
        <f>SUM(I69:I73)</f>
        <v>127632.57999999999</v>
      </c>
      <c r="J74" s="8">
        <v>20222</v>
      </c>
      <c r="K74" s="6">
        <f>I74/J69</f>
        <v>6.3115705667095234</v>
      </c>
      <c r="L74" s="26"/>
      <c r="M74" s="12">
        <f>I74+'Работа №1'!I70+'Работа №2'!I70+'Работа №3'!I59</f>
        <v>234188.22999999998</v>
      </c>
    </row>
    <row r="75" spans="1:13" s="2" customFormat="1" x14ac:dyDescent="0.25">
      <c r="A75" s="29"/>
      <c r="B75" s="29"/>
      <c r="C75" s="29"/>
      <c r="D75" s="29"/>
      <c r="E75" s="29"/>
      <c r="F75" s="29"/>
      <c r="G75" s="29"/>
      <c r="H75" s="29"/>
      <c r="I75" s="9"/>
      <c r="J75" s="9"/>
      <c r="K75" s="9"/>
      <c r="L75" s="25"/>
    </row>
    <row r="76" spans="1:13" s="2" customFormat="1" x14ac:dyDescent="0.25">
      <c r="A76" s="57" t="s">
        <v>86</v>
      </c>
      <c r="B76" s="57"/>
      <c r="C76" s="57"/>
      <c r="D76" s="57"/>
      <c r="E76" s="57"/>
      <c r="F76" s="57"/>
      <c r="G76" s="57"/>
      <c r="H76" s="57"/>
      <c r="I76" s="57"/>
      <c r="J76" s="57"/>
      <c r="K76" s="57"/>
      <c r="L76" s="57"/>
    </row>
    <row r="77" spans="1:13" s="2" customFormat="1" ht="60" customHeight="1" x14ac:dyDescent="0.25">
      <c r="A77" s="58" t="s">
        <v>34</v>
      </c>
      <c r="B77" s="59"/>
      <c r="C77" s="59"/>
      <c r="D77" s="59"/>
      <c r="E77" s="60"/>
      <c r="F77" s="18" t="s">
        <v>17</v>
      </c>
      <c r="G77" s="18" t="s">
        <v>69</v>
      </c>
      <c r="H77" s="18" t="s">
        <v>68</v>
      </c>
      <c r="I77" s="18" t="s">
        <v>81</v>
      </c>
      <c r="J77" s="30" t="s">
        <v>76</v>
      </c>
      <c r="K77" s="21" t="s">
        <v>77</v>
      </c>
      <c r="L77" s="27"/>
      <c r="M77" s="27"/>
    </row>
    <row r="78" spans="1:13" s="2" customFormat="1" ht="45" x14ac:dyDescent="0.25">
      <c r="A78" s="50" t="s">
        <v>35</v>
      </c>
      <c r="B78" s="61"/>
      <c r="C78" s="61"/>
      <c r="D78" s="61"/>
      <c r="E78" s="62"/>
      <c r="F78" s="31" t="s">
        <v>36</v>
      </c>
      <c r="G78" s="19">
        <v>2</v>
      </c>
      <c r="H78" s="19">
        <v>400</v>
      </c>
      <c r="I78" s="19">
        <f>(G78*H78*12)*54.5%</f>
        <v>5232</v>
      </c>
      <c r="J78" s="32">
        <f>J69</f>
        <v>20222</v>
      </c>
      <c r="K78" s="19">
        <f>I78/J78</f>
        <v>0.25872811789140537</v>
      </c>
      <c r="L78" s="25"/>
      <c r="M78" s="25"/>
    </row>
    <row r="79" spans="1:13" s="2" customFormat="1" x14ac:dyDescent="0.25">
      <c r="A79" s="50" t="s">
        <v>96</v>
      </c>
      <c r="B79" s="61"/>
      <c r="C79" s="61"/>
      <c r="D79" s="61"/>
      <c r="E79" s="62"/>
      <c r="F79" s="31" t="s">
        <v>31</v>
      </c>
      <c r="G79" s="19">
        <v>1</v>
      </c>
      <c r="H79" s="19"/>
      <c r="I79" s="19">
        <v>5886</v>
      </c>
      <c r="J79" s="32">
        <v>20222</v>
      </c>
      <c r="K79" s="19">
        <f>I79/J79</f>
        <v>0.29106913262783107</v>
      </c>
      <c r="L79" s="25"/>
      <c r="M79" s="25"/>
    </row>
    <row r="80" spans="1:13" s="2" customFormat="1" x14ac:dyDescent="0.25">
      <c r="A80" s="50" t="s">
        <v>87</v>
      </c>
      <c r="B80" s="61"/>
      <c r="C80" s="61"/>
      <c r="D80" s="61"/>
      <c r="E80" s="62"/>
      <c r="F80" s="31" t="s">
        <v>31</v>
      </c>
      <c r="G80" s="19">
        <v>1</v>
      </c>
      <c r="H80" s="19">
        <v>800</v>
      </c>
      <c r="I80" s="19">
        <f t="shared" ref="I80" si="9">(G80*H80*12)*54.5%</f>
        <v>5232</v>
      </c>
      <c r="J80" s="32">
        <f>J78</f>
        <v>20222</v>
      </c>
      <c r="K80" s="19">
        <f>I80/J80</f>
        <v>0.25872811789140537</v>
      </c>
      <c r="L80" s="25"/>
      <c r="M80" s="25"/>
    </row>
    <row r="81" spans="1:13" s="2" customFormat="1" x14ac:dyDescent="0.25">
      <c r="A81" s="66" t="s">
        <v>99</v>
      </c>
      <c r="B81" s="67"/>
      <c r="C81" s="67"/>
      <c r="D81" s="67"/>
      <c r="E81" s="67"/>
      <c r="F81" s="67"/>
      <c r="G81" s="67"/>
      <c r="H81" s="71"/>
      <c r="I81" s="6">
        <f>SUM(I78:I80)</f>
        <v>16350</v>
      </c>
      <c r="J81" s="33">
        <f>J79</f>
        <v>20222</v>
      </c>
      <c r="K81" s="6">
        <f>I81/J80</f>
        <v>0.80852536841064182</v>
      </c>
      <c r="L81" s="9"/>
      <c r="M81" s="25">
        <f>I81+'Работа №1'!I77+'Работа №2'!I77+'Работа №3'!I66</f>
        <v>30000</v>
      </c>
    </row>
    <row r="82" spans="1:13" s="2" customFormat="1" x14ac:dyDescent="0.25"/>
    <row r="83" spans="1:13" s="2" customFormat="1" x14ac:dyDescent="0.25">
      <c r="A83" s="57" t="s">
        <v>57</v>
      </c>
      <c r="B83" s="57"/>
      <c r="C83" s="57"/>
      <c r="D83" s="57"/>
      <c r="E83" s="57"/>
      <c r="F83" s="57"/>
      <c r="G83" s="57"/>
      <c r="H83" s="57"/>
      <c r="I83" s="57"/>
      <c r="J83" s="57"/>
      <c r="K83" s="57"/>
      <c r="L83" s="57"/>
    </row>
    <row r="84" spans="1:13" s="2" customFormat="1" ht="75" x14ac:dyDescent="0.25">
      <c r="A84" s="63" t="s">
        <v>15</v>
      </c>
      <c r="B84" s="63"/>
      <c r="C84" s="63"/>
      <c r="D84" s="63"/>
      <c r="E84" s="63"/>
      <c r="F84" s="18" t="s">
        <v>16</v>
      </c>
      <c r="G84" s="18" t="s">
        <v>1</v>
      </c>
      <c r="H84" s="18" t="s">
        <v>74</v>
      </c>
      <c r="I84" s="18" t="s">
        <v>75</v>
      </c>
      <c r="J84" s="18" t="s">
        <v>76</v>
      </c>
      <c r="K84" s="34" t="s">
        <v>77</v>
      </c>
      <c r="L84" s="35"/>
    </row>
    <row r="85" spans="1:13" s="2" customFormat="1" ht="17.25" hidden="1" customHeight="1" x14ac:dyDescent="0.25">
      <c r="A85" s="56" t="s">
        <v>5</v>
      </c>
      <c r="B85" s="56"/>
      <c r="C85" s="56"/>
      <c r="D85" s="56"/>
      <c r="E85" s="56"/>
      <c r="F85" s="23">
        <v>15258</v>
      </c>
      <c r="G85" s="19">
        <f>L19</f>
        <v>0.55000000000000004</v>
      </c>
      <c r="H85" s="19">
        <f>F85*G85*12</f>
        <v>100702.80000000002</v>
      </c>
      <c r="I85" s="19">
        <f>H85*1.302</f>
        <v>131115.04560000004</v>
      </c>
      <c r="J85" s="19">
        <v>20222</v>
      </c>
      <c r="K85" s="32">
        <f>I85/J85</f>
        <v>6.483782296508755</v>
      </c>
      <c r="L85" s="36"/>
    </row>
    <row r="86" spans="1:13" s="2" customFormat="1" ht="17.25" hidden="1" customHeight="1" x14ac:dyDescent="0.25">
      <c r="A86" s="56" t="s">
        <v>13</v>
      </c>
      <c r="B86" s="56"/>
      <c r="C86" s="56"/>
      <c r="D86" s="56"/>
      <c r="E86" s="56"/>
      <c r="F86" s="23">
        <v>11538</v>
      </c>
      <c r="G86" s="19">
        <f>L20</f>
        <v>0.55000000000000004</v>
      </c>
      <c r="H86" s="19">
        <f>F86*G86*12</f>
        <v>76150.8</v>
      </c>
      <c r="I86" s="19">
        <f>H86*1.302</f>
        <v>99148.341600000014</v>
      </c>
      <c r="J86" s="19">
        <f>J85</f>
        <v>20222</v>
      </c>
      <c r="K86" s="32">
        <f>I86/J86</f>
        <v>4.9029938482840478</v>
      </c>
      <c r="L86" s="36"/>
    </row>
    <row r="87" spans="1:13" s="2" customFormat="1" ht="18" customHeight="1" x14ac:dyDescent="0.25">
      <c r="A87" s="53" t="s">
        <v>38</v>
      </c>
      <c r="B87" s="54"/>
      <c r="C87" s="54"/>
      <c r="D87" s="54"/>
      <c r="E87" s="55"/>
      <c r="F87" s="6">
        <v>21268.51</v>
      </c>
      <c r="G87" s="6">
        <f t="shared" ref="G87" si="10">G85+G86</f>
        <v>1.1000000000000001</v>
      </c>
      <c r="H87" s="6">
        <f>F87*G87*12</f>
        <v>280744.33199999999</v>
      </c>
      <c r="I87" s="6">
        <f>H87*1.302</f>
        <v>365529.12026400003</v>
      </c>
      <c r="J87" s="6">
        <v>20222</v>
      </c>
      <c r="K87" s="37">
        <f>I87/J87</f>
        <v>18.075814472554644</v>
      </c>
      <c r="L87" s="36"/>
      <c r="M87" s="2">
        <f>'Услуга №1 '!I87+'Работа №1'!I86+'Работа №2'!I85+'Работа №3'!I79</f>
        <v>1142463.1172640002</v>
      </c>
    </row>
    <row r="88" spans="1:13" s="2" customFormat="1" ht="13.5" customHeight="1" x14ac:dyDescent="0.25">
      <c r="L88" s="25"/>
    </row>
    <row r="89" spans="1:13" s="2" customFormat="1" x14ac:dyDescent="0.25">
      <c r="A89" s="57" t="s">
        <v>39</v>
      </c>
      <c r="B89" s="57"/>
      <c r="C89" s="57"/>
      <c r="D89" s="57"/>
      <c r="E89" s="57"/>
      <c r="F89" s="57"/>
      <c r="G89" s="57"/>
      <c r="H89" s="57"/>
      <c r="I89" s="57"/>
      <c r="J89" s="57"/>
      <c r="K89" s="57"/>
      <c r="L89" s="57"/>
    </row>
    <row r="90" spans="1:13" s="2" customFormat="1" ht="60" customHeight="1" x14ac:dyDescent="0.25">
      <c r="A90" s="63" t="s">
        <v>88</v>
      </c>
      <c r="B90" s="63"/>
      <c r="C90" s="63"/>
      <c r="D90" s="63"/>
      <c r="E90" s="63"/>
      <c r="F90" s="18" t="s">
        <v>17</v>
      </c>
      <c r="G90" s="18" t="s">
        <v>69</v>
      </c>
      <c r="H90" s="18" t="s">
        <v>68</v>
      </c>
      <c r="I90" s="18" t="s">
        <v>81</v>
      </c>
      <c r="J90" s="18" t="s">
        <v>76</v>
      </c>
      <c r="K90" s="21" t="s">
        <v>77</v>
      </c>
      <c r="L90" s="27"/>
    </row>
    <row r="91" spans="1:13" s="2" customFormat="1" x14ac:dyDescent="0.25">
      <c r="A91" s="56" t="s">
        <v>112</v>
      </c>
      <c r="B91" s="56"/>
      <c r="C91" s="56"/>
      <c r="D91" s="56"/>
      <c r="E91" s="56"/>
      <c r="F91" s="19" t="s">
        <v>40</v>
      </c>
      <c r="G91" s="19"/>
      <c r="H91" s="19"/>
      <c r="I91" s="19">
        <f>19200*54.5%</f>
        <v>10464</v>
      </c>
      <c r="J91" s="19">
        <f>J85</f>
        <v>20222</v>
      </c>
      <c r="K91" s="19">
        <f>I91/J91</f>
        <v>0.51745623578281075</v>
      </c>
      <c r="L91" s="25"/>
      <c r="M91" s="12"/>
    </row>
    <row r="92" spans="1:13" s="2" customFormat="1" x14ac:dyDescent="0.25">
      <c r="A92" s="66" t="s">
        <v>41</v>
      </c>
      <c r="B92" s="67"/>
      <c r="C92" s="67"/>
      <c r="D92" s="67"/>
      <c r="E92" s="67"/>
      <c r="F92" s="67"/>
      <c r="G92" s="67"/>
      <c r="H92" s="67"/>
      <c r="I92" s="6">
        <f>I91</f>
        <v>10464</v>
      </c>
      <c r="J92" s="8">
        <f>J86</f>
        <v>20222</v>
      </c>
      <c r="K92" s="6">
        <f>I92/J91</f>
        <v>0.51745623578281075</v>
      </c>
      <c r="L92" s="26"/>
      <c r="M92" s="2">
        <f>I92+'Работа №1'!I91+'Работа №2'!I90+'Работа №3'!I84</f>
        <v>19200</v>
      </c>
    </row>
    <row r="93" spans="1:13" s="2" customFormat="1" x14ac:dyDescent="0.25">
      <c r="A93" s="29"/>
      <c r="B93" s="29"/>
      <c r="C93" s="29"/>
      <c r="D93" s="29"/>
      <c r="E93" s="29"/>
      <c r="F93" s="29"/>
      <c r="G93" s="29"/>
      <c r="H93" s="29"/>
      <c r="I93" s="9"/>
      <c r="J93" s="9"/>
      <c r="K93" s="9"/>
      <c r="L93" s="26"/>
    </row>
    <row r="94" spans="1:13" s="2" customFormat="1" x14ac:dyDescent="0.25">
      <c r="A94" s="57" t="s">
        <v>113</v>
      </c>
      <c r="B94" s="57"/>
      <c r="C94" s="57"/>
      <c r="D94" s="57"/>
      <c r="E94" s="57"/>
      <c r="F94" s="57"/>
      <c r="G94" s="57"/>
      <c r="H94" s="57"/>
      <c r="I94" s="57"/>
      <c r="J94" s="57"/>
      <c r="K94" s="57"/>
      <c r="L94" s="57"/>
    </row>
    <row r="95" spans="1:13" s="2" customFormat="1" ht="60" customHeight="1" x14ac:dyDescent="0.25">
      <c r="A95" s="63" t="s">
        <v>88</v>
      </c>
      <c r="B95" s="63"/>
      <c r="C95" s="63"/>
      <c r="D95" s="63"/>
      <c r="E95" s="63"/>
      <c r="F95" s="18" t="s">
        <v>17</v>
      </c>
      <c r="G95" s="18" t="s">
        <v>69</v>
      </c>
      <c r="H95" s="18" t="s">
        <v>68</v>
      </c>
      <c r="I95" s="18" t="s">
        <v>81</v>
      </c>
      <c r="J95" s="18" t="s">
        <v>76</v>
      </c>
      <c r="K95" s="21" t="s">
        <v>77</v>
      </c>
      <c r="L95" s="27"/>
    </row>
    <row r="96" spans="1:13" s="2" customFormat="1" x14ac:dyDescent="0.25">
      <c r="A96" s="56" t="s">
        <v>114</v>
      </c>
      <c r="B96" s="56"/>
      <c r="C96" s="56"/>
      <c r="D96" s="56"/>
      <c r="E96" s="56"/>
      <c r="F96" s="19" t="s">
        <v>40</v>
      </c>
      <c r="G96" s="19"/>
      <c r="H96" s="19"/>
      <c r="I96" s="19">
        <f>15600*54.5%</f>
        <v>8502</v>
      </c>
      <c r="J96" s="19">
        <v>20222</v>
      </c>
      <c r="K96" s="19">
        <f>I96/J96</f>
        <v>0.42043319157353376</v>
      </c>
      <c r="L96" s="25"/>
      <c r="M96" s="12"/>
    </row>
    <row r="97" spans="1:13" s="2" customFormat="1" x14ac:dyDescent="0.25">
      <c r="A97" s="66" t="s">
        <v>115</v>
      </c>
      <c r="B97" s="67"/>
      <c r="C97" s="67"/>
      <c r="D97" s="67"/>
      <c r="E97" s="67"/>
      <c r="F97" s="67"/>
      <c r="G97" s="67"/>
      <c r="H97" s="67"/>
      <c r="I97" s="6">
        <f>I96</f>
        <v>8502</v>
      </c>
      <c r="J97" s="8">
        <v>20222</v>
      </c>
      <c r="K97" s="6">
        <f>I97/J96</f>
        <v>0.42043319157353376</v>
      </c>
      <c r="L97" s="26"/>
      <c r="M97" s="2">
        <f>I97+'Работа №1'!I96+'Работа №2'!I95+'Работа №3'!I89</f>
        <v>15600</v>
      </c>
    </row>
    <row r="98" spans="1:13" s="2" customFormat="1" x14ac:dyDescent="0.25">
      <c r="A98" s="29"/>
      <c r="B98" s="29"/>
      <c r="C98" s="29"/>
      <c r="D98" s="29"/>
      <c r="E98" s="29"/>
      <c r="F98" s="29"/>
      <c r="G98" s="29"/>
      <c r="H98" s="29"/>
      <c r="I98" s="9"/>
      <c r="J98" s="9"/>
      <c r="K98" s="9"/>
      <c r="L98" s="26"/>
    </row>
    <row r="99" spans="1:13" s="2" customFormat="1" x14ac:dyDescent="0.25"/>
    <row r="100" spans="1:13" s="2" customFormat="1" x14ac:dyDescent="0.25">
      <c r="A100" s="57" t="s">
        <v>42</v>
      </c>
      <c r="B100" s="57"/>
      <c r="C100" s="57"/>
      <c r="D100" s="57"/>
      <c r="E100" s="57"/>
      <c r="F100" s="57"/>
      <c r="G100" s="57"/>
      <c r="H100" s="57"/>
      <c r="I100" s="57"/>
      <c r="J100" s="57"/>
      <c r="K100" s="57"/>
      <c r="L100" s="57"/>
    </row>
    <row r="101" spans="1:13" s="2" customFormat="1" ht="48" customHeight="1" x14ac:dyDescent="0.25">
      <c r="A101" s="72" t="s">
        <v>43</v>
      </c>
      <c r="B101" s="72"/>
      <c r="C101" s="72"/>
      <c r="D101" s="58" t="s">
        <v>44</v>
      </c>
      <c r="E101" s="59"/>
      <c r="F101" s="59"/>
      <c r="G101" s="59"/>
      <c r="H101" s="59"/>
      <c r="I101" s="59"/>
      <c r="J101" s="60"/>
      <c r="K101" s="73" t="s">
        <v>55</v>
      </c>
      <c r="L101" s="74"/>
    </row>
    <row r="102" spans="1:13" s="2" customFormat="1" ht="30" x14ac:dyDescent="0.25">
      <c r="A102" s="19" t="s">
        <v>45</v>
      </c>
      <c r="B102" s="22" t="s">
        <v>46</v>
      </c>
      <c r="C102" s="19" t="s">
        <v>47</v>
      </c>
      <c r="D102" s="19" t="s">
        <v>48</v>
      </c>
      <c r="E102" s="19" t="s">
        <v>49</v>
      </c>
      <c r="F102" s="19" t="s">
        <v>50</v>
      </c>
      <c r="G102" s="19" t="s">
        <v>51</v>
      </c>
      <c r="H102" s="19" t="s">
        <v>52</v>
      </c>
      <c r="I102" s="19" t="s">
        <v>53</v>
      </c>
      <c r="J102" s="19" t="s">
        <v>54</v>
      </c>
      <c r="K102" s="75"/>
      <c r="L102" s="76"/>
    </row>
    <row r="103" spans="1:13" s="2" customFormat="1" x14ac:dyDescent="0.25">
      <c r="A103" s="19">
        <f>K47</f>
        <v>90.964153752230231</v>
      </c>
      <c r="B103" s="19"/>
      <c r="C103" s="19"/>
      <c r="D103" s="19">
        <f>K56</f>
        <v>10.416427168430426</v>
      </c>
      <c r="E103" s="19">
        <f>K65</f>
        <v>3.6208452081891016</v>
      </c>
      <c r="F103" s="19"/>
      <c r="G103" s="19">
        <f>K81</f>
        <v>0.80852536841064182</v>
      </c>
      <c r="H103" s="19">
        <f>K74</f>
        <v>6.3115705667095234</v>
      </c>
      <c r="I103" s="19">
        <f>K87</f>
        <v>18.075814472554644</v>
      </c>
      <c r="J103" s="38">
        <f>K92+K97</f>
        <v>0.93788942735634451</v>
      </c>
      <c r="K103" s="64">
        <f>SUM(A103:J103)</f>
        <v>131.13522596388091</v>
      </c>
      <c r="L103" s="65"/>
    </row>
    <row r="104" spans="1:13" s="2" customFormat="1" x14ac:dyDescent="0.25"/>
    <row r="105" spans="1:13" s="2" customFormat="1" x14ac:dyDescent="0.25">
      <c r="A105" s="39" t="s">
        <v>63</v>
      </c>
      <c r="B105" s="39"/>
      <c r="C105" s="39"/>
      <c r="D105" s="39"/>
      <c r="E105" s="39"/>
      <c r="F105" s="39" t="s">
        <v>64</v>
      </c>
      <c r="G105" s="39"/>
    </row>
    <row r="106" spans="1:13" s="2" customFormat="1" x14ac:dyDescent="0.25">
      <c r="A106" s="39"/>
      <c r="B106" s="39"/>
      <c r="C106" s="1"/>
      <c r="D106" s="1"/>
      <c r="E106" s="1"/>
      <c r="F106" s="1"/>
      <c r="G106" s="1"/>
      <c r="I106" s="11">
        <f>I92+I87+I81+I74+I65+I56+I47+I97</f>
        <v>2651816.5394416</v>
      </c>
      <c r="L106" s="11">
        <f>J91*K103</f>
        <v>2651816.5394416</v>
      </c>
    </row>
    <row r="107" spans="1:13" s="2" customFormat="1" x14ac:dyDescent="0.25"/>
    <row r="108" spans="1:13" s="2" customFormat="1" x14ac:dyDescent="0.25">
      <c r="A108" s="39" t="s">
        <v>105</v>
      </c>
      <c r="B108" s="16"/>
    </row>
    <row r="109" spans="1:13" s="2" customFormat="1" x14ac:dyDescent="0.25">
      <c r="A109" s="39" t="s">
        <v>65</v>
      </c>
      <c r="B109" s="16"/>
    </row>
    <row r="111" spans="1:13" x14ac:dyDescent="0.25">
      <c r="H111" s="40"/>
    </row>
  </sheetData>
  <mergeCells count="95">
    <mergeCell ref="A95:E95"/>
    <mergeCell ref="A94:L94"/>
    <mergeCell ref="A96:E96"/>
    <mergeCell ref="A97:H97"/>
    <mergeCell ref="A19:E19"/>
    <mergeCell ref="G19:K19"/>
    <mergeCell ref="A25:E25"/>
    <mergeCell ref="G25:K25"/>
    <mergeCell ref="A26:E26"/>
    <mergeCell ref="G26:K26"/>
    <mergeCell ref="A27:E27"/>
    <mergeCell ref="G27:K27"/>
    <mergeCell ref="A54:E54"/>
    <mergeCell ref="A49:L49"/>
    <mergeCell ref="G22:K22"/>
    <mergeCell ref="A23:E23"/>
    <mergeCell ref="A5:F5"/>
    <mergeCell ref="A6:D6"/>
    <mergeCell ref="A28:E28"/>
    <mergeCell ref="G28:K28"/>
    <mergeCell ref="A9:M9"/>
    <mergeCell ref="A10:M10"/>
    <mergeCell ref="A11:M11"/>
    <mergeCell ref="A18:E18"/>
    <mergeCell ref="G18:K18"/>
    <mergeCell ref="A20:E20"/>
    <mergeCell ref="G20:K20"/>
    <mergeCell ref="A21:E21"/>
    <mergeCell ref="G21:K21"/>
    <mergeCell ref="A22:E22"/>
    <mergeCell ref="A24:E24"/>
    <mergeCell ref="G24:K24"/>
    <mergeCell ref="G23:K23"/>
    <mergeCell ref="A64:E64"/>
    <mergeCell ref="A56:H56"/>
    <mergeCell ref="A50:E50"/>
    <mergeCell ref="A51:E51"/>
    <mergeCell ref="A52:E52"/>
    <mergeCell ref="A53:E53"/>
    <mergeCell ref="A62:E62"/>
    <mergeCell ref="A63:E63"/>
    <mergeCell ref="A55:E55"/>
    <mergeCell ref="A58:L58"/>
    <mergeCell ref="A59:E59"/>
    <mergeCell ref="A60:E60"/>
    <mergeCell ref="A46:E46"/>
    <mergeCell ref="A30:E30"/>
    <mergeCell ref="G30:K30"/>
    <mergeCell ref="A31:E31"/>
    <mergeCell ref="G31:K31"/>
    <mergeCell ref="A29:E29"/>
    <mergeCell ref="A32:E32"/>
    <mergeCell ref="G32:K32"/>
    <mergeCell ref="G29:K29"/>
    <mergeCell ref="A36:E36"/>
    <mergeCell ref="A37:E37"/>
    <mergeCell ref="A38:E38"/>
    <mergeCell ref="A39:E39"/>
    <mergeCell ref="A40:E40"/>
    <mergeCell ref="A47:E47"/>
    <mergeCell ref="A41:E41"/>
    <mergeCell ref="A42:E42"/>
    <mergeCell ref="A43:E43"/>
    <mergeCell ref="A44:E44"/>
    <mergeCell ref="A45:E45"/>
    <mergeCell ref="K103:L103"/>
    <mergeCell ref="A65:H65"/>
    <mergeCell ref="A67:L67"/>
    <mergeCell ref="A68:E68"/>
    <mergeCell ref="A69:E69"/>
    <mergeCell ref="A74:H74"/>
    <mergeCell ref="A81:H81"/>
    <mergeCell ref="A100:L100"/>
    <mergeCell ref="A101:C101"/>
    <mergeCell ref="D101:J101"/>
    <mergeCell ref="K101:L102"/>
    <mergeCell ref="A90:E90"/>
    <mergeCell ref="A80:E80"/>
    <mergeCell ref="A92:H92"/>
    <mergeCell ref="A76:L76"/>
    <mergeCell ref="A83:L83"/>
    <mergeCell ref="A87:E87"/>
    <mergeCell ref="A91:E91"/>
    <mergeCell ref="A86:E86"/>
    <mergeCell ref="A89:L89"/>
    <mergeCell ref="A77:E77"/>
    <mergeCell ref="A78:E78"/>
    <mergeCell ref="A84:E84"/>
    <mergeCell ref="A85:E85"/>
    <mergeCell ref="A79:E79"/>
    <mergeCell ref="A61:E61"/>
    <mergeCell ref="A70:E70"/>
    <mergeCell ref="A71:E71"/>
    <mergeCell ref="A72:E72"/>
    <mergeCell ref="A73:E73"/>
  </mergeCells>
  <pageMargins left="0.70866141732283472" right="0.55118110236220474" top="0.55118110236220474" bottom="0.55118110236220474" header="0.31496062992125984" footer="0.31496062992125984"/>
  <pageSetup paperSize="9" scale="80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110"/>
  <sheetViews>
    <sheetView topLeftCell="A86" zoomScale="90" zoomScaleNormal="90" workbookViewId="0">
      <selection activeCell="H44" sqref="H44"/>
    </sheetView>
  </sheetViews>
  <sheetFormatPr defaultRowHeight="15" x14ac:dyDescent="0.25"/>
  <cols>
    <col min="1" max="1" width="15.85546875" style="3" customWidth="1"/>
    <col min="2" max="2" width="13.42578125" style="3" customWidth="1"/>
    <col min="3" max="4" width="9.140625" style="3"/>
    <col min="5" max="5" width="13.42578125" style="3" customWidth="1"/>
    <col min="6" max="6" width="12.7109375" style="3" customWidth="1"/>
    <col min="7" max="7" width="9.5703125" style="3" customWidth="1"/>
    <col min="8" max="8" width="13.140625" style="3" customWidth="1"/>
    <col min="9" max="9" width="13.7109375" style="3" customWidth="1"/>
    <col min="10" max="10" width="13.5703125" style="3" customWidth="1"/>
    <col min="11" max="11" width="16" style="3" customWidth="1"/>
    <col min="12" max="12" width="12.7109375" style="3" customWidth="1"/>
    <col min="13" max="13" width="13.85546875" style="3" customWidth="1"/>
    <col min="14" max="16384" width="9.140625" style="3"/>
  </cols>
  <sheetData>
    <row r="2" spans="1:13" ht="15.75" x14ac:dyDescent="0.25">
      <c r="A2" s="13" t="s">
        <v>60</v>
      </c>
      <c r="B2" s="13"/>
      <c r="C2" s="1"/>
      <c r="D2" s="1"/>
    </row>
    <row r="3" spans="1:13" ht="15.75" x14ac:dyDescent="0.25">
      <c r="A3" s="14" t="s">
        <v>61</v>
      </c>
      <c r="B3" s="14"/>
      <c r="C3" s="1"/>
      <c r="D3" s="1"/>
    </row>
    <row r="4" spans="1:13" x14ac:dyDescent="0.25">
      <c r="A4" s="15"/>
      <c r="B4" s="16"/>
      <c r="C4" s="1"/>
      <c r="D4" s="1"/>
    </row>
    <row r="5" spans="1:13" ht="15.75" x14ac:dyDescent="0.25">
      <c r="A5" s="78" t="s">
        <v>62</v>
      </c>
      <c r="B5" s="78"/>
      <c r="C5" s="78"/>
      <c r="D5" s="79"/>
      <c r="E5" s="79"/>
      <c r="F5" s="79"/>
    </row>
    <row r="6" spans="1:13" ht="15.75" x14ac:dyDescent="0.25">
      <c r="A6" s="80" t="s">
        <v>100</v>
      </c>
      <c r="B6" s="80"/>
      <c r="C6" s="80"/>
      <c r="D6" s="79"/>
    </row>
    <row r="7" spans="1:13" ht="15.75" x14ac:dyDescent="0.25">
      <c r="A7" s="17"/>
      <c r="B7" s="17"/>
      <c r="C7" s="17"/>
      <c r="D7" s="13"/>
    </row>
    <row r="8" spans="1:13" ht="15.75" x14ac:dyDescent="0.25">
      <c r="A8" s="81" t="s">
        <v>59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</row>
    <row r="9" spans="1:13" ht="15.75" x14ac:dyDescent="0.25">
      <c r="A9" s="81" t="s">
        <v>91</v>
      </c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</row>
    <row r="10" spans="1:13" ht="15.75" x14ac:dyDescent="0.25">
      <c r="A10" s="81" t="s">
        <v>101</v>
      </c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</row>
    <row r="12" spans="1:13" s="2" customFormat="1" x14ac:dyDescent="0.25">
      <c r="A12" s="12" t="s">
        <v>66</v>
      </c>
    </row>
    <row r="13" spans="1:13" s="2" customFormat="1" x14ac:dyDescent="0.25">
      <c r="A13" s="12" t="s">
        <v>94</v>
      </c>
    </row>
    <row r="14" spans="1:13" s="2" customFormat="1" x14ac:dyDescent="0.25">
      <c r="A14" s="12" t="s">
        <v>116</v>
      </c>
    </row>
    <row r="15" spans="1:13" s="2" customFormat="1" x14ac:dyDescent="0.25">
      <c r="A15" s="12" t="s">
        <v>103</v>
      </c>
    </row>
    <row r="16" spans="1:13" x14ac:dyDescent="0.25">
      <c r="A16" s="12" t="s">
        <v>73</v>
      </c>
      <c r="B16" s="2"/>
      <c r="C16" s="2"/>
      <c r="D16" s="2"/>
      <c r="E16" s="2"/>
    </row>
    <row r="17" spans="1:12" s="2" customFormat="1" ht="29.25" customHeight="1" x14ac:dyDescent="0.25">
      <c r="A17" s="72" t="s">
        <v>0</v>
      </c>
      <c r="B17" s="72"/>
      <c r="C17" s="72"/>
      <c r="D17" s="72"/>
      <c r="E17" s="72"/>
      <c r="F17" s="18" t="s">
        <v>1</v>
      </c>
      <c r="G17" s="72" t="s">
        <v>2</v>
      </c>
      <c r="H17" s="72"/>
      <c r="I17" s="72"/>
      <c r="J17" s="72"/>
      <c r="K17" s="72"/>
      <c r="L17" s="19" t="s">
        <v>1</v>
      </c>
    </row>
    <row r="18" spans="1:12" s="2" customFormat="1" x14ac:dyDescent="0.25">
      <c r="A18" s="50" t="s">
        <v>6</v>
      </c>
      <c r="B18" s="61"/>
      <c r="C18" s="61"/>
      <c r="D18" s="61"/>
      <c r="E18" s="62"/>
      <c r="F18" s="19">
        <v>1E-3</v>
      </c>
      <c r="G18" s="56" t="s">
        <v>5</v>
      </c>
      <c r="H18" s="56"/>
      <c r="I18" s="56"/>
      <c r="J18" s="56"/>
      <c r="K18" s="56"/>
      <c r="L18" s="47">
        <v>1E-3</v>
      </c>
    </row>
    <row r="19" spans="1:12" s="2" customFormat="1" x14ac:dyDescent="0.25">
      <c r="A19" s="50" t="s">
        <v>3</v>
      </c>
      <c r="B19" s="61"/>
      <c r="C19" s="61"/>
      <c r="D19" s="61"/>
      <c r="E19" s="62"/>
      <c r="F19" s="19">
        <v>1E-3</v>
      </c>
      <c r="G19" s="56" t="s">
        <v>8</v>
      </c>
      <c r="H19" s="56"/>
      <c r="I19" s="56"/>
      <c r="J19" s="56"/>
      <c r="K19" s="56"/>
      <c r="L19" s="47">
        <v>1E-3</v>
      </c>
    </row>
    <row r="20" spans="1:12" s="2" customFormat="1" x14ac:dyDescent="0.25">
      <c r="A20" s="50" t="s">
        <v>4</v>
      </c>
      <c r="B20" s="61"/>
      <c r="C20" s="61"/>
      <c r="D20" s="61"/>
      <c r="E20" s="62"/>
      <c r="F20" s="19">
        <v>1E-3</v>
      </c>
      <c r="G20" s="56" t="s">
        <v>9</v>
      </c>
      <c r="H20" s="56"/>
      <c r="I20" s="56"/>
      <c r="J20" s="56"/>
      <c r="K20" s="56"/>
      <c r="L20" s="47">
        <v>5.0000000000000001E-4</v>
      </c>
    </row>
    <row r="21" spans="1:12" s="2" customFormat="1" x14ac:dyDescent="0.25">
      <c r="A21" s="50" t="s">
        <v>11</v>
      </c>
      <c r="B21" s="61"/>
      <c r="C21" s="61"/>
      <c r="D21" s="61"/>
      <c r="E21" s="62"/>
      <c r="F21" s="19">
        <v>1E-3</v>
      </c>
      <c r="G21" s="56"/>
      <c r="H21" s="56"/>
      <c r="I21" s="56"/>
      <c r="J21" s="56"/>
      <c r="K21" s="56"/>
      <c r="L21" s="47"/>
    </row>
    <row r="22" spans="1:12" s="2" customFormat="1" x14ac:dyDescent="0.25">
      <c r="A22" s="50" t="s">
        <v>7</v>
      </c>
      <c r="B22" s="61"/>
      <c r="C22" s="61"/>
      <c r="D22" s="61"/>
      <c r="E22" s="62"/>
      <c r="F22" s="19">
        <v>1E-3</v>
      </c>
      <c r="G22" s="56"/>
      <c r="H22" s="56"/>
      <c r="I22" s="56"/>
      <c r="J22" s="56"/>
      <c r="K22" s="56"/>
      <c r="L22" s="47"/>
    </row>
    <row r="23" spans="1:12" s="2" customFormat="1" x14ac:dyDescent="0.25">
      <c r="A23" s="50" t="s">
        <v>10</v>
      </c>
      <c r="B23" s="61"/>
      <c r="C23" s="61"/>
      <c r="D23" s="61"/>
      <c r="E23" s="62"/>
      <c r="F23" s="19">
        <v>1E-3</v>
      </c>
      <c r="G23" s="56"/>
      <c r="H23" s="56"/>
      <c r="I23" s="56"/>
      <c r="J23" s="56"/>
      <c r="K23" s="56"/>
      <c r="L23" s="47"/>
    </row>
    <row r="24" spans="1:12" s="2" customFormat="1" x14ac:dyDescent="0.25">
      <c r="A24" s="50" t="s">
        <v>12</v>
      </c>
      <c r="B24" s="61"/>
      <c r="C24" s="61"/>
      <c r="D24" s="61"/>
      <c r="E24" s="62"/>
      <c r="F24" s="19">
        <v>1E-3</v>
      </c>
      <c r="G24" s="56"/>
      <c r="H24" s="56"/>
      <c r="I24" s="56"/>
      <c r="J24" s="56"/>
      <c r="K24" s="56"/>
      <c r="L24" s="47"/>
    </row>
    <row r="25" spans="1:12" s="2" customFormat="1" x14ac:dyDescent="0.25">
      <c r="A25" s="50" t="s">
        <v>13</v>
      </c>
      <c r="B25" s="61"/>
      <c r="C25" s="61"/>
      <c r="D25" s="61"/>
      <c r="E25" s="62"/>
      <c r="F25" s="19">
        <v>1E-3</v>
      </c>
      <c r="G25" s="56"/>
      <c r="H25" s="56"/>
      <c r="I25" s="56"/>
      <c r="J25" s="56"/>
      <c r="K25" s="56"/>
      <c r="L25" s="47"/>
    </row>
    <row r="26" spans="1:12" s="2" customFormat="1" x14ac:dyDescent="0.25">
      <c r="A26" s="50" t="s">
        <v>56</v>
      </c>
      <c r="B26" s="61"/>
      <c r="C26" s="61"/>
      <c r="D26" s="61"/>
      <c r="E26" s="62"/>
      <c r="F26" s="19">
        <v>1E-3</v>
      </c>
      <c r="G26" s="56"/>
      <c r="H26" s="56"/>
      <c r="I26" s="56"/>
      <c r="J26" s="56"/>
      <c r="K26" s="56"/>
      <c r="L26" s="47"/>
    </row>
    <row r="27" spans="1:12" s="2" customFormat="1" ht="12.75" customHeight="1" x14ac:dyDescent="0.25">
      <c r="A27" s="50"/>
      <c r="B27" s="61"/>
      <c r="C27" s="61"/>
      <c r="D27" s="61"/>
      <c r="E27" s="62"/>
      <c r="F27" s="19"/>
      <c r="G27" s="89"/>
      <c r="H27" s="89"/>
      <c r="I27" s="89"/>
      <c r="J27" s="89"/>
      <c r="K27" s="89"/>
      <c r="L27" s="48"/>
    </row>
    <row r="28" spans="1:12" s="2" customFormat="1" ht="12.75" customHeight="1" x14ac:dyDescent="0.25">
      <c r="A28" s="50"/>
      <c r="B28" s="61"/>
      <c r="C28" s="61"/>
      <c r="D28" s="61"/>
      <c r="E28" s="62"/>
      <c r="F28" s="19"/>
      <c r="G28" s="89"/>
      <c r="H28" s="89"/>
      <c r="I28" s="89"/>
      <c r="J28" s="89"/>
      <c r="K28" s="89"/>
      <c r="L28" s="48"/>
    </row>
    <row r="29" spans="1:12" s="2" customFormat="1" ht="12.75" customHeight="1" x14ac:dyDescent="0.25">
      <c r="A29" s="50"/>
      <c r="B29" s="61"/>
      <c r="C29" s="61"/>
      <c r="D29" s="61"/>
      <c r="E29" s="62"/>
      <c r="F29" s="19"/>
      <c r="G29" s="68"/>
      <c r="H29" s="69"/>
      <c r="I29" s="69"/>
      <c r="J29" s="69"/>
      <c r="K29" s="70"/>
      <c r="L29" s="48"/>
    </row>
    <row r="30" spans="1:12" s="2" customFormat="1" x14ac:dyDescent="0.25">
      <c r="A30" s="63" t="s">
        <v>14</v>
      </c>
      <c r="B30" s="63"/>
      <c r="C30" s="63"/>
      <c r="D30" s="63"/>
      <c r="E30" s="63"/>
      <c r="F30" s="19">
        <f>SUM(F18:F29)</f>
        <v>9.0000000000000011E-3</v>
      </c>
      <c r="G30" s="63" t="s">
        <v>14</v>
      </c>
      <c r="H30" s="63"/>
      <c r="I30" s="63"/>
      <c r="J30" s="63"/>
      <c r="K30" s="63"/>
      <c r="L30" s="47">
        <f>SUM(L18:L29)</f>
        <v>2.5000000000000001E-3</v>
      </c>
    </row>
    <row r="31" spans="1:12" s="2" customFormat="1" x14ac:dyDescent="0.25"/>
    <row r="32" spans="1:12" s="2" customFormat="1" x14ac:dyDescent="0.25">
      <c r="A32" s="12" t="s">
        <v>89</v>
      </c>
      <c r="F32" s="2">
        <v>44</v>
      </c>
    </row>
    <row r="33" spans="1:12" s="2" customFormat="1" ht="75" x14ac:dyDescent="0.25">
      <c r="A33" s="63" t="s">
        <v>15</v>
      </c>
      <c r="B33" s="63"/>
      <c r="C33" s="63"/>
      <c r="D33" s="63"/>
      <c r="E33" s="63"/>
      <c r="F33" s="18" t="s">
        <v>16</v>
      </c>
      <c r="G33" s="18" t="s">
        <v>1</v>
      </c>
      <c r="H33" s="18" t="s">
        <v>74</v>
      </c>
      <c r="I33" s="18" t="s">
        <v>75</v>
      </c>
      <c r="J33" s="18" t="s">
        <v>76</v>
      </c>
      <c r="K33" s="21" t="s">
        <v>77</v>
      </c>
      <c r="L33" s="45"/>
    </row>
    <row r="34" spans="1:12" s="2" customFormat="1" hidden="1" x14ac:dyDescent="0.25">
      <c r="A34" s="56" t="s">
        <v>6</v>
      </c>
      <c r="B34" s="56"/>
      <c r="C34" s="56"/>
      <c r="D34" s="56"/>
      <c r="E34" s="56"/>
      <c r="F34" s="19">
        <f>'Услуга №1 '!F37</f>
        <v>11538</v>
      </c>
      <c r="G34" s="19">
        <f>F18</f>
        <v>1E-3</v>
      </c>
      <c r="H34" s="19">
        <f>F34*G34*12</f>
        <v>138.45600000000002</v>
      </c>
      <c r="I34" s="19">
        <f>H34*1.302</f>
        <v>180.26971200000003</v>
      </c>
      <c r="J34" s="19">
        <v>43</v>
      </c>
      <c r="K34" s="19">
        <f>I34/J34</f>
        <v>4.1923188837209304</v>
      </c>
      <c r="L34" s="25"/>
    </row>
    <row r="35" spans="1:12" s="2" customFormat="1" hidden="1" x14ac:dyDescent="0.25">
      <c r="A35" s="56" t="s">
        <v>3</v>
      </c>
      <c r="B35" s="56"/>
      <c r="C35" s="56"/>
      <c r="D35" s="56"/>
      <c r="E35" s="56"/>
      <c r="F35" s="19">
        <f>'Услуга №1 '!F38</f>
        <v>11235</v>
      </c>
      <c r="G35" s="19">
        <f t="shared" ref="G35:G42" si="0">F19</f>
        <v>1E-3</v>
      </c>
      <c r="H35" s="19">
        <f t="shared" ref="H35:H42" si="1">F35*G35*12</f>
        <v>134.82</v>
      </c>
      <c r="I35" s="19">
        <f t="shared" ref="I35:I42" si="2">H35*1.302</f>
        <v>175.53564</v>
      </c>
      <c r="J35" s="19">
        <v>43</v>
      </c>
      <c r="K35" s="19">
        <f t="shared" ref="K35:K42" si="3">I35/J35</f>
        <v>4.0822241860465116</v>
      </c>
      <c r="L35" s="25"/>
    </row>
    <row r="36" spans="1:12" s="2" customFormat="1" hidden="1" x14ac:dyDescent="0.25">
      <c r="A36" s="56" t="s">
        <v>4</v>
      </c>
      <c r="B36" s="56"/>
      <c r="C36" s="56"/>
      <c r="D36" s="56"/>
      <c r="E36" s="56"/>
      <c r="F36" s="19">
        <f>'Услуга №1 '!F39</f>
        <v>11538</v>
      </c>
      <c r="G36" s="19">
        <f t="shared" si="0"/>
        <v>1E-3</v>
      </c>
      <c r="H36" s="19">
        <f t="shared" si="1"/>
        <v>138.45600000000002</v>
      </c>
      <c r="I36" s="19">
        <f t="shared" si="2"/>
        <v>180.26971200000003</v>
      </c>
      <c r="J36" s="19">
        <v>43</v>
      </c>
      <c r="K36" s="19">
        <f t="shared" si="3"/>
        <v>4.1923188837209304</v>
      </c>
      <c r="L36" s="25"/>
    </row>
    <row r="37" spans="1:12" s="2" customFormat="1" hidden="1" x14ac:dyDescent="0.25">
      <c r="A37" s="56" t="s">
        <v>11</v>
      </c>
      <c r="B37" s="56"/>
      <c r="C37" s="56"/>
      <c r="D37" s="56"/>
      <c r="E37" s="56"/>
      <c r="F37" s="19">
        <f>'Услуга №1 '!F40</f>
        <v>8837</v>
      </c>
      <c r="G37" s="19">
        <f t="shared" si="0"/>
        <v>1E-3</v>
      </c>
      <c r="H37" s="19">
        <f t="shared" si="1"/>
        <v>106.044</v>
      </c>
      <c r="I37" s="19">
        <f t="shared" si="2"/>
        <v>138.069288</v>
      </c>
      <c r="J37" s="19">
        <v>43</v>
      </c>
      <c r="K37" s="19">
        <f t="shared" si="3"/>
        <v>3.2109136744186046</v>
      </c>
      <c r="L37" s="25"/>
    </row>
    <row r="38" spans="1:12" s="2" customFormat="1" hidden="1" x14ac:dyDescent="0.25">
      <c r="A38" s="56" t="s">
        <v>7</v>
      </c>
      <c r="B38" s="56"/>
      <c r="C38" s="56"/>
      <c r="D38" s="56"/>
      <c r="E38" s="56"/>
      <c r="F38" s="19">
        <f>'Услуга №1 '!F41</f>
        <v>8837</v>
      </c>
      <c r="G38" s="19">
        <f t="shared" si="0"/>
        <v>1E-3</v>
      </c>
      <c r="H38" s="19">
        <f t="shared" si="1"/>
        <v>106.044</v>
      </c>
      <c r="I38" s="19">
        <f t="shared" si="2"/>
        <v>138.069288</v>
      </c>
      <c r="J38" s="19">
        <v>43</v>
      </c>
      <c r="K38" s="19">
        <f t="shared" si="3"/>
        <v>3.2109136744186046</v>
      </c>
      <c r="L38" s="25"/>
    </row>
    <row r="39" spans="1:12" s="2" customFormat="1" hidden="1" x14ac:dyDescent="0.25">
      <c r="A39" s="56" t="s">
        <v>10</v>
      </c>
      <c r="B39" s="56"/>
      <c r="C39" s="56"/>
      <c r="D39" s="56"/>
      <c r="E39" s="56"/>
      <c r="F39" s="19">
        <f>'Услуга №1 '!F42</f>
        <v>4496</v>
      </c>
      <c r="G39" s="19">
        <f t="shared" si="0"/>
        <v>1E-3</v>
      </c>
      <c r="H39" s="19">
        <f t="shared" si="1"/>
        <v>53.952000000000005</v>
      </c>
      <c r="I39" s="19">
        <f t="shared" si="2"/>
        <v>70.245504000000011</v>
      </c>
      <c r="J39" s="19">
        <v>43</v>
      </c>
      <c r="K39" s="19">
        <f t="shared" si="3"/>
        <v>1.6336163720930235</v>
      </c>
      <c r="L39" s="25"/>
    </row>
    <row r="40" spans="1:12" s="2" customFormat="1" ht="15.75" hidden="1" customHeight="1" x14ac:dyDescent="0.25">
      <c r="A40" s="68" t="s">
        <v>12</v>
      </c>
      <c r="B40" s="69"/>
      <c r="C40" s="69"/>
      <c r="D40" s="69"/>
      <c r="E40" s="70"/>
      <c r="F40" s="23">
        <f>'Услуга №1 '!F44</f>
        <v>8837</v>
      </c>
      <c r="G40" s="19">
        <f t="shared" si="0"/>
        <v>1E-3</v>
      </c>
      <c r="H40" s="19">
        <f t="shared" si="1"/>
        <v>106.044</v>
      </c>
      <c r="I40" s="19">
        <f t="shared" si="2"/>
        <v>138.069288</v>
      </c>
      <c r="J40" s="19">
        <v>43</v>
      </c>
      <c r="K40" s="19">
        <f t="shared" si="3"/>
        <v>3.2109136744186046</v>
      </c>
      <c r="L40" s="25"/>
    </row>
    <row r="41" spans="1:12" s="2" customFormat="1" hidden="1" x14ac:dyDescent="0.25">
      <c r="A41" s="68" t="s">
        <v>13</v>
      </c>
      <c r="B41" s="69"/>
      <c r="C41" s="69"/>
      <c r="D41" s="69"/>
      <c r="E41" s="70"/>
      <c r="F41" s="23">
        <f>'Услуга №1 '!F86</f>
        <v>11538</v>
      </c>
      <c r="G41" s="19">
        <f t="shared" si="0"/>
        <v>1E-3</v>
      </c>
      <c r="H41" s="19">
        <f t="shared" si="1"/>
        <v>138.45600000000002</v>
      </c>
      <c r="I41" s="19">
        <f t="shared" si="2"/>
        <v>180.26971200000003</v>
      </c>
      <c r="J41" s="19">
        <v>43</v>
      </c>
      <c r="K41" s="19">
        <f t="shared" si="3"/>
        <v>4.1923188837209304</v>
      </c>
      <c r="L41" s="25"/>
    </row>
    <row r="42" spans="1:12" s="2" customFormat="1" hidden="1" x14ac:dyDescent="0.25">
      <c r="A42" s="56" t="s">
        <v>56</v>
      </c>
      <c r="B42" s="56"/>
      <c r="C42" s="56"/>
      <c r="D42" s="56"/>
      <c r="E42" s="56"/>
      <c r="F42" s="23">
        <f>'Услуга №1 '!F46</f>
        <v>11538</v>
      </c>
      <c r="G42" s="19">
        <f t="shared" si="0"/>
        <v>1E-3</v>
      </c>
      <c r="H42" s="19">
        <f t="shared" si="1"/>
        <v>138.45600000000002</v>
      </c>
      <c r="I42" s="19">
        <f t="shared" si="2"/>
        <v>180.26971200000003</v>
      </c>
      <c r="J42" s="19">
        <v>43</v>
      </c>
      <c r="K42" s="19">
        <f t="shared" si="3"/>
        <v>4.1923188837209304</v>
      </c>
      <c r="L42" s="25"/>
    </row>
    <row r="43" spans="1:12" s="2" customFormat="1" ht="29.25" customHeight="1" x14ac:dyDescent="0.25">
      <c r="A43" s="53" t="s">
        <v>70</v>
      </c>
      <c r="B43" s="54"/>
      <c r="C43" s="54"/>
      <c r="D43" s="54"/>
      <c r="E43" s="55"/>
      <c r="F43" s="8">
        <v>17973.759999999998</v>
      </c>
      <c r="G43" s="8">
        <f>SUM(G34:G42)</f>
        <v>9.0000000000000011E-3</v>
      </c>
      <c r="H43" s="8">
        <v>2156.85</v>
      </c>
      <c r="I43" s="8">
        <f>3264.74-456.52</f>
        <v>2808.22</v>
      </c>
      <c r="J43" s="8">
        <v>44</v>
      </c>
      <c r="K43" s="8">
        <f>I43/J43</f>
        <v>63.823181818181816</v>
      </c>
      <c r="L43" s="25"/>
    </row>
    <row r="44" spans="1:12" s="2" customFormat="1" x14ac:dyDescent="0.25">
      <c r="A44" s="41"/>
      <c r="B44" s="41"/>
      <c r="C44" s="41"/>
      <c r="D44" s="41"/>
      <c r="E44" s="41"/>
      <c r="F44" s="25"/>
      <c r="G44" s="25"/>
      <c r="H44" s="25"/>
      <c r="I44" s="25"/>
      <c r="J44" s="25"/>
      <c r="K44" s="25"/>
      <c r="L44" s="25"/>
    </row>
    <row r="45" spans="1:12" s="2" customFormat="1" x14ac:dyDescent="0.25">
      <c r="A45" s="57" t="s">
        <v>18</v>
      </c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7"/>
    </row>
    <row r="46" spans="1:12" s="2" customFormat="1" hidden="1" x14ac:dyDescent="0.25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</row>
    <row r="47" spans="1:12" s="2" customFormat="1" hidden="1" x14ac:dyDescent="0.25"/>
    <row r="48" spans="1:12" s="2" customFormat="1" ht="60" customHeight="1" x14ac:dyDescent="0.25">
      <c r="A48" s="63" t="s">
        <v>19</v>
      </c>
      <c r="B48" s="63"/>
      <c r="C48" s="63"/>
      <c r="D48" s="63"/>
      <c r="E48" s="63"/>
      <c r="F48" s="18" t="s">
        <v>17</v>
      </c>
      <c r="G48" s="18" t="s">
        <v>69</v>
      </c>
      <c r="H48" s="18" t="s">
        <v>68</v>
      </c>
      <c r="I48" s="18" t="s">
        <v>81</v>
      </c>
      <c r="J48" s="30" t="s">
        <v>76</v>
      </c>
      <c r="K48" s="21" t="s">
        <v>77</v>
      </c>
      <c r="L48" s="27"/>
    </row>
    <row r="49" spans="1:14" s="2" customFormat="1" x14ac:dyDescent="0.25">
      <c r="A49" s="56" t="s">
        <v>20</v>
      </c>
      <c r="B49" s="56"/>
      <c r="C49" s="56"/>
      <c r="D49" s="56"/>
      <c r="E49" s="56"/>
      <c r="F49" s="19" t="s">
        <v>24</v>
      </c>
      <c r="G49" s="19">
        <v>7808</v>
      </c>
      <c r="H49" s="19">
        <f>'Услуга №1 '!H51</f>
        <v>7.8</v>
      </c>
      <c r="I49" s="19">
        <f>(G49*H49)*0.1%</f>
        <v>60.9024</v>
      </c>
      <c r="J49" s="32">
        <f>F32</f>
        <v>44</v>
      </c>
      <c r="K49" s="19">
        <f>I49/J49</f>
        <v>1.3841454545454546</v>
      </c>
      <c r="L49" s="25"/>
      <c r="N49" s="25"/>
    </row>
    <row r="50" spans="1:14" s="2" customFormat="1" x14ac:dyDescent="0.25">
      <c r="A50" s="56" t="s">
        <v>21</v>
      </c>
      <c r="B50" s="56"/>
      <c r="C50" s="56"/>
      <c r="D50" s="56"/>
      <c r="E50" s="56"/>
      <c r="F50" s="19" t="s">
        <v>25</v>
      </c>
      <c r="G50" s="19">
        <v>178</v>
      </c>
      <c r="H50" s="19">
        <f>'Услуга №1 '!H52</f>
        <v>1690.47</v>
      </c>
      <c r="I50" s="19">
        <f t="shared" ref="I50:I53" si="4">(G50*H50)*0.1%</f>
        <v>300.90366000000006</v>
      </c>
      <c r="J50" s="32">
        <f>J49</f>
        <v>44</v>
      </c>
      <c r="K50" s="19">
        <f t="shared" ref="K50:K53" si="5">I50/J50</f>
        <v>6.8387195454545466</v>
      </c>
      <c r="L50" s="25"/>
      <c r="N50" s="25"/>
    </row>
    <row r="51" spans="1:14" s="2" customFormat="1" x14ac:dyDescent="0.25">
      <c r="A51" s="56" t="s">
        <v>22</v>
      </c>
      <c r="B51" s="56"/>
      <c r="C51" s="56"/>
      <c r="D51" s="56"/>
      <c r="E51" s="56"/>
      <c r="F51" s="19" t="s">
        <v>26</v>
      </c>
      <c r="G51" s="19">
        <v>150</v>
      </c>
      <c r="H51" s="19">
        <f>'Услуга №1 '!H54</f>
        <v>40.96</v>
      </c>
      <c r="I51" s="19">
        <f t="shared" si="4"/>
        <v>6.1440000000000001</v>
      </c>
      <c r="J51" s="32">
        <f>J50</f>
        <v>44</v>
      </c>
      <c r="K51" s="19">
        <f t="shared" si="5"/>
        <v>0.13963636363636364</v>
      </c>
      <c r="L51" s="25"/>
      <c r="N51" s="25"/>
    </row>
    <row r="52" spans="1:14" s="2" customFormat="1" x14ac:dyDescent="0.25">
      <c r="A52" s="56" t="s">
        <v>23</v>
      </c>
      <c r="B52" s="56"/>
      <c r="C52" s="56"/>
      <c r="D52" s="56"/>
      <c r="E52" s="56"/>
      <c r="F52" s="19" t="s">
        <v>26</v>
      </c>
      <c r="G52" s="19">
        <v>150</v>
      </c>
      <c r="H52" s="19">
        <f>'Услуга №1 '!H55</f>
        <v>59.65</v>
      </c>
      <c r="I52" s="19">
        <f t="shared" si="4"/>
        <v>8.9474999999999998</v>
      </c>
      <c r="J52" s="32">
        <f>J51</f>
        <v>44</v>
      </c>
      <c r="K52" s="19">
        <f t="shared" si="5"/>
        <v>0.20335227272727271</v>
      </c>
      <c r="L52" s="25"/>
      <c r="M52" s="28"/>
      <c r="N52" s="25"/>
    </row>
    <row r="53" spans="1:14" s="2" customFormat="1" x14ac:dyDescent="0.25">
      <c r="A53" s="50" t="s">
        <v>106</v>
      </c>
      <c r="B53" s="51"/>
      <c r="C53" s="51"/>
      <c r="D53" s="51"/>
      <c r="E53" s="51"/>
      <c r="F53" s="19" t="s">
        <v>26</v>
      </c>
      <c r="G53" s="19">
        <v>12</v>
      </c>
      <c r="H53" s="19">
        <v>800</v>
      </c>
      <c r="I53" s="19">
        <f t="shared" si="4"/>
        <v>9.6</v>
      </c>
      <c r="J53" s="32">
        <v>44</v>
      </c>
      <c r="K53" s="19">
        <f t="shared" si="5"/>
        <v>0.21818181818181817</v>
      </c>
      <c r="L53" s="25"/>
      <c r="M53" s="28"/>
      <c r="N53" s="25"/>
    </row>
    <row r="54" spans="1:14" s="2" customFormat="1" x14ac:dyDescent="0.25">
      <c r="A54" s="66" t="s">
        <v>71</v>
      </c>
      <c r="B54" s="67"/>
      <c r="C54" s="67"/>
      <c r="D54" s="67"/>
      <c r="E54" s="67"/>
      <c r="F54" s="67"/>
      <c r="G54" s="67"/>
      <c r="H54" s="71"/>
      <c r="I54" s="7">
        <f>SUM(I49:I53)</f>
        <v>386.49756000000008</v>
      </c>
      <c r="J54" s="33">
        <v>44</v>
      </c>
      <c r="K54" s="7">
        <f>I54/J52</f>
        <v>8.7840354545454566</v>
      </c>
      <c r="L54" s="25"/>
      <c r="N54" s="25"/>
    </row>
    <row r="55" spans="1:14" s="2" customFormat="1" x14ac:dyDescent="0.25"/>
    <row r="56" spans="1:14" s="2" customFormat="1" x14ac:dyDescent="0.25">
      <c r="A56" s="57" t="s">
        <v>27</v>
      </c>
      <c r="B56" s="57"/>
      <c r="C56" s="57"/>
      <c r="D56" s="57"/>
      <c r="E56" s="57"/>
      <c r="F56" s="57"/>
      <c r="G56" s="57"/>
      <c r="H56" s="57"/>
      <c r="I56" s="57"/>
      <c r="J56" s="57"/>
      <c r="K56" s="57"/>
      <c r="L56" s="57"/>
    </row>
    <row r="57" spans="1:14" s="2" customFormat="1" ht="60" customHeight="1" x14ac:dyDescent="0.25">
      <c r="A57" s="63" t="s">
        <v>33</v>
      </c>
      <c r="B57" s="63"/>
      <c r="C57" s="63"/>
      <c r="D57" s="63"/>
      <c r="E57" s="63"/>
      <c r="F57" s="18" t="s">
        <v>17</v>
      </c>
      <c r="G57" s="18" t="s">
        <v>69</v>
      </c>
      <c r="H57" s="18" t="s">
        <v>68</v>
      </c>
      <c r="I57" s="18" t="s">
        <v>81</v>
      </c>
      <c r="J57" s="18" t="s">
        <v>76</v>
      </c>
      <c r="K57" s="21" t="s">
        <v>77</v>
      </c>
      <c r="L57" s="27"/>
    </row>
    <row r="58" spans="1:14" s="2" customFormat="1" x14ac:dyDescent="0.25">
      <c r="A58" s="56" t="s">
        <v>28</v>
      </c>
      <c r="B58" s="56"/>
      <c r="C58" s="56"/>
      <c r="D58" s="56"/>
      <c r="E58" s="56"/>
      <c r="F58" s="19" t="s">
        <v>31</v>
      </c>
      <c r="G58" s="19">
        <v>12</v>
      </c>
      <c r="H58" s="19">
        <f>'Услуга №1 '!H60</f>
        <v>500</v>
      </c>
      <c r="I58" s="19">
        <f t="shared" ref="I58:I62" si="6">(H58*G58)*0.1%</f>
        <v>6</v>
      </c>
      <c r="J58" s="19">
        <f>J52</f>
        <v>44</v>
      </c>
      <c r="K58" s="19">
        <f t="shared" ref="K58:K62" si="7">I58/J58</f>
        <v>0.13636363636363635</v>
      </c>
      <c r="L58" s="25"/>
    </row>
    <row r="59" spans="1:14" s="2" customFormat="1" x14ac:dyDescent="0.25">
      <c r="A59" s="50" t="s">
        <v>107</v>
      </c>
      <c r="B59" s="51"/>
      <c r="C59" s="51"/>
      <c r="D59" s="51"/>
      <c r="E59" s="52"/>
      <c r="F59" s="19" t="s">
        <v>31</v>
      </c>
      <c r="G59" s="19">
        <v>12</v>
      </c>
      <c r="H59" s="19">
        <v>2000</v>
      </c>
      <c r="I59" s="19">
        <f t="shared" si="6"/>
        <v>24</v>
      </c>
      <c r="J59" s="19"/>
      <c r="K59" s="19"/>
      <c r="L59" s="25"/>
    </row>
    <row r="60" spans="1:14" s="2" customFormat="1" x14ac:dyDescent="0.25">
      <c r="A60" s="56" t="s">
        <v>29</v>
      </c>
      <c r="B60" s="56"/>
      <c r="C60" s="56"/>
      <c r="D60" s="56"/>
      <c r="E60" s="56"/>
      <c r="F60" s="19" t="s">
        <v>31</v>
      </c>
      <c r="G60" s="19">
        <v>1</v>
      </c>
      <c r="H60" s="19">
        <f>'Услуга №1 '!H62</f>
        <v>6350</v>
      </c>
      <c r="I60" s="19">
        <f t="shared" si="6"/>
        <v>6.3500000000000005</v>
      </c>
      <c r="J60" s="19">
        <f>J58</f>
        <v>44</v>
      </c>
      <c r="K60" s="19">
        <f t="shared" si="7"/>
        <v>0.14431818181818182</v>
      </c>
      <c r="L60" s="25"/>
    </row>
    <row r="61" spans="1:14" s="2" customFormat="1" x14ac:dyDescent="0.25">
      <c r="A61" s="56" t="s">
        <v>30</v>
      </c>
      <c r="B61" s="56"/>
      <c r="C61" s="56"/>
      <c r="D61" s="56"/>
      <c r="E61" s="56"/>
      <c r="F61" s="19" t="s">
        <v>31</v>
      </c>
      <c r="G61" s="19">
        <v>12</v>
      </c>
      <c r="H61" s="19">
        <f>'Услуга №1 '!H63</f>
        <v>1500</v>
      </c>
      <c r="I61" s="19">
        <f t="shared" si="6"/>
        <v>18</v>
      </c>
      <c r="J61" s="19">
        <f>J60</f>
        <v>44</v>
      </c>
      <c r="K61" s="19">
        <f t="shared" si="7"/>
        <v>0.40909090909090912</v>
      </c>
      <c r="L61" s="25"/>
    </row>
    <row r="62" spans="1:14" s="2" customFormat="1" ht="28.5" customHeight="1" x14ac:dyDescent="0.25">
      <c r="A62" s="68" t="s">
        <v>82</v>
      </c>
      <c r="B62" s="69"/>
      <c r="C62" s="69"/>
      <c r="D62" s="69"/>
      <c r="E62" s="70"/>
      <c r="F62" s="19" t="s">
        <v>31</v>
      </c>
      <c r="G62" s="19">
        <v>12</v>
      </c>
      <c r="H62" s="19">
        <f>'Услуга №1 '!H64</f>
        <v>6666.67</v>
      </c>
      <c r="I62" s="19">
        <f t="shared" si="6"/>
        <v>80.000040000000013</v>
      </c>
      <c r="J62" s="19">
        <f>J61</f>
        <v>44</v>
      </c>
      <c r="K62" s="19">
        <f t="shared" si="7"/>
        <v>1.8181827272727276</v>
      </c>
      <c r="L62" s="25"/>
    </row>
    <row r="63" spans="1:14" s="2" customFormat="1" x14ac:dyDescent="0.25">
      <c r="A63" s="66" t="s">
        <v>32</v>
      </c>
      <c r="B63" s="67"/>
      <c r="C63" s="67"/>
      <c r="D63" s="67"/>
      <c r="E63" s="67"/>
      <c r="F63" s="67"/>
      <c r="G63" s="67"/>
      <c r="H63" s="67"/>
      <c r="I63" s="6">
        <f>SUM(I58:I62)</f>
        <v>134.35004000000001</v>
      </c>
      <c r="J63" s="8">
        <f>J62</f>
        <v>44</v>
      </c>
      <c r="K63" s="6">
        <f>I63/J62</f>
        <v>3.05341</v>
      </c>
      <c r="L63" s="25"/>
    </row>
    <row r="64" spans="1:14" s="2" customFormat="1" x14ac:dyDescent="0.25"/>
    <row r="65" spans="1:13" s="2" customFormat="1" x14ac:dyDescent="0.25">
      <c r="A65" s="57" t="s">
        <v>83</v>
      </c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7"/>
    </row>
    <row r="66" spans="1:13" s="2" customFormat="1" ht="60" customHeight="1" x14ac:dyDescent="0.25">
      <c r="A66" s="63" t="s">
        <v>33</v>
      </c>
      <c r="B66" s="63"/>
      <c r="C66" s="63"/>
      <c r="D66" s="63"/>
      <c r="E66" s="63"/>
      <c r="F66" s="18" t="s">
        <v>17</v>
      </c>
      <c r="G66" s="18" t="s">
        <v>69</v>
      </c>
      <c r="H66" s="18" t="s">
        <v>68</v>
      </c>
      <c r="I66" s="18" t="s">
        <v>81</v>
      </c>
      <c r="J66" s="18" t="s">
        <v>76</v>
      </c>
      <c r="K66" s="21" t="s">
        <v>77</v>
      </c>
      <c r="L66" s="27"/>
    </row>
    <row r="67" spans="1:13" s="2" customFormat="1" ht="30.75" customHeight="1" x14ac:dyDescent="0.25">
      <c r="A67" s="68" t="s">
        <v>84</v>
      </c>
      <c r="B67" s="69"/>
      <c r="C67" s="69"/>
      <c r="D67" s="69"/>
      <c r="E67" s="70"/>
      <c r="F67" s="19" t="s">
        <v>31</v>
      </c>
      <c r="G67" s="19">
        <v>12</v>
      </c>
      <c r="H67" s="19">
        <f>'Услуга №1 '!H69</f>
        <v>1500</v>
      </c>
      <c r="I67" s="19">
        <f>(G67*H67)*0.1%</f>
        <v>18</v>
      </c>
      <c r="J67" s="19">
        <f>J62</f>
        <v>44</v>
      </c>
      <c r="K67" s="19">
        <f>I67/J67</f>
        <v>0.40909090909090912</v>
      </c>
      <c r="L67" s="25"/>
    </row>
    <row r="68" spans="1:13" s="2" customFormat="1" x14ac:dyDescent="0.25">
      <c r="A68" s="50" t="s">
        <v>108</v>
      </c>
      <c r="B68" s="51"/>
      <c r="C68" s="51"/>
      <c r="D68" s="51"/>
      <c r="E68" s="52"/>
      <c r="F68" s="19"/>
      <c r="G68" s="19"/>
      <c r="H68" s="19"/>
      <c r="I68" s="19">
        <v>66.19</v>
      </c>
      <c r="J68" s="19">
        <v>44</v>
      </c>
      <c r="K68" s="19">
        <f t="shared" ref="K68:K69" si="8">I68/J68</f>
        <v>1.5043181818181817</v>
      </c>
      <c r="L68" s="25"/>
    </row>
    <row r="69" spans="1:13" s="2" customFormat="1" x14ac:dyDescent="0.25">
      <c r="A69" s="50" t="s">
        <v>111</v>
      </c>
      <c r="B69" s="51"/>
      <c r="C69" s="51"/>
      <c r="D69" s="51"/>
      <c r="E69" s="52"/>
      <c r="F69" s="19"/>
      <c r="G69" s="19"/>
      <c r="H69" s="19"/>
      <c r="I69" s="19">
        <v>150</v>
      </c>
      <c r="J69" s="19">
        <v>44</v>
      </c>
      <c r="K69" s="19">
        <f t="shared" si="8"/>
        <v>3.4090909090909092</v>
      </c>
      <c r="L69" s="25"/>
    </row>
    <row r="70" spans="1:13" s="2" customFormat="1" x14ac:dyDescent="0.25">
      <c r="A70" s="66" t="s">
        <v>85</v>
      </c>
      <c r="B70" s="67"/>
      <c r="C70" s="67"/>
      <c r="D70" s="67"/>
      <c r="E70" s="67"/>
      <c r="F70" s="67"/>
      <c r="G70" s="67"/>
      <c r="H70" s="67"/>
      <c r="I70" s="6">
        <f>SUM(I67:I69)</f>
        <v>234.19</v>
      </c>
      <c r="J70" s="8">
        <v>44</v>
      </c>
      <c r="K70" s="6">
        <f>I70/J67</f>
        <v>5.3224999999999998</v>
      </c>
      <c r="L70" s="42"/>
    </row>
    <row r="71" spans="1:13" s="2" customFormat="1" ht="42.75" customHeight="1" x14ac:dyDescent="0.25">
      <c r="A71" s="29"/>
      <c r="B71" s="29"/>
      <c r="C71" s="29"/>
      <c r="D71" s="29"/>
      <c r="E71" s="29"/>
      <c r="F71" s="29"/>
      <c r="G71" s="29"/>
      <c r="H71" s="29"/>
      <c r="I71" s="9"/>
      <c r="J71" s="9"/>
      <c r="K71" s="9"/>
      <c r="L71" s="27"/>
      <c r="M71" s="27"/>
    </row>
    <row r="72" spans="1:13" s="44" customFormat="1" x14ac:dyDescent="0.25">
      <c r="A72" s="86" t="s">
        <v>86</v>
      </c>
      <c r="B72" s="87"/>
      <c r="C72" s="87"/>
      <c r="D72" s="87"/>
      <c r="E72" s="87"/>
      <c r="F72" s="87"/>
      <c r="G72" s="87"/>
      <c r="H72" s="87"/>
      <c r="I72" s="87"/>
      <c r="J72" s="87"/>
      <c r="K72" s="87"/>
      <c r="L72" s="43"/>
      <c r="M72" s="43"/>
    </row>
    <row r="73" spans="1:13" s="2" customFormat="1" ht="45" x14ac:dyDescent="0.25">
      <c r="A73" s="58" t="s">
        <v>34</v>
      </c>
      <c r="B73" s="59"/>
      <c r="C73" s="59"/>
      <c r="D73" s="59"/>
      <c r="E73" s="60"/>
      <c r="F73" s="18" t="s">
        <v>17</v>
      </c>
      <c r="G73" s="18" t="s">
        <v>69</v>
      </c>
      <c r="H73" s="18" t="s">
        <v>68</v>
      </c>
      <c r="I73" s="18" t="s">
        <v>81</v>
      </c>
      <c r="J73" s="30" t="s">
        <v>76</v>
      </c>
      <c r="K73" s="21" t="s">
        <v>77</v>
      </c>
      <c r="L73" s="25"/>
      <c r="M73" s="25"/>
    </row>
    <row r="74" spans="1:13" s="2" customFormat="1" ht="30" x14ac:dyDescent="0.25">
      <c r="A74" s="50" t="s">
        <v>35</v>
      </c>
      <c r="B74" s="61"/>
      <c r="C74" s="61"/>
      <c r="D74" s="61"/>
      <c r="E74" s="62"/>
      <c r="F74" s="31" t="s">
        <v>36</v>
      </c>
      <c r="G74" s="19">
        <v>2</v>
      </c>
      <c r="H74" s="19">
        <f>'Услуга №1 '!H78</f>
        <v>400</v>
      </c>
      <c r="I74" s="19">
        <f>(G74*H74*12)*0.1%</f>
        <v>9.6</v>
      </c>
      <c r="J74" s="32">
        <f>J67</f>
        <v>44</v>
      </c>
      <c r="K74" s="19">
        <f>I74/J74</f>
        <v>0.21818181818181817</v>
      </c>
      <c r="L74" s="25"/>
      <c r="M74" s="25"/>
    </row>
    <row r="75" spans="1:13" s="2" customFormat="1" ht="30" x14ac:dyDescent="0.25">
      <c r="A75" s="50" t="s">
        <v>96</v>
      </c>
      <c r="B75" s="61"/>
      <c r="C75" s="61"/>
      <c r="D75" s="61"/>
      <c r="E75" s="62"/>
      <c r="F75" s="31" t="s">
        <v>36</v>
      </c>
      <c r="G75" s="19">
        <v>1</v>
      </c>
      <c r="H75" s="19">
        <f>'Услуга №1 '!H79</f>
        <v>0</v>
      </c>
      <c r="I75" s="19">
        <f>10800*0.1%</f>
        <v>10.8</v>
      </c>
      <c r="J75" s="32">
        <v>44</v>
      </c>
      <c r="K75" s="19">
        <f>I75/J75</f>
        <v>0.24545454545454548</v>
      </c>
      <c r="L75" s="9"/>
      <c r="M75" s="25"/>
    </row>
    <row r="76" spans="1:13" s="2" customFormat="1" x14ac:dyDescent="0.25">
      <c r="A76" s="50" t="s">
        <v>87</v>
      </c>
      <c r="B76" s="61"/>
      <c r="C76" s="61"/>
      <c r="D76" s="61"/>
      <c r="E76" s="62"/>
      <c r="F76" s="31" t="s">
        <v>31</v>
      </c>
      <c r="G76" s="19">
        <v>1</v>
      </c>
      <c r="H76" s="19">
        <f>'Услуга №1 '!H80</f>
        <v>800</v>
      </c>
      <c r="I76" s="19">
        <f t="shared" ref="I76" si="9">(G76*H76*12)*0.1%</f>
        <v>9.6</v>
      </c>
      <c r="J76" s="32">
        <f>J74</f>
        <v>44</v>
      </c>
      <c r="K76" s="19">
        <f>I76/J76</f>
        <v>0.21818181818181817</v>
      </c>
      <c r="L76" s="42"/>
    </row>
    <row r="77" spans="1:13" s="2" customFormat="1" ht="23.25" customHeight="1" x14ac:dyDescent="0.25">
      <c r="A77" s="77" t="s">
        <v>37</v>
      </c>
      <c r="B77" s="77"/>
      <c r="C77" s="77"/>
      <c r="D77" s="77"/>
      <c r="E77" s="77"/>
      <c r="F77" s="77"/>
      <c r="G77" s="77"/>
      <c r="H77" s="77"/>
      <c r="I77" s="6">
        <f>SUM(I74:I76)</f>
        <v>30</v>
      </c>
      <c r="J77" s="33">
        <f>J75</f>
        <v>44</v>
      </c>
      <c r="K77" s="6">
        <f>I77/J76</f>
        <v>0.68181818181818177</v>
      </c>
      <c r="L77" s="27"/>
      <c r="M77" s="27"/>
    </row>
    <row r="78" spans="1:13" s="2" customFormat="1" hidden="1" x14ac:dyDescent="0.25">
      <c r="A78" s="29"/>
      <c r="B78" s="29"/>
      <c r="C78" s="29"/>
      <c r="D78" s="29"/>
      <c r="E78" s="29"/>
      <c r="F78" s="29"/>
      <c r="G78" s="29"/>
      <c r="H78" s="29"/>
      <c r="I78" s="9"/>
      <c r="J78" s="9"/>
      <c r="K78" s="9"/>
    </row>
    <row r="79" spans="1:13" s="2" customFormat="1" x14ac:dyDescent="0.25">
      <c r="A79" s="57" t="s">
        <v>57</v>
      </c>
      <c r="B79" s="79"/>
      <c r="C79" s="79"/>
      <c r="D79" s="79"/>
      <c r="E79" s="79"/>
      <c r="F79" s="79"/>
      <c r="G79" s="79"/>
      <c r="H79" s="79"/>
      <c r="I79" s="79"/>
      <c r="J79" s="79"/>
      <c r="K79" s="88"/>
      <c r="L79" s="45"/>
    </row>
    <row r="80" spans="1:13" s="2" customFormat="1" x14ac:dyDescent="0.25">
      <c r="A80" s="57"/>
      <c r="B80" s="79"/>
      <c r="C80" s="79"/>
      <c r="D80" s="79"/>
      <c r="E80" s="79"/>
      <c r="F80" s="79"/>
      <c r="G80" s="79"/>
      <c r="H80" s="79"/>
      <c r="I80" s="79"/>
      <c r="J80" s="79"/>
      <c r="K80" s="88"/>
      <c r="L80" s="45"/>
    </row>
    <row r="81" spans="1:13" s="2" customFormat="1" x14ac:dyDescent="0.25">
      <c r="A81" s="83"/>
      <c r="B81" s="83"/>
      <c r="C81" s="83"/>
      <c r="D81" s="83"/>
      <c r="E81" s="83"/>
      <c r="F81" s="83"/>
      <c r="G81" s="83"/>
      <c r="H81" s="83"/>
      <c r="I81" s="83"/>
      <c r="J81" s="83"/>
      <c r="K81" s="83"/>
      <c r="L81" s="25"/>
    </row>
    <row r="82" spans="1:13" s="2" customFormat="1" ht="44.25" customHeight="1" x14ac:dyDescent="0.25">
      <c r="A82" s="63" t="s">
        <v>15</v>
      </c>
      <c r="B82" s="63"/>
      <c r="C82" s="63"/>
      <c r="D82" s="63"/>
      <c r="E82" s="63"/>
      <c r="F82" s="18" t="s">
        <v>16</v>
      </c>
      <c r="G82" s="18" t="s">
        <v>1</v>
      </c>
      <c r="H82" s="18" t="s">
        <v>74</v>
      </c>
      <c r="I82" s="18" t="s">
        <v>75</v>
      </c>
      <c r="J82" s="18" t="s">
        <v>76</v>
      </c>
      <c r="K82" s="21" t="s">
        <v>77</v>
      </c>
      <c r="L82" s="25"/>
    </row>
    <row r="83" spans="1:13" s="2" customFormat="1" hidden="1" x14ac:dyDescent="0.25">
      <c r="A83" s="50" t="s">
        <v>5</v>
      </c>
      <c r="B83" s="61"/>
      <c r="C83" s="61"/>
      <c r="D83" s="61"/>
      <c r="E83" s="62"/>
      <c r="F83" s="23">
        <f>'Услуга №1 '!F85</f>
        <v>15258</v>
      </c>
      <c r="G83" s="19">
        <f>L18</f>
        <v>1E-3</v>
      </c>
      <c r="H83" s="19">
        <f>F83*G83*12</f>
        <v>183.096</v>
      </c>
      <c r="I83" s="19">
        <f>H83*1.302</f>
        <v>238.39099200000001</v>
      </c>
      <c r="J83" s="19">
        <v>44</v>
      </c>
      <c r="K83" s="19">
        <f>I83/J83</f>
        <v>5.4179770909090914</v>
      </c>
      <c r="L83" s="25"/>
    </row>
    <row r="84" spans="1:13" s="2" customFormat="1" ht="15.75" hidden="1" customHeight="1" x14ac:dyDescent="0.25">
      <c r="A84" s="68" t="s">
        <v>8</v>
      </c>
      <c r="B84" s="69"/>
      <c r="C84" s="69"/>
      <c r="D84" s="69"/>
      <c r="E84" s="70"/>
      <c r="F84" s="23">
        <f>'Услуга №1 '!F45</f>
        <v>11538</v>
      </c>
      <c r="G84" s="19">
        <f>L19</f>
        <v>1E-3</v>
      </c>
      <c r="H84" s="19">
        <f t="shared" ref="H84:H85" si="10">F84*G84*12</f>
        <v>138.45600000000002</v>
      </c>
      <c r="I84" s="19">
        <f t="shared" ref="I84:I85" si="11">H84*1.302</f>
        <v>180.26971200000003</v>
      </c>
      <c r="J84" s="19">
        <v>44</v>
      </c>
      <c r="K84" s="19">
        <f>I84/J84</f>
        <v>4.0970389090909096</v>
      </c>
      <c r="L84" s="25"/>
    </row>
    <row r="85" spans="1:13" s="2" customFormat="1" ht="15.75" hidden="1" customHeight="1" x14ac:dyDescent="0.25">
      <c r="A85" s="56" t="s">
        <v>9</v>
      </c>
      <c r="B85" s="56"/>
      <c r="C85" s="56"/>
      <c r="D85" s="56"/>
      <c r="E85" s="56"/>
      <c r="F85" s="23">
        <f>'Услуга №1 '!F43</f>
        <v>4418.5</v>
      </c>
      <c r="G85" s="19">
        <f>L20</f>
        <v>5.0000000000000001E-4</v>
      </c>
      <c r="H85" s="19">
        <f t="shared" si="10"/>
        <v>26.510999999999999</v>
      </c>
      <c r="I85" s="19">
        <f t="shared" si="11"/>
        <v>34.517322</v>
      </c>
      <c r="J85" s="19">
        <v>44</v>
      </c>
      <c r="K85" s="19">
        <f t="shared" ref="K85" si="12">I85/J85</f>
        <v>0.78448459090909095</v>
      </c>
      <c r="L85" s="25"/>
    </row>
    <row r="86" spans="1:13" s="2" customFormat="1" x14ac:dyDescent="0.25">
      <c r="A86" s="53" t="s">
        <v>38</v>
      </c>
      <c r="B86" s="54"/>
      <c r="C86" s="54"/>
      <c r="D86" s="54"/>
      <c r="E86" s="55"/>
      <c r="F86" s="6">
        <v>16647.73</v>
      </c>
      <c r="G86" s="49">
        <f>G83+G84+G85</f>
        <v>2.5000000000000001E-3</v>
      </c>
      <c r="H86" s="6">
        <v>599.32000000000005</v>
      </c>
      <c r="I86" s="6">
        <f>H86*1.302</f>
        <v>780.31464000000005</v>
      </c>
      <c r="J86" s="6">
        <v>44</v>
      </c>
      <c r="K86" s="6">
        <f>I86/J86</f>
        <v>17.734423636363637</v>
      </c>
      <c r="L86" s="42"/>
    </row>
    <row r="87" spans="1:13" s="2" customFormat="1" ht="16.5" customHeight="1" x14ac:dyDescent="0.25">
      <c r="A87" s="24"/>
      <c r="B87" s="24"/>
      <c r="C87" s="24"/>
      <c r="D87" s="24"/>
      <c r="E87" s="24"/>
      <c r="F87" s="43"/>
      <c r="G87" s="43"/>
      <c r="H87" s="9"/>
      <c r="I87" s="9"/>
      <c r="J87" s="9"/>
      <c r="K87" s="9"/>
      <c r="L87" s="27"/>
    </row>
    <row r="88" spans="1:13" s="2" customFormat="1" x14ac:dyDescent="0.25">
      <c r="A88" s="86" t="s">
        <v>39</v>
      </c>
      <c r="B88" s="87"/>
      <c r="C88" s="87"/>
      <c r="D88" s="87"/>
      <c r="E88" s="87"/>
      <c r="F88" s="87"/>
      <c r="G88" s="87"/>
      <c r="H88" s="87"/>
      <c r="I88" s="87"/>
      <c r="J88" s="87"/>
      <c r="K88" s="87"/>
      <c r="L88" s="25"/>
    </row>
    <row r="89" spans="1:13" s="2" customFormat="1" ht="45" x14ac:dyDescent="0.25">
      <c r="A89" s="63" t="s">
        <v>88</v>
      </c>
      <c r="B89" s="63"/>
      <c r="C89" s="63"/>
      <c r="D89" s="63"/>
      <c r="E89" s="63"/>
      <c r="F89" s="18" t="s">
        <v>17</v>
      </c>
      <c r="G89" s="18" t="s">
        <v>69</v>
      </c>
      <c r="H89" s="18" t="s">
        <v>68</v>
      </c>
      <c r="I89" s="18" t="s">
        <v>81</v>
      </c>
      <c r="J89" s="18" t="s">
        <v>76</v>
      </c>
      <c r="K89" s="21" t="s">
        <v>77</v>
      </c>
      <c r="L89" s="25"/>
    </row>
    <row r="90" spans="1:13" s="2" customFormat="1" ht="21" customHeight="1" x14ac:dyDescent="0.25">
      <c r="A90" s="56" t="s">
        <v>97</v>
      </c>
      <c r="B90" s="56"/>
      <c r="C90" s="56"/>
      <c r="D90" s="56"/>
      <c r="E90" s="56"/>
      <c r="F90" s="19" t="s">
        <v>40</v>
      </c>
      <c r="G90" s="19"/>
      <c r="H90" s="19"/>
      <c r="I90" s="19">
        <f>19200*0.1%</f>
        <v>19.2</v>
      </c>
      <c r="J90" s="19">
        <f>J83</f>
        <v>44</v>
      </c>
      <c r="K90" s="19">
        <f>I90/J90</f>
        <v>0.43636363636363634</v>
      </c>
    </row>
    <row r="91" spans="1:13" s="2" customFormat="1" x14ac:dyDescent="0.25">
      <c r="A91" s="66" t="s">
        <v>41</v>
      </c>
      <c r="B91" s="67"/>
      <c r="C91" s="67"/>
      <c r="D91" s="67"/>
      <c r="E91" s="67"/>
      <c r="F91" s="67"/>
      <c r="G91" s="67"/>
      <c r="H91" s="67"/>
      <c r="I91" s="6">
        <f>I90</f>
        <v>19.2</v>
      </c>
      <c r="J91" s="8">
        <f>J84</f>
        <v>44</v>
      </c>
      <c r="K91" s="6">
        <f>I91/J90</f>
        <v>0.43636363636363634</v>
      </c>
      <c r="L91" s="42"/>
    </row>
    <row r="92" spans="1:13" s="2" customFormat="1" x14ac:dyDescent="0.25">
      <c r="A92" s="29"/>
      <c r="B92" s="29"/>
      <c r="C92" s="29"/>
      <c r="D92" s="29"/>
      <c r="E92" s="29"/>
      <c r="F92" s="29"/>
      <c r="G92" s="29"/>
      <c r="H92" s="29"/>
      <c r="I92" s="9"/>
      <c r="J92" s="9"/>
      <c r="K92" s="9"/>
      <c r="L92" s="42"/>
    </row>
    <row r="93" spans="1:13" s="2" customFormat="1" x14ac:dyDescent="0.25">
      <c r="A93" s="57" t="s">
        <v>113</v>
      </c>
      <c r="B93" s="57"/>
      <c r="C93" s="57"/>
      <c r="D93" s="57"/>
      <c r="E93" s="57"/>
      <c r="F93" s="57"/>
      <c r="G93" s="57"/>
      <c r="H93" s="57"/>
      <c r="I93" s="57"/>
      <c r="J93" s="57"/>
      <c r="K93" s="57"/>
      <c r="L93" s="57"/>
    </row>
    <row r="94" spans="1:13" s="2" customFormat="1" ht="60" customHeight="1" x14ac:dyDescent="0.25">
      <c r="A94" s="63" t="s">
        <v>88</v>
      </c>
      <c r="B94" s="63"/>
      <c r="C94" s="63"/>
      <c r="D94" s="63"/>
      <c r="E94" s="63"/>
      <c r="F94" s="18" t="s">
        <v>17</v>
      </c>
      <c r="G94" s="18" t="s">
        <v>69</v>
      </c>
      <c r="H94" s="18" t="s">
        <v>68</v>
      </c>
      <c r="I94" s="18" t="s">
        <v>81</v>
      </c>
      <c r="J94" s="18" t="s">
        <v>76</v>
      </c>
      <c r="K94" s="21" t="s">
        <v>77</v>
      </c>
      <c r="L94" s="27"/>
    </row>
    <row r="95" spans="1:13" s="2" customFormat="1" x14ac:dyDescent="0.25">
      <c r="A95" s="56" t="s">
        <v>114</v>
      </c>
      <c r="B95" s="56"/>
      <c r="C95" s="56"/>
      <c r="D95" s="56"/>
      <c r="E95" s="56"/>
      <c r="F95" s="19" t="s">
        <v>40</v>
      </c>
      <c r="G95" s="19"/>
      <c r="H95" s="19"/>
      <c r="I95" s="19">
        <f>15600*0.1%</f>
        <v>15.6</v>
      </c>
      <c r="J95" s="19">
        <v>44</v>
      </c>
      <c r="K95" s="19">
        <f>I95/J95</f>
        <v>0.35454545454545455</v>
      </c>
      <c r="L95" s="25"/>
      <c r="M95" s="12"/>
    </row>
    <row r="96" spans="1:13" s="2" customFormat="1" x14ac:dyDescent="0.25">
      <c r="A96" s="66" t="s">
        <v>115</v>
      </c>
      <c r="B96" s="67"/>
      <c r="C96" s="67"/>
      <c r="D96" s="67"/>
      <c r="E96" s="67"/>
      <c r="F96" s="67"/>
      <c r="G96" s="67"/>
      <c r="H96" s="67"/>
      <c r="I96" s="6">
        <f>I95</f>
        <v>15.6</v>
      </c>
      <c r="J96" s="8">
        <v>44</v>
      </c>
      <c r="K96" s="6">
        <f>I96/J95</f>
        <v>0.35454545454545455</v>
      </c>
      <c r="L96" s="26"/>
    </row>
    <row r="97" spans="1:12" s="2" customFormat="1" x14ac:dyDescent="0.25"/>
    <row r="98" spans="1:12" s="2" customFormat="1" ht="15" customHeight="1" x14ac:dyDescent="0.25">
      <c r="A98" s="57" t="s">
        <v>42</v>
      </c>
      <c r="B98" s="79"/>
      <c r="C98" s="79"/>
      <c r="D98" s="79"/>
      <c r="E98" s="79"/>
      <c r="F98" s="79"/>
      <c r="G98" s="79"/>
      <c r="H98" s="79"/>
      <c r="I98" s="79"/>
      <c r="J98" s="79"/>
      <c r="K98" s="79"/>
      <c r="L98" s="45"/>
    </row>
    <row r="99" spans="1:12" s="2" customFormat="1" x14ac:dyDescent="0.25">
      <c r="A99" s="83"/>
      <c r="B99" s="83"/>
      <c r="C99" s="83"/>
      <c r="D99" s="83"/>
      <c r="E99" s="83"/>
      <c r="F99" s="83"/>
      <c r="G99" s="83"/>
      <c r="H99" s="83"/>
      <c r="I99" s="83"/>
      <c r="J99" s="83"/>
      <c r="K99" s="83"/>
      <c r="L99" s="45"/>
    </row>
    <row r="100" spans="1:12" s="2" customFormat="1" ht="60" x14ac:dyDescent="0.25">
      <c r="A100" s="72" t="s">
        <v>43</v>
      </c>
      <c r="B100" s="72"/>
      <c r="C100" s="72"/>
      <c r="D100" s="58" t="s">
        <v>44</v>
      </c>
      <c r="E100" s="84"/>
      <c r="F100" s="84"/>
      <c r="G100" s="84"/>
      <c r="H100" s="84"/>
      <c r="I100" s="84"/>
      <c r="J100" s="85"/>
      <c r="K100" s="18" t="s">
        <v>55</v>
      </c>
      <c r="L100" s="25"/>
    </row>
    <row r="101" spans="1:12" s="2" customFormat="1" ht="22.5" customHeight="1" x14ac:dyDescent="0.25">
      <c r="A101" s="19" t="s">
        <v>45</v>
      </c>
      <c r="B101" s="22" t="s">
        <v>46</v>
      </c>
      <c r="C101" s="19" t="s">
        <v>47</v>
      </c>
      <c r="D101" s="19" t="s">
        <v>48</v>
      </c>
      <c r="E101" s="19" t="s">
        <v>49</v>
      </c>
      <c r="F101" s="19" t="s">
        <v>50</v>
      </c>
      <c r="G101" s="19" t="s">
        <v>51</v>
      </c>
      <c r="H101" s="19" t="s">
        <v>52</v>
      </c>
      <c r="I101" s="19" t="s">
        <v>53</v>
      </c>
      <c r="J101" s="19" t="s">
        <v>54</v>
      </c>
      <c r="K101" s="18"/>
    </row>
    <row r="102" spans="1:12" s="2" customFormat="1" x14ac:dyDescent="0.25">
      <c r="A102" s="19">
        <f>K43</f>
        <v>63.823181818181816</v>
      </c>
      <c r="B102" s="19">
        <v>0</v>
      </c>
      <c r="C102" s="19">
        <v>0</v>
      </c>
      <c r="D102" s="19">
        <f>K54</f>
        <v>8.7840354545454566</v>
      </c>
      <c r="E102" s="19">
        <f>K63</f>
        <v>3.05341</v>
      </c>
      <c r="F102" s="19"/>
      <c r="G102" s="19">
        <f>K77</f>
        <v>0.68181818181818177</v>
      </c>
      <c r="H102" s="19">
        <f>K70</f>
        <v>5.3224999999999998</v>
      </c>
      <c r="I102" s="19">
        <f>K86</f>
        <v>17.734423636363637</v>
      </c>
      <c r="J102" s="19">
        <f>K91+K96</f>
        <v>0.79090909090909089</v>
      </c>
      <c r="K102" s="19">
        <f>SUM(A102:J102)</f>
        <v>100.19027818181819</v>
      </c>
    </row>
    <row r="103" spans="1:12" s="2" customFormat="1" x14ac:dyDescent="0.25"/>
    <row r="104" spans="1:12" s="2" customFormat="1" ht="18" customHeight="1" x14ac:dyDescent="0.25">
      <c r="A104" s="39" t="s">
        <v>63</v>
      </c>
      <c r="B104" s="39"/>
      <c r="C104" s="39"/>
      <c r="D104" s="39"/>
      <c r="E104" s="39"/>
      <c r="F104" s="39" t="s">
        <v>64</v>
      </c>
      <c r="G104" s="39"/>
    </row>
    <row r="105" spans="1:12" s="2" customFormat="1" x14ac:dyDescent="0.25">
      <c r="A105" s="39"/>
      <c r="B105" s="39"/>
      <c r="C105" s="1"/>
      <c r="D105" s="1"/>
      <c r="E105" s="1"/>
      <c r="F105" s="1"/>
      <c r="G105" s="1"/>
      <c r="I105" s="11">
        <f>I43+I86+I91+I77+I70+I63+I54+I96</f>
        <v>4408.3722399999997</v>
      </c>
      <c r="K105" s="46">
        <f>J90*K102</f>
        <v>4408.3722400000006</v>
      </c>
    </row>
    <row r="106" spans="1:12" s="2" customFormat="1" x14ac:dyDescent="0.25"/>
    <row r="107" spans="1:12" x14ac:dyDescent="0.25">
      <c r="A107" s="39" t="s">
        <v>105</v>
      </c>
      <c r="B107" s="16"/>
      <c r="C107" s="2"/>
      <c r="D107" s="2"/>
      <c r="E107" s="2"/>
      <c r="F107" s="2"/>
      <c r="G107" s="2"/>
      <c r="H107" s="2"/>
      <c r="I107" s="2"/>
      <c r="J107" s="2"/>
      <c r="K107" s="2"/>
    </row>
    <row r="108" spans="1:12" x14ac:dyDescent="0.25">
      <c r="A108" s="39" t="s">
        <v>65</v>
      </c>
      <c r="B108" s="16"/>
      <c r="C108" s="2"/>
      <c r="D108" s="2"/>
      <c r="E108" s="2"/>
      <c r="F108" s="2"/>
      <c r="G108" s="2"/>
      <c r="H108" s="2"/>
      <c r="I108" s="2"/>
      <c r="J108" s="2"/>
      <c r="K108" s="2"/>
    </row>
    <row r="110" spans="1:12" x14ac:dyDescent="0.25">
      <c r="H110" s="40"/>
    </row>
  </sheetData>
  <mergeCells count="89">
    <mergeCell ref="A72:K72"/>
    <mergeCell ref="A75:E75"/>
    <mergeCell ref="A57:E57"/>
    <mergeCell ref="A73:E73"/>
    <mergeCell ref="A74:E74"/>
    <mergeCell ref="A60:E60"/>
    <mergeCell ref="A61:E61"/>
    <mergeCell ref="A66:E66"/>
    <mergeCell ref="A70:H70"/>
    <mergeCell ref="A17:E17"/>
    <mergeCell ref="G17:K17"/>
    <mergeCell ref="A24:E24"/>
    <mergeCell ref="G23:K23"/>
    <mergeCell ref="G27:K27"/>
    <mergeCell ref="A23:E23"/>
    <mergeCell ref="G22:K22"/>
    <mergeCell ref="A18:E18"/>
    <mergeCell ref="A25:E25"/>
    <mergeCell ref="G24:K24"/>
    <mergeCell ref="A26:E26"/>
    <mergeCell ref="G25:K25"/>
    <mergeCell ref="G29:K29"/>
    <mergeCell ref="A28:E28"/>
    <mergeCell ref="G28:K28"/>
    <mergeCell ref="A27:E27"/>
    <mergeCell ref="A29:E29"/>
    <mergeCell ref="A79:K81"/>
    <mergeCell ref="G26:K26"/>
    <mergeCell ref="A84:E84"/>
    <mergeCell ref="A5:F5"/>
    <mergeCell ref="A6:D6"/>
    <mergeCell ref="A8:M8"/>
    <mergeCell ref="A9:M9"/>
    <mergeCell ref="A10:M10"/>
    <mergeCell ref="A19:E19"/>
    <mergeCell ref="G18:K18"/>
    <mergeCell ref="A20:E20"/>
    <mergeCell ref="G19:K19"/>
    <mergeCell ref="A21:E21"/>
    <mergeCell ref="G20:K20"/>
    <mergeCell ref="A22:E22"/>
    <mergeCell ref="G21:K21"/>
    <mergeCell ref="A30:E30"/>
    <mergeCell ref="A83:E83"/>
    <mergeCell ref="A82:E82"/>
    <mergeCell ref="A49:E49"/>
    <mergeCell ref="A50:E50"/>
    <mergeCell ref="A51:E51"/>
    <mergeCell ref="A52:E52"/>
    <mergeCell ref="A54:H54"/>
    <mergeCell ref="A63:H63"/>
    <mergeCell ref="A58:E58"/>
    <mergeCell ref="A56:L56"/>
    <mergeCell ref="A65:L65"/>
    <mergeCell ref="A77:H77"/>
    <mergeCell ref="A76:E76"/>
    <mergeCell ref="A62:E62"/>
    <mergeCell ref="G30:K30"/>
    <mergeCell ref="A100:C100"/>
    <mergeCell ref="A85:E85"/>
    <mergeCell ref="A90:E90"/>
    <mergeCell ref="A89:E89"/>
    <mergeCell ref="A91:H91"/>
    <mergeCell ref="A86:E86"/>
    <mergeCell ref="A95:E95"/>
    <mergeCell ref="A96:H96"/>
    <mergeCell ref="A98:K99"/>
    <mergeCell ref="D100:J100"/>
    <mergeCell ref="A88:K88"/>
    <mergeCell ref="A93:L93"/>
    <mergeCell ref="A94:E94"/>
    <mergeCell ref="A43:E43"/>
    <mergeCell ref="A39:E39"/>
    <mergeCell ref="A40:E40"/>
    <mergeCell ref="A41:E41"/>
    <mergeCell ref="A42:E42"/>
    <mergeCell ref="A38:E38"/>
    <mergeCell ref="A37:E37"/>
    <mergeCell ref="A33:E33"/>
    <mergeCell ref="A34:E34"/>
    <mergeCell ref="A35:E35"/>
    <mergeCell ref="A36:E36"/>
    <mergeCell ref="A45:L45"/>
    <mergeCell ref="A48:E48"/>
    <mergeCell ref="A59:E59"/>
    <mergeCell ref="A68:E68"/>
    <mergeCell ref="A69:E69"/>
    <mergeCell ref="A53:E53"/>
    <mergeCell ref="A67:E67"/>
  </mergeCells>
  <pageMargins left="0.31496062992125984" right="0.31496062992125984" top="0.55118110236220474" bottom="0.55118110236220474" header="0.31496062992125984" footer="0.31496062992125984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108"/>
  <sheetViews>
    <sheetView topLeftCell="A85" zoomScale="90" zoomScaleNormal="90" workbookViewId="0">
      <selection activeCell="L103" sqref="L103"/>
    </sheetView>
  </sheetViews>
  <sheetFormatPr defaultRowHeight="15" x14ac:dyDescent="0.25"/>
  <cols>
    <col min="1" max="1" width="10.5703125" style="3" customWidth="1"/>
    <col min="2" max="4" width="9.140625" style="3"/>
    <col min="5" max="5" width="15.28515625" style="3" customWidth="1"/>
    <col min="6" max="6" width="12" style="3" customWidth="1"/>
    <col min="7" max="7" width="11.140625" style="3" customWidth="1"/>
    <col min="8" max="8" width="14.140625" style="3" customWidth="1"/>
    <col min="9" max="9" width="13.7109375" style="3" customWidth="1"/>
    <col min="10" max="10" width="13.5703125" style="3" customWidth="1"/>
    <col min="11" max="11" width="14.42578125" style="3" customWidth="1"/>
    <col min="12" max="12" width="13.42578125" style="3" customWidth="1"/>
    <col min="13" max="13" width="13.85546875" style="3" customWidth="1"/>
    <col min="14" max="16384" width="9.140625" style="3"/>
  </cols>
  <sheetData>
    <row r="2" spans="1:13" ht="15.75" x14ac:dyDescent="0.25">
      <c r="A2" s="13" t="s">
        <v>60</v>
      </c>
      <c r="B2" s="13"/>
      <c r="C2" s="1"/>
      <c r="D2" s="1"/>
    </row>
    <row r="3" spans="1:13" ht="15.75" x14ac:dyDescent="0.25">
      <c r="A3" s="14" t="s">
        <v>61</v>
      </c>
      <c r="B3" s="14"/>
      <c r="C3" s="1"/>
      <c r="D3" s="1"/>
    </row>
    <row r="4" spans="1:13" x14ac:dyDescent="0.25">
      <c r="A4" s="15"/>
      <c r="B4" s="16"/>
      <c r="C4" s="1"/>
      <c r="D4" s="1"/>
    </row>
    <row r="5" spans="1:13" ht="15.75" x14ac:dyDescent="0.25">
      <c r="A5" s="78" t="s">
        <v>62</v>
      </c>
      <c r="B5" s="78"/>
      <c r="C5" s="78"/>
      <c r="D5" s="78"/>
      <c r="E5" s="78"/>
      <c r="F5" s="78"/>
    </row>
    <row r="6" spans="1:13" ht="15.75" x14ac:dyDescent="0.25">
      <c r="A6" s="80" t="s">
        <v>100</v>
      </c>
      <c r="B6" s="80"/>
      <c r="C6" s="80"/>
      <c r="D6" s="80"/>
    </row>
    <row r="7" spans="1:13" ht="15.75" x14ac:dyDescent="0.25">
      <c r="A7" s="17"/>
      <c r="B7" s="17"/>
      <c r="C7" s="17"/>
      <c r="D7" s="13"/>
    </row>
    <row r="9" spans="1:13" ht="15.75" x14ac:dyDescent="0.25">
      <c r="A9" s="81" t="s">
        <v>59</v>
      </c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</row>
    <row r="10" spans="1:13" ht="15.75" x14ac:dyDescent="0.25">
      <c r="A10" s="81" t="s">
        <v>91</v>
      </c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</row>
    <row r="11" spans="1:13" ht="15.75" x14ac:dyDescent="0.25">
      <c r="A11" s="81" t="s">
        <v>101</v>
      </c>
      <c r="B11" s="81"/>
      <c r="C11" s="81"/>
      <c r="D11" s="81"/>
      <c r="E11" s="81"/>
      <c r="F11" s="81"/>
      <c r="G11" s="81"/>
      <c r="H11" s="81"/>
      <c r="I11" s="81"/>
      <c r="J11" s="81"/>
      <c r="K11" s="81"/>
      <c r="L11" s="81"/>
      <c r="M11" s="81"/>
    </row>
    <row r="13" spans="1:13" s="2" customFormat="1" x14ac:dyDescent="0.25">
      <c r="A13" s="12" t="s">
        <v>66</v>
      </c>
    </row>
    <row r="14" spans="1:13" s="2" customFormat="1" x14ac:dyDescent="0.25">
      <c r="A14" s="12" t="s">
        <v>93</v>
      </c>
    </row>
    <row r="15" spans="1:13" s="2" customFormat="1" x14ac:dyDescent="0.25">
      <c r="A15" s="12" t="s">
        <v>104</v>
      </c>
    </row>
    <row r="16" spans="1:13" x14ac:dyDescent="0.25">
      <c r="A16" s="12" t="s">
        <v>73</v>
      </c>
      <c r="B16" s="2"/>
      <c r="C16" s="2"/>
      <c r="D16" s="2"/>
      <c r="E16" s="2"/>
    </row>
    <row r="17" spans="1:12" s="2" customFormat="1" ht="30" customHeight="1" x14ac:dyDescent="0.25">
      <c r="A17" s="90" t="s">
        <v>0</v>
      </c>
      <c r="B17" s="91"/>
      <c r="C17" s="91"/>
      <c r="D17" s="91"/>
      <c r="E17" s="92"/>
      <c r="F17" s="18" t="s">
        <v>1</v>
      </c>
      <c r="G17" s="90" t="s">
        <v>2</v>
      </c>
      <c r="H17" s="91"/>
      <c r="I17" s="91"/>
      <c r="J17" s="91"/>
      <c r="K17" s="92"/>
      <c r="L17" s="19" t="s">
        <v>1</v>
      </c>
    </row>
    <row r="18" spans="1:12" s="2" customFormat="1" x14ac:dyDescent="0.25">
      <c r="A18" s="50" t="s">
        <v>6</v>
      </c>
      <c r="B18" s="61"/>
      <c r="C18" s="61"/>
      <c r="D18" s="61"/>
      <c r="E18" s="62"/>
      <c r="F18" s="19">
        <v>0.08</v>
      </c>
      <c r="G18" s="50" t="s">
        <v>5</v>
      </c>
      <c r="H18" s="61"/>
      <c r="I18" s="61"/>
      <c r="J18" s="61"/>
      <c r="K18" s="62"/>
      <c r="L18" s="19">
        <v>0.08</v>
      </c>
    </row>
    <row r="19" spans="1:12" s="2" customFormat="1" x14ac:dyDescent="0.25">
      <c r="A19" s="50" t="s">
        <v>3</v>
      </c>
      <c r="B19" s="61"/>
      <c r="C19" s="61"/>
      <c r="D19" s="61"/>
      <c r="E19" s="62"/>
      <c r="F19" s="19">
        <v>0.08</v>
      </c>
      <c r="G19" s="50" t="s">
        <v>9</v>
      </c>
      <c r="H19" s="61"/>
      <c r="I19" s="61"/>
      <c r="J19" s="61"/>
      <c r="K19" s="62"/>
      <c r="L19" s="19">
        <v>0.04</v>
      </c>
    </row>
    <row r="20" spans="1:12" s="2" customFormat="1" x14ac:dyDescent="0.25">
      <c r="A20" s="50" t="s">
        <v>4</v>
      </c>
      <c r="B20" s="61"/>
      <c r="C20" s="61"/>
      <c r="D20" s="61"/>
      <c r="E20" s="62"/>
      <c r="F20" s="19">
        <v>0.08</v>
      </c>
      <c r="G20" s="50" t="s">
        <v>8</v>
      </c>
      <c r="H20" s="61"/>
      <c r="I20" s="61"/>
      <c r="J20" s="61"/>
      <c r="K20" s="62"/>
      <c r="L20" s="19">
        <v>0.08</v>
      </c>
    </row>
    <row r="21" spans="1:12" s="2" customFormat="1" x14ac:dyDescent="0.25">
      <c r="A21" s="50" t="s">
        <v>11</v>
      </c>
      <c r="B21" s="61"/>
      <c r="C21" s="61"/>
      <c r="D21" s="61"/>
      <c r="E21" s="62"/>
      <c r="F21" s="19">
        <v>0.08</v>
      </c>
      <c r="G21" s="50"/>
      <c r="H21" s="61"/>
      <c r="I21" s="61"/>
      <c r="J21" s="61"/>
      <c r="K21" s="62"/>
      <c r="L21" s="19"/>
    </row>
    <row r="22" spans="1:12" s="2" customFormat="1" x14ac:dyDescent="0.25">
      <c r="A22" s="50" t="s">
        <v>7</v>
      </c>
      <c r="B22" s="61"/>
      <c r="C22" s="61"/>
      <c r="D22" s="61"/>
      <c r="E22" s="62"/>
      <c r="F22" s="19">
        <v>0.08</v>
      </c>
      <c r="G22" s="50"/>
      <c r="H22" s="61"/>
      <c r="I22" s="61"/>
      <c r="J22" s="61"/>
      <c r="K22" s="62"/>
      <c r="L22" s="19"/>
    </row>
    <row r="23" spans="1:12" s="2" customFormat="1" x14ac:dyDescent="0.25">
      <c r="A23" s="50" t="s">
        <v>10</v>
      </c>
      <c r="B23" s="61"/>
      <c r="C23" s="61"/>
      <c r="D23" s="61"/>
      <c r="E23" s="62"/>
      <c r="F23" s="19">
        <v>0.08</v>
      </c>
      <c r="G23" s="50"/>
      <c r="H23" s="61"/>
      <c r="I23" s="61"/>
      <c r="J23" s="61"/>
      <c r="K23" s="62"/>
      <c r="L23" s="19"/>
    </row>
    <row r="24" spans="1:12" s="2" customFormat="1" x14ac:dyDescent="0.25">
      <c r="A24" s="50" t="s">
        <v>12</v>
      </c>
      <c r="B24" s="61"/>
      <c r="C24" s="61"/>
      <c r="D24" s="61"/>
      <c r="E24" s="62"/>
      <c r="F24" s="19">
        <v>0.08</v>
      </c>
      <c r="G24" s="50"/>
      <c r="H24" s="61"/>
      <c r="I24" s="61"/>
      <c r="J24" s="61"/>
      <c r="K24" s="62"/>
      <c r="L24" s="19"/>
    </row>
    <row r="25" spans="1:12" s="2" customFormat="1" x14ac:dyDescent="0.25">
      <c r="A25" s="50" t="s">
        <v>13</v>
      </c>
      <c r="B25" s="61"/>
      <c r="C25" s="61"/>
      <c r="D25" s="61"/>
      <c r="E25" s="62"/>
      <c r="F25" s="19">
        <v>0.08</v>
      </c>
      <c r="G25" s="50"/>
      <c r="H25" s="61"/>
      <c r="I25" s="61"/>
      <c r="J25" s="61"/>
      <c r="K25" s="62"/>
      <c r="L25" s="19"/>
    </row>
    <row r="26" spans="1:12" s="2" customFormat="1" x14ac:dyDescent="0.25">
      <c r="A26" s="50" t="s">
        <v>56</v>
      </c>
      <c r="B26" s="61"/>
      <c r="C26" s="61"/>
      <c r="D26" s="61"/>
      <c r="E26" s="62"/>
      <c r="F26" s="19">
        <v>0.08</v>
      </c>
      <c r="G26" s="50"/>
      <c r="H26" s="61"/>
      <c r="I26" s="61"/>
      <c r="J26" s="61"/>
      <c r="K26" s="62"/>
      <c r="L26" s="19"/>
    </row>
    <row r="27" spans="1:12" s="2" customFormat="1" ht="11.25" customHeight="1" x14ac:dyDescent="0.25">
      <c r="A27" s="58"/>
      <c r="B27" s="59"/>
      <c r="C27" s="59"/>
      <c r="D27" s="59"/>
      <c r="E27" s="60"/>
      <c r="F27" s="19"/>
      <c r="G27" s="68"/>
      <c r="H27" s="69"/>
      <c r="I27" s="69"/>
      <c r="J27" s="69"/>
      <c r="K27" s="70"/>
      <c r="L27" s="20"/>
    </row>
    <row r="28" spans="1:12" s="2" customFormat="1" ht="11.25" customHeight="1" x14ac:dyDescent="0.25">
      <c r="A28" s="58"/>
      <c r="B28" s="59"/>
      <c r="C28" s="59"/>
      <c r="D28" s="59"/>
      <c r="E28" s="60"/>
      <c r="F28" s="19"/>
      <c r="G28" s="68"/>
      <c r="H28" s="69"/>
      <c r="I28" s="69"/>
      <c r="J28" s="69"/>
      <c r="K28" s="70"/>
      <c r="L28" s="20"/>
    </row>
    <row r="29" spans="1:12" s="2" customFormat="1" ht="11.25" customHeight="1" x14ac:dyDescent="0.25">
      <c r="A29" s="58"/>
      <c r="B29" s="59"/>
      <c r="C29" s="59"/>
      <c r="D29" s="59"/>
      <c r="E29" s="60"/>
      <c r="F29" s="19"/>
      <c r="G29" s="68"/>
      <c r="H29" s="69"/>
      <c r="I29" s="69"/>
      <c r="J29" s="69"/>
      <c r="K29" s="70"/>
      <c r="L29" s="20"/>
    </row>
    <row r="30" spans="1:12" s="2" customFormat="1" x14ac:dyDescent="0.25">
      <c r="A30" s="58" t="s">
        <v>14</v>
      </c>
      <c r="B30" s="59"/>
      <c r="C30" s="59"/>
      <c r="D30" s="59"/>
      <c r="E30" s="60"/>
      <c r="F30" s="19">
        <f>SUM(F18:F29)</f>
        <v>0.72</v>
      </c>
      <c r="G30" s="58" t="s">
        <v>14</v>
      </c>
      <c r="H30" s="59"/>
      <c r="I30" s="59"/>
      <c r="J30" s="59"/>
      <c r="K30" s="60"/>
      <c r="L30" s="19">
        <f>SUM(L18:L29)</f>
        <v>0.2</v>
      </c>
    </row>
    <row r="31" spans="1:12" s="2" customFormat="1" x14ac:dyDescent="0.25"/>
    <row r="32" spans="1:12" s="2" customFormat="1" x14ac:dyDescent="0.25">
      <c r="A32" s="12" t="s">
        <v>58</v>
      </c>
      <c r="F32" s="2">
        <v>3010</v>
      </c>
    </row>
    <row r="33" spans="1:14" s="2" customFormat="1" ht="75" x14ac:dyDescent="0.25">
      <c r="A33" s="58" t="s">
        <v>15</v>
      </c>
      <c r="B33" s="59"/>
      <c r="C33" s="59"/>
      <c r="D33" s="59"/>
      <c r="E33" s="60"/>
      <c r="F33" s="18" t="s">
        <v>16</v>
      </c>
      <c r="G33" s="18" t="s">
        <v>1</v>
      </c>
      <c r="H33" s="18" t="s">
        <v>74</v>
      </c>
      <c r="I33" s="18" t="s">
        <v>75</v>
      </c>
      <c r="J33" s="18" t="s">
        <v>76</v>
      </c>
      <c r="K33" s="21" t="s">
        <v>77</v>
      </c>
      <c r="L33" s="27"/>
    </row>
    <row r="34" spans="1:14" s="2" customFormat="1" hidden="1" x14ac:dyDescent="0.25">
      <c r="A34" s="50" t="s">
        <v>6</v>
      </c>
      <c r="B34" s="61"/>
      <c r="C34" s="61"/>
      <c r="D34" s="61"/>
      <c r="E34" s="62"/>
      <c r="F34" s="19">
        <f>'Услуга №1 '!F37</f>
        <v>11538</v>
      </c>
      <c r="G34" s="19">
        <f>F18</f>
        <v>0.08</v>
      </c>
      <c r="H34" s="19">
        <f>F34*G34*12</f>
        <v>11076.48</v>
      </c>
      <c r="I34" s="19">
        <f>H34*1.302</f>
        <v>14421.57696</v>
      </c>
      <c r="J34" s="19">
        <f>F32</f>
        <v>3010</v>
      </c>
      <c r="K34" s="19">
        <f>I34/J34</f>
        <v>4.7912215813953489</v>
      </c>
      <c r="L34" s="25"/>
    </row>
    <row r="35" spans="1:14" s="2" customFormat="1" hidden="1" x14ac:dyDescent="0.25">
      <c r="A35" s="50" t="s">
        <v>3</v>
      </c>
      <c r="B35" s="61"/>
      <c r="C35" s="61"/>
      <c r="D35" s="61"/>
      <c r="E35" s="62"/>
      <c r="F35" s="19">
        <f>'Услуга №1 '!F38</f>
        <v>11235</v>
      </c>
      <c r="G35" s="19">
        <f t="shared" ref="G35:G42" si="0">F19</f>
        <v>0.08</v>
      </c>
      <c r="H35" s="19">
        <f t="shared" ref="H35:H42" si="1">F35*G35*12</f>
        <v>10785.6</v>
      </c>
      <c r="I35" s="19">
        <f t="shared" ref="I35:I42" si="2">H35*1.302</f>
        <v>14042.851200000001</v>
      </c>
      <c r="J35" s="19">
        <f>J34</f>
        <v>3010</v>
      </c>
      <c r="K35" s="19">
        <f t="shared" ref="K35:K42" si="3">I35/J35</f>
        <v>4.6653990697674423</v>
      </c>
      <c r="L35" s="25"/>
    </row>
    <row r="36" spans="1:14" s="2" customFormat="1" hidden="1" x14ac:dyDescent="0.25">
      <c r="A36" s="50" t="s">
        <v>4</v>
      </c>
      <c r="B36" s="61"/>
      <c r="C36" s="61"/>
      <c r="D36" s="61"/>
      <c r="E36" s="62"/>
      <c r="F36" s="19">
        <f>'Услуга №1 '!F39</f>
        <v>11538</v>
      </c>
      <c r="G36" s="19">
        <f t="shared" si="0"/>
        <v>0.08</v>
      </c>
      <c r="H36" s="19">
        <f t="shared" si="1"/>
        <v>11076.48</v>
      </c>
      <c r="I36" s="19">
        <f t="shared" si="2"/>
        <v>14421.57696</v>
      </c>
      <c r="J36" s="19">
        <f>J35</f>
        <v>3010</v>
      </c>
      <c r="K36" s="19">
        <f t="shared" si="3"/>
        <v>4.7912215813953489</v>
      </c>
      <c r="L36" s="25"/>
    </row>
    <row r="37" spans="1:14" s="2" customFormat="1" hidden="1" x14ac:dyDescent="0.25">
      <c r="A37" s="50" t="s">
        <v>11</v>
      </c>
      <c r="B37" s="61"/>
      <c r="C37" s="61"/>
      <c r="D37" s="61"/>
      <c r="E37" s="62"/>
      <c r="F37" s="19">
        <f>'Услуга №1 '!F40</f>
        <v>8837</v>
      </c>
      <c r="G37" s="19">
        <f t="shared" si="0"/>
        <v>0.08</v>
      </c>
      <c r="H37" s="19">
        <f t="shared" si="1"/>
        <v>8483.52</v>
      </c>
      <c r="I37" s="19">
        <f t="shared" si="2"/>
        <v>11045.54304</v>
      </c>
      <c r="J37" s="19">
        <f>J35</f>
        <v>3010</v>
      </c>
      <c r="K37" s="19">
        <f t="shared" si="3"/>
        <v>3.6696156279069769</v>
      </c>
      <c r="L37" s="25"/>
    </row>
    <row r="38" spans="1:14" s="2" customFormat="1" hidden="1" x14ac:dyDescent="0.25">
      <c r="A38" s="50" t="s">
        <v>7</v>
      </c>
      <c r="B38" s="61"/>
      <c r="C38" s="61"/>
      <c r="D38" s="61"/>
      <c r="E38" s="62"/>
      <c r="F38" s="19">
        <f>'Услуга №1 '!F41</f>
        <v>8837</v>
      </c>
      <c r="G38" s="19">
        <f t="shared" si="0"/>
        <v>0.08</v>
      </c>
      <c r="H38" s="19">
        <f t="shared" si="1"/>
        <v>8483.52</v>
      </c>
      <c r="I38" s="19">
        <f t="shared" si="2"/>
        <v>11045.54304</v>
      </c>
      <c r="J38" s="19">
        <f>J36</f>
        <v>3010</v>
      </c>
      <c r="K38" s="19">
        <f t="shared" si="3"/>
        <v>3.6696156279069769</v>
      </c>
      <c r="L38" s="25"/>
    </row>
    <row r="39" spans="1:14" s="2" customFormat="1" hidden="1" x14ac:dyDescent="0.25">
      <c r="A39" s="50" t="s">
        <v>10</v>
      </c>
      <c r="B39" s="61"/>
      <c r="C39" s="61"/>
      <c r="D39" s="61"/>
      <c r="E39" s="62"/>
      <c r="F39" s="19">
        <f>'Услуга №1 '!F42</f>
        <v>4496</v>
      </c>
      <c r="G39" s="19">
        <f t="shared" si="0"/>
        <v>0.08</v>
      </c>
      <c r="H39" s="19">
        <f t="shared" si="1"/>
        <v>4316.16</v>
      </c>
      <c r="I39" s="19">
        <f t="shared" si="2"/>
        <v>5619.6403200000004</v>
      </c>
      <c r="J39" s="19">
        <f>J38</f>
        <v>3010</v>
      </c>
      <c r="K39" s="19">
        <f t="shared" si="3"/>
        <v>1.8669901395348838</v>
      </c>
      <c r="L39" s="25"/>
    </row>
    <row r="40" spans="1:14" s="2" customFormat="1" ht="15" hidden="1" customHeight="1" x14ac:dyDescent="0.25">
      <c r="A40" s="68" t="s">
        <v>12</v>
      </c>
      <c r="B40" s="69"/>
      <c r="C40" s="69"/>
      <c r="D40" s="69"/>
      <c r="E40" s="70"/>
      <c r="F40" s="23">
        <f>'Услуга №1 '!F44</f>
        <v>8837</v>
      </c>
      <c r="G40" s="19">
        <f t="shared" si="0"/>
        <v>0.08</v>
      </c>
      <c r="H40" s="19">
        <f t="shared" si="1"/>
        <v>8483.52</v>
      </c>
      <c r="I40" s="19">
        <f t="shared" si="2"/>
        <v>11045.54304</v>
      </c>
      <c r="J40" s="19">
        <f>J38</f>
        <v>3010</v>
      </c>
      <c r="K40" s="19">
        <f t="shared" si="3"/>
        <v>3.6696156279069769</v>
      </c>
      <c r="L40" s="25"/>
    </row>
    <row r="41" spans="1:14" s="2" customFormat="1" hidden="1" x14ac:dyDescent="0.25">
      <c r="A41" s="68" t="s">
        <v>13</v>
      </c>
      <c r="B41" s="69"/>
      <c r="C41" s="69"/>
      <c r="D41" s="69"/>
      <c r="E41" s="70"/>
      <c r="F41" s="23">
        <f>'Услуга №1 '!F86</f>
        <v>11538</v>
      </c>
      <c r="G41" s="19">
        <f t="shared" si="0"/>
        <v>0.08</v>
      </c>
      <c r="H41" s="19">
        <f t="shared" si="1"/>
        <v>11076.48</v>
      </c>
      <c r="I41" s="19">
        <f t="shared" si="2"/>
        <v>14421.57696</v>
      </c>
      <c r="J41" s="19">
        <f>J39</f>
        <v>3010</v>
      </c>
      <c r="K41" s="19">
        <f t="shared" si="3"/>
        <v>4.7912215813953489</v>
      </c>
      <c r="L41" s="25"/>
    </row>
    <row r="42" spans="1:14" s="2" customFormat="1" hidden="1" x14ac:dyDescent="0.25">
      <c r="A42" s="50" t="s">
        <v>56</v>
      </c>
      <c r="B42" s="61"/>
      <c r="C42" s="61"/>
      <c r="D42" s="61"/>
      <c r="E42" s="62"/>
      <c r="F42" s="23">
        <f>'Услуга №1 '!F46</f>
        <v>11538</v>
      </c>
      <c r="G42" s="19">
        <f t="shared" si="0"/>
        <v>0.08</v>
      </c>
      <c r="H42" s="19">
        <f t="shared" si="1"/>
        <v>11076.48</v>
      </c>
      <c r="I42" s="19">
        <f t="shared" si="2"/>
        <v>14421.57696</v>
      </c>
      <c r="J42" s="19">
        <f>J41</f>
        <v>3010</v>
      </c>
      <c r="K42" s="19">
        <f t="shared" si="3"/>
        <v>4.7912215813953489</v>
      </c>
      <c r="L42" s="25"/>
    </row>
    <row r="43" spans="1:14" s="2" customFormat="1" ht="26.25" customHeight="1" x14ac:dyDescent="0.25">
      <c r="A43" s="53" t="s">
        <v>70</v>
      </c>
      <c r="B43" s="54"/>
      <c r="C43" s="54"/>
      <c r="D43" s="54"/>
      <c r="E43" s="55"/>
      <c r="F43" s="8">
        <v>23507.58</v>
      </c>
      <c r="G43" s="8">
        <f>SUM(G34:G42)</f>
        <v>0.72</v>
      </c>
      <c r="H43" s="8">
        <f>(G43*F43)*12</f>
        <v>203105.49120000002</v>
      </c>
      <c r="I43" s="8">
        <f>(H43*1.302)</f>
        <v>264443.34954240004</v>
      </c>
      <c r="J43" s="8">
        <v>3010</v>
      </c>
      <c r="K43" s="8">
        <f>I43/J43</f>
        <v>87.854933402790707</v>
      </c>
      <c r="L43" s="25"/>
    </row>
    <row r="44" spans="1:14" s="2" customFormat="1" hidden="1" x14ac:dyDescent="0.25">
      <c r="A44" s="41"/>
      <c r="B44" s="41"/>
      <c r="C44" s="41"/>
      <c r="D44" s="41"/>
      <c r="E44" s="41"/>
      <c r="F44" s="25"/>
      <c r="G44" s="25"/>
      <c r="H44" s="25"/>
      <c r="I44" s="25"/>
      <c r="J44" s="25"/>
      <c r="K44" s="25"/>
      <c r="L44" s="25"/>
    </row>
    <row r="45" spans="1:14" s="2" customFormat="1" x14ac:dyDescent="0.25">
      <c r="A45" s="41"/>
      <c r="B45" s="41"/>
      <c r="C45" s="41"/>
      <c r="D45" s="41"/>
      <c r="E45" s="41"/>
      <c r="F45" s="25"/>
      <c r="G45" s="25"/>
      <c r="H45" s="25"/>
      <c r="I45" s="25"/>
      <c r="J45" s="25"/>
      <c r="K45" s="25"/>
      <c r="L45" s="25"/>
    </row>
    <row r="46" spans="1:14" s="2" customFormat="1" x14ac:dyDescent="0.25">
      <c r="A46" s="57" t="s">
        <v>18</v>
      </c>
      <c r="B46" s="57"/>
      <c r="C46" s="57"/>
      <c r="D46" s="57"/>
      <c r="E46" s="57"/>
      <c r="F46" s="57"/>
      <c r="G46" s="57"/>
      <c r="H46" s="57"/>
      <c r="I46" s="57"/>
      <c r="J46" s="57"/>
      <c r="K46" s="57"/>
      <c r="L46" s="57"/>
    </row>
    <row r="47" spans="1:14" s="2" customFormat="1" ht="60" customHeight="1" x14ac:dyDescent="0.25">
      <c r="A47" s="63" t="s">
        <v>19</v>
      </c>
      <c r="B47" s="63"/>
      <c r="C47" s="63"/>
      <c r="D47" s="63"/>
      <c r="E47" s="63"/>
      <c r="F47" s="18" t="s">
        <v>17</v>
      </c>
      <c r="G47" s="18" t="s">
        <v>69</v>
      </c>
      <c r="H47" s="18" t="s">
        <v>68</v>
      </c>
      <c r="I47" s="18" t="s">
        <v>81</v>
      </c>
      <c r="J47" s="18" t="s">
        <v>76</v>
      </c>
      <c r="K47" s="21" t="s">
        <v>77</v>
      </c>
      <c r="L47" s="27"/>
    </row>
    <row r="48" spans="1:14" s="2" customFormat="1" x14ac:dyDescent="0.25">
      <c r="A48" s="56" t="s">
        <v>20</v>
      </c>
      <c r="B48" s="56"/>
      <c r="C48" s="56"/>
      <c r="D48" s="56"/>
      <c r="E48" s="56"/>
      <c r="F48" s="19" t="s">
        <v>24</v>
      </c>
      <c r="G48" s="19">
        <v>7808</v>
      </c>
      <c r="H48" s="19">
        <f>'Услуга №1 '!H51</f>
        <v>7.8</v>
      </c>
      <c r="I48" s="19">
        <f>(G48*H48)*8.1%</f>
        <v>4933.0944</v>
      </c>
      <c r="J48" s="19">
        <f>F32</f>
        <v>3010</v>
      </c>
      <c r="K48" s="19">
        <f>I48/J48</f>
        <v>1.6389017940199335</v>
      </c>
      <c r="L48" s="25"/>
      <c r="N48" s="25"/>
    </row>
    <row r="49" spans="1:14" s="2" customFormat="1" x14ac:dyDescent="0.25">
      <c r="A49" s="56" t="s">
        <v>21</v>
      </c>
      <c r="B49" s="56"/>
      <c r="C49" s="56"/>
      <c r="D49" s="56"/>
      <c r="E49" s="56"/>
      <c r="F49" s="19" t="s">
        <v>25</v>
      </c>
      <c r="G49" s="19">
        <v>178</v>
      </c>
      <c r="H49" s="19">
        <f>'Услуга №1 '!H52</f>
        <v>1690.47</v>
      </c>
      <c r="I49" s="19">
        <f t="shared" ref="I49:I52" si="4">(G49*H49)*8.1%</f>
        <v>24373.196460000003</v>
      </c>
      <c r="J49" s="19">
        <f>J48</f>
        <v>3010</v>
      </c>
      <c r="K49" s="19">
        <f t="shared" ref="K49:K50" si="5">I49/J49</f>
        <v>8.0974074617940204</v>
      </c>
      <c r="L49" s="25"/>
      <c r="N49" s="25"/>
    </row>
    <row r="50" spans="1:14" s="2" customFormat="1" x14ac:dyDescent="0.25">
      <c r="A50" s="56" t="s">
        <v>22</v>
      </c>
      <c r="B50" s="56"/>
      <c r="C50" s="56"/>
      <c r="D50" s="56"/>
      <c r="E50" s="56"/>
      <c r="F50" s="19" t="s">
        <v>26</v>
      </c>
      <c r="G50" s="19">
        <v>150</v>
      </c>
      <c r="H50" s="19">
        <f>'Услуга №1 '!H54</f>
        <v>40.96</v>
      </c>
      <c r="I50" s="19">
        <f t="shared" si="4"/>
        <v>497.66399999999999</v>
      </c>
      <c r="J50" s="19">
        <f>J49</f>
        <v>3010</v>
      </c>
      <c r="K50" s="19">
        <f t="shared" si="5"/>
        <v>0.16533687707641195</v>
      </c>
      <c r="L50" s="25"/>
      <c r="M50" s="28"/>
      <c r="N50" s="25"/>
    </row>
    <row r="51" spans="1:14" s="2" customFormat="1" x14ac:dyDescent="0.25">
      <c r="A51" s="56" t="s">
        <v>23</v>
      </c>
      <c r="B51" s="56"/>
      <c r="C51" s="56"/>
      <c r="D51" s="56"/>
      <c r="E51" s="56"/>
      <c r="F51" s="19" t="s">
        <v>26</v>
      </c>
      <c r="G51" s="19">
        <v>150</v>
      </c>
      <c r="H51" s="19">
        <f>'Услуга №1 '!H55</f>
        <v>59.65</v>
      </c>
      <c r="I51" s="19">
        <f t="shared" si="4"/>
        <v>724.74750000000006</v>
      </c>
      <c r="J51" s="19">
        <f>J50</f>
        <v>3010</v>
      </c>
      <c r="K51" s="19">
        <f>I51/J51</f>
        <v>0.24077990033222593</v>
      </c>
      <c r="L51" s="25"/>
      <c r="N51" s="25"/>
    </row>
    <row r="52" spans="1:14" s="2" customFormat="1" x14ac:dyDescent="0.25">
      <c r="A52" s="50" t="s">
        <v>106</v>
      </c>
      <c r="B52" s="51"/>
      <c r="C52" s="51"/>
      <c r="D52" s="51"/>
      <c r="E52" s="51"/>
      <c r="F52" s="19" t="s">
        <v>26</v>
      </c>
      <c r="G52" s="19">
        <v>12</v>
      </c>
      <c r="H52" s="19">
        <v>800</v>
      </c>
      <c r="I52" s="19">
        <f t="shared" si="4"/>
        <v>777.6</v>
      </c>
      <c r="J52" s="19">
        <f>J51</f>
        <v>3010</v>
      </c>
      <c r="K52" s="19">
        <f>I52/J52</f>
        <v>0.25833887043189369</v>
      </c>
      <c r="L52" s="25"/>
      <c r="N52" s="25"/>
    </row>
    <row r="53" spans="1:14" s="2" customFormat="1" x14ac:dyDescent="0.25">
      <c r="A53" s="66" t="s">
        <v>71</v>
      </c>
      <c r="B53" s="67"/>
      <c r="C53" s="67"/>
      <c r="D53" s="67"/>
      <c r="E53" s="67"/>
      <c r="F53" s="67"/>
      <c r="G53" s="67"/>
      <c r="H53" s="67"/>
      <c r="I53" s="6">
        <f>SUM(I48:I51)+I52</f>
        <v>31306.302360000001</v>
      </c>
      <c r="J53" s="6">
        <v>3010</v>
      </c>
      <c r="K53" s="6">
        <f>I53/J51</f>
        <v>10.400764903654485</v>
      </c>
      <c r="L53" s="25"/>
    </row>
    <row r="54" spans="1:14" s="2" customFormat="1" x14ac:dyDescent="0.25"/>
    <row r="55" spans="1:14" s="2" customFormat="1" x14ac:dyDescent="0.25">
      <c r="A55" s="57" t="s">
        <v>27</v>
      </c>
      <c r="B55" s="57"/>
      <c r="C55" s="57"/>
      <c r="D55" s="57"/>
      <c r="E55" s="57"/>
      <c r="F55" s="57"/>
      <c r="G55" s="57"/>
      <c r="H55" s="57"/>
      <c r="I55" s="57"/>
      <c r="J55" s="57"/>
      <c r="K55" s="57"/>
      <c r="L55" s="57"/>
    </row>
    <row r="56" spans="1:14" s="2" customFormat="1" ht="15" hidden="1" customHeight="1" x14ac:dyDescent="0.25"/>
    <row r="57" spans="1:14" s="2" customFormat="1" ht="60" customHeight="1" x14ac:dyDescent="0.25">
      <c r="A57" s="63" t="s">
        <v>33</v>
      </c>
      <c r="B57" s="63"/>
      <c r="C57" s="63"/>
      <c r="D57" s="63"/>
      <c r="E57" s="63"/>
      <c r="F57" s="18" t="s">
        <v>17</v>
      </c>
      <c r="G57" s="18" t="s">
        <v>69</v>
      </c>
      <c r="H57" s="18" t="s">
        <v>68</v>
      </c>
      <c r="I57" s="18" t="s">
        <v>81</v>
      </c>
      <c r="J57" s="18" t="s">
        <v>76</v>
      </c>
      <c r="K57" s="21" t="s">
        <v>77</v>
      </c>
      <c r="L57" s="27"/>
    </row>
    <row r="58" spans="1:14" s="2" customFormat="1" x14ac:dyDescent="0.25">
      <c r="A58" s="56" t="s">
        <v>28</v>
      </c>
      <c r="B58" s="56"/>
      <c r="C58" s="56"/>
      <c r="D58" s="56"/>
      <c r="E58" s="56"/>
      <c r="F58" s="19" t="s">
        <v>31</v>
      </c>
      <c r="G58" s="19">
        <v>12</v>
      </c>
      <c r="H58" s="19">
        <f>'Услуга №1 '!H60</f>
        <v>500</v>
      </c>
      <c r="I58" s="19">
        <f>(G58*H58)*8.1%</f>
        <v>486</v>
      </c>
      <c r="J58" s="19">
        <f>J51</f>
        <v>3010</v>
      </c>
      <c r="K58" s="19">
        <f t="shared" ref="K58:K62" si="6">I58/J58</f>
        <v>0.16146179401993355</v>
      </c>
      <c r="L58" s="25"/>
    </row>
    <row r="59" spans="1:14" s="2" customFormat="1" x14ac:dyDescent="0.25">
      <c r="A59" s="50" t="s">
        <v>107</v>
      </c>
      <c r="B59" s="51"/>
      <c r="C59" s="51"/>
      <c r="D59" s="51"/>
      <c r="E59" s="52"/>
      <c r="F59" s="19" t="s">
        <v>31</v>
      </c>
      <c r="G59" s="19">
        <v>12</v>
      </c>
      <c r="H59" s="19">
        <v>2000</v>
      </c>
      <c r="I59" s="19">
        <f>(G59*H59)*8.1%</f>
        <v>1944</v>
      </c>
      <c r="J59" s="19"/>
      <c r="K59" s="19"/>
      <c r="L59" s="25"/>
    </row>
    <row r="60" spans="1:14" s="2" customFormat="1" x14ac:dyDescent="0.25">
      <c r="A60" s="56" t="s">
        <v>29</v>
      </c>
      <c r="B60" s="56"/>
      <c r="C60" s="56"/>
      <c r="D60" s="56"/>
      <c r="E60" s="56"/>
      <c r="F60" s="19" t="s">
        <v>31</v>
      </c>
      <c r="G60" s="19">
        <v>1</v>
      </c>
      <c r="H60" s="19">
        <f>'Услуга №1 '!H62</f>
        <v>6350</v>
      </c>
      <c r="I60" s="19">
        <f t="shared" ref="I60:I62" si="7">(G60*H60)*8.1%</f>
        <v>514.35</v>
      </c>
      <c r="J60" s="19">
        <f>J58</f>
        <v>3010</v>
      </c>
      <c r="K60" s="19">
        <f t="shared" si="6"/>
        <v>0.17088039867109636</v>
      </c>
      <c r="L60" s="25"/>
    </row>
    <row r="61" spans="1:14" s="2" customFormat="1" x14ac:dyDescent="0.25">
      <c r="A61" s="56" t="s">
        <v>30</v>
      </c>
      <c r="B61" s="56"/>
      <c r="C61" s="56"/>
      <c r="D61" s="56"/>
      <c r="E61" s="56"/>
      <c r="F61" s="19" t="s">
        <v>31</v>
      </c>
      <c r="G61" s="19">
        <v>12</v>
      </c>
      <c r="H61" s="19">
        <f>'Услуга №1 '!H63</f>
        <v>1500</v>
      </c>
      <c r="I61" s="19">
        <f t="shared" si="7"/>
        <v>1458</v>
      </c>
      <c r="J61" s="19">
        <f>J60</f>
        <v>3010</v>
      </c>
      <c r="K61" s="19">
        <f t="shared" si="6"/>
        <v>0.48438538205980064</v>
      </c>
      <c r="L61" s="25"/>
    </row>
    <row r="62" spans="1:14" s="2" customFormat="1" ht="28.5" customHeight="1" x14ac:dyDescent="0.25">
      <c r="A62" s="68" t="s">
        <v>82</v>
      </c>
      <c r="B62" s="69"/>
      <c r="C62" s="69"/>
      <c r="D62" s="69"/>
      <c r="E62" s="70"/>
      <c r="F62" s="19" t="s">
        <v>31</v>
      </c>
      <c r="G62" s="19">
        <v>12</v>
      </c>
      <c r="H62" s="19">
        <f>'Услуга №1 '!H64</f>
        <v>6666.67</v>
      </c>
      <c r="I62" s="19">
        <f t="shared" si="7"/>
        <v>6480.0032400000009</v>
      </c>
      <c r="J62" s="19">
        <f>J61</f>
        <v>3010</v>
      </c>
      <c r="K62" s="19">
        <f t="shared" si="6"/>
        <v>2.1528249966777411</v>
      </c>
      <c r="L62" s="25"/>
    </row>
    <row r="63" spans="1:14" s="2" customFormat="1" x14ac:dyDescent="0.25">
      <c r="A63" s="66" t="s">
        <v>32</v>
      </c>
      <c r="B63" s="67"/>
      <c r="C63" s="67"/>
      <c r="D63" s="67"/>
      <c r="E63" s="67"/>
      <c r="F63" s="67"/>
      <c r="G63" s="67"/>
      <c r="H63" s="67"/>
      <c r="I63" s="6">
        <f>SUM(I58:I62)</f>
        <v>10882.35324</v>
      </c>
      <c r="J63" s="6">
        <v>3010</v>
      </c>
      <c r="K63" s="6">
        <f>I63/J62</f>
        <v>3.6153997475083059</v>
      </c>
      <c r="L63" s="25"/>
    </row>
    <row r="64" spans="1:14" s="2" customFormat="1" x14ac:dyDescent="0.25"/>
    <row r="65" spans="1:13" s="2" customFormat="1" x14ac:dyDescent="0.25">
      <c r="A65" s="57" t="s">
        <v>83</v>
      </c>
      <c r="B65" s="57"/>
      <c r="C65" s="57"/>
      <c r="D65" s="57"/>
      <c r="E65" s="57"/>
      <c r="F65" s="57"/>
      <c r="G65" s="57"/>
      <c r="H65" s="57"/>
      <c r="I65" s="57"/>
      <c r="J65" s="57"/>
      <c r="K65" s="57"/>
      <c r="L65" s="57"/>
    </row>
    <row r="66" spans="1:13" s="2" customFormat="1" ht="60" customHeight="1" x14ac:dyDescent="0.25">
      <c r="A66" s="63" t="s">
        <v>33</v>
      </c>
      <c r="B66" s="63"/>
      <c r="C66" s="63"/>
      <c r="D66" s="63"/>
      <c r="E66" s="63"/>
      <c r="F66" s="18" t="s">
        <v>17</v>
      </c>
      <c r="G66" s="18" t="s">
        <v>69</v>
      </c>
      <c r="H66" s="18" t="s">
        <v>68</v>
      </c>
      <c r="I66" s="18" t="s">
        <v>81</v>
      </c>
      <c r="J66" s="18" t="s">
        <v>76</v>
      </c>
      <c r="K66" s="21" t="s">
        <v>77</v>
      </c>
      <c r="L66" s="27"/>
    </row>
    <row r="67" spans="1:13" s="2" customFormat="1" ht="30.75" customHeight="1" x14ac:dyDescent="0.25">
      <c r="A67" s="68" t="s">
        <v>84</v>
      </c>
      <c r="B67" s="69"/>
      <c r="C67" s="69"/>
      <c r="D67" s="69"/>
      <c r="E67" s="70"/>
      <c r="F67" s="19" t="s">
        <v>31</v>
      </c>
      <c r="G67" s="19">
        <v>12</v>
      </c>
      <c r="H67" s="19">
        <f>'Услуга №1 '!H69</f>
        <v>1500</v>
      </c>
      <c r="I67" s="19">
        <f>(G67*H67)*8.1%</f>
        <v>1458</v>
      </c>
      <c r="J67" s="19">
        <f>J62</f>
        <v>3010</v>
      </c>
      <c r="K67" s="19">
        <f>I67/J67</f>
        <v>0.48438538205980064</v>
      </c>
      <c r="L67" s="25"/>
    </row>
    <row r="68" spans="1:13" s="2" customFormat="1" x14ac:dyDescent="0.25">
      <c r="A68" s="50" t="s">
        <v>108</v>
      </c>
      <c r="B68" s="51"/>
      <c r="C68" s="51"/>
      <c r="D68" s="51"/>
      <c r="E68" s="52"/>
      <c r="F68" s="19"/>
      <c r="G68" s="19"/>
      <c r="H68" s="19"/>
      <c r="I68" s="19">
        <v>5361.25</v>
      </c>
      <c r="J68" s="19">
        <v>3010</v>
      </c>
      <c r="K68" s="19">
        <f t="shared" ref="K68:K69" si="8">I68/J68</f>
        <v>1.7811461794019934</v>
      </c>
      <c r="L68" s="25"/>
    </row>
    <row r="69" spans="1:13" s="2" customFormat="1" x14ac:dyDescent="0.25">
      <c r="A69" s="50" t="s">
        <v>111</v>
      </c>
      <c r="B69" s="51"/>
      <c r="C69" s="51"/>
      <c r="D69" s="51"/>
      <c r="E69" s="52"/>
      <c r="F69" s="19"/>
      <c r="G69" s="19"/>
      <c r="H69" s="19"/>
      <c r="I69" s="19">
        <v>12150</v>
      </c>
      <c r="J69" s="19">
        <v>3010</v>
      </c>
      <c r="K69" s="19">
        <f t="shared" si="8"/>
        <v>4.0365448504983386</v>
      </c>
      <c r="L69" s="25"/>
    </row>
    <row r="70" spans="1:13" s="2" customFormat="1" x14ac:dyDescent="0.25">
      <c r="A70" s="66" t="s">
        <v>85</v>
      </c>
      <c r="B70" s="67"/>
      <c r="C70" s="67"/>
      <c r="D70" s="67"/>
      <c r="E70" s="67"/>
      <c r="F70" s="67"/>
      <c r="G70" s="67"/>
      <c r="H70" s="67"/>
      <c r="I70" s="6">
        <f>SUM(I67:I69)</f>
        <v>18969.25</v>
      </c>
      <c r="J70" s="6">
        <v>3010</v>
      </c>
      <c r="K70" s="6">
        <f>I70/J67</f>
        <v>6.3020764119601331</v>
      </c>
      <c r="L70" s="25"/>
    </row>
    <row r="71" spans="1:13" s="2" customFormat="1" x14ac:dyDescent="0.25">
      <c r="A71" s="29"/>
      <c r="B71" s="29"/>
      <c r="C71" s="29"/>
      <c r="D71" s="29"/>
      <c r="E71" s="29"/>
      <c r="F71" s="29"/>
      <c r="G71" s="29"/>
      <c r="H71" s="29"/>
      <c r="I71" s="9"/>
      <c r="J71" s="9"/>
      <c r="K71" s="9"/>
      <c r="L71" s="25"/>
    </row>
    <row r="72" spans="1:13" s="2" customFormat="1" x14ac:dyDescent="0.25">
      <c r="A72" s="57" t="s">
        <v>86</v>
      </c>
      <c r="B72" s="57"/>
      <c r="C72" s="57"/>
      <c r="D72" s="57"/>
      <c r="E72" s="57"/>
      <c r="F72" s="57"/>
      <c r="G72" s="57"/>
      <c r="H72" s="57"/>
      <c r="I72" s="57"/>
      <c r="J72" s="57"/>
      <c r="K72" s="57"/>
      <c r="L72" s="57"/>
    </row>
    <row r="73" spans="1:13" s="2" customFormat="1" ht="45" customHeight="1" x14ac:dyDescent="0.25">
      <c r="A73" s="58" t="s">
        <v>34</v>
      </c>
      <c r="B73" s="59"/>
      <c r="C73" s="59"/>
      <c r="D73" s="59"/>
      <c r="E73" s="60"/>
      <c r="F73" s="18" t="s">
        <v>17</v>
      </c>
      <c r="G73" s="18" t="s">
        <v>69</v>
      </c>
      <c r="H73" s="18" t="s">
        <v>68</v>
      </c>
      <c r="I73" s="18" t="s">
        <v>81</v>
      </c>
      <c r="J73" s="30" t="s">
        <v>76</v>
      </c>
      <c r="K73" s="21" t="s">
        <v>77</v>
      </c>
      <c r="L73" s="27"/>
      <c r="M73" s="27"/>
    </row>
    <row r="74" spans="1:13" s="2" customFormat="1" ht="30.75" customHeight="1" x14ac:dyDescent="0.25">
      <c r="A74" s="50" t="s">
        <v>35</v>
      </c>
      <c r="B74" s="61"/>
      <c r="C74" s="61"/>
      <c r="D74" s="61"/>
      <c r="E74" s="62"/>
      <c r="F74" s="31" t="s">
        <v>36</v>
      </c>
      <c r="G74" s="19">
        <v>2</v>
      </c>
      <c r="H74" s="19">
        <f>'Услуга №1 '!H78</f>
        <v>400</v>
      </c>
      <c r="I74" s="19">
        <f>(G74*H74*12)*8.1%</f>
        <v>777.6</v>
      </c>
      <c r="J74" s="32">
        <v>3010</v>
      </c>
      <c r="K74" s="19">
        <f>I74/J74</f>
        <v>0.25833887043189369</v>
      </c>
      <c r="L74" s="25"/>
      <c r="M74" s="25"/>
    </row>
    <row r="75" spans="1:13" s="2" customFormat="1" ht="30.75" customHeight="1" x14ac:dyDescent="0.25">
      <c r="A75" s="50" t="s">
        <v>96</v>
      </c>
      <c r="B75" s="61"/>
      <c r="C75" s="61"/>
      <c r="D75" s="61"/>
      <c r="E75" s="62"/>
      <c r="F75" s="31" t="s">
        <v>36</v>
      </c>
      <c r="G75" s="19">
        <v>1</v>
      </c>
      <c r="H75" s="19"/>
      <c r="I75" s="19">
        <v>874.8</v>
      </c>
      <c r="J75" s="32">
        <v>3010</v>
      </c>
      <c r="K75" s="19">
        <f>I75/J75</f>
        <v>0.29063122923588036</v>
      </c>
      <c r="L75" s="25"/>
      <c r="M75" s="25"/>
    </row>
    <row r="76" spans="1:13" s="2" customFormat="1" x14ac:dyDescent="0.25">
      <c r="A76" s="50" t="s">
        <v>87</v>
      </c>
      <c r="B76" s="61"/>
      <c r="C76" s="61"/>
      <c r="D76" s="61"/>
      <c r="E76" s="62"/>
      <c r="F76" s="31" t="s">
        <v>31</v>
      </c>
      <c r="G76" s="19">
        <v>1</v>
      </c>
      <c r="H76" s="19">
        <f>'Услуга №1 '!H80</f>
        <v>800</v>
      </c>
      <c r="I76" s="19">
        <f t="shared" ref="I76" si="9">(G76*H76*12)*8.1%</f>
        <v>777.6</v>
      </c>
      <c r="J76" s="32">
        <f>J74</f>
        <v>3010</v>
      </c>
      <c r="K76" s="19">
        <f>I76/J76</f>
        <v>0.25833887043189369</v>
      </c>
      <c r="L76" s="25"/>
      <c r="M76" s="25"/>
    </row>
    <row r="77" spans="1:13" s="2" customFormat="1" x14ac:dyDescent="0.25">
      <c r="A77" s="66" t="s">
        <v>37</v>
      </c>
      <c r="B77" s="67"/>
      <c r="C77" s="67"/>
      <c r="D77" s="67"/>
      <c r="E77" s="67"/>
      <c r="F77" s="67"/>
      <c r="G77" s="67"/>
      <c r="H77" s="71"/>
      <c r="I77" s="6">
        <f>SUM(I74:I76)</f>
        <v>2430</v>
      </c>
      <c r="J77" s="6">
        <v>3010</v>
      </c>
      <c r="K77" s="6">
        <f>I77/J76</f>
        <v>0.80730897009966773</v>
      </c>
      <c r="L77" s="9"/>
      <c r="M77" s="25"/>
    </row>
    <row r="78" spans="1:13" s="2" customFormat="1" x14ac:dyDescent="0.25">
      <c r="A78" s="29"/>
      <c r="B78" s="29"/>
      <c r="C78" s="29"/>
      <c r="D78" s="29"/>
      <c r="E78" s="29"/>
      <c r="F78" s="29"/>
      <c r="G78" s="29"/>
      <c r="H78" s="29"/>
      <c r="I78" s="9"/>
      <c r="J78" s="9"/>
      <c r="K78" s="9"/>
      <c r="L78" s="9"/>
      <c r="M78" s="25"/>
    </row>
    <row r="79" spans="1:13" s="2" customFormat="1" x14ac:dyDescent="0.25">
      <c r="A79" s="29"/>
      <c r="B79" s="29"/>
      <c r="C79" s="29"/>
      <c r="D79" s="29"/>
      <c r="E79" s="29"/>
      <c r="F79" s="29"/>
      <c r="G79" s="29"/>
      <c r="H79" s="29"/>
      <c r="I79" s="9"/>
      <c r="J79" s="9"/>
      <c r="K79" s="9"/>
      <c r="L79" s="9"/>
      <c r="M79" s="25"/>
    </row>
    <row r="80" spans="1:13" s="2" customFormat="1" x14ac:dyDescent="0.25">
      <c r="A80" s="57" t="s">
        <v>57</v>
      </c>
      <c r="B80" s="57"/>
      <c r="C80" s="57"/>
      <c r="D80" s="57"/>
      <c r="E80" s="57"/>
      <c r="F80" s="57"/>
      <c r="G80" s="57"/>
      <c r="H80" s="57"/>
      <c r="I80" s="57"/>
      <c r="J80" s="57"/>
      <c r="K80" s="57"/>
      <c r="L80" s="57"/>
    </row>
    <row r="81" spans="1:13" s="2" customFormat="1" ht="75" x14ac:dyDescent="0.25">
      <c r="A81" s="63" t="s">
        <v>15</v>
      </c>
      <c r="B81" s="63"/>
      <c r="C81" s="63"/>
      <c r="D81" s="63"/>
      <c r="E81" s="63"/>
      <c r="F81" s="22" t="s">
        <v>16</v>
      </c>
      <c r="G81" s="18" t="s">
        <v>1</v>
      </c>
      <c r="H81" s="22" t="s">
        <v>74</v>
      </c>
      <c r="I81" s="22" t="s">
        <v>75</v>
      </c>
      <c r="J81" s="18" t="s">
        <v>76</v>
      </c>
      <c r="K81" s="31" t="s">
        <v>77</v>
      </c>
      <c r="L81" s="27"/>
    </row>
    <row r="82" spans="1:13" s="2" customFormat="1" hidden="1" x14ac:dyDescent="0.25">
      <c r="A82" s="56" t="s">
        <v>5</v>
      </c>
      <c r="B82" s="56"/>
      <c r="C82" s="56"/>
      <c r="D82" s="56"/>
      <c r="E82" s="56"/>
      <c r="F82" s="23">
        <f>'Услуга №1 '!F85</f>
        <v>15258</v>
      </c>
      <c r="G82" s="19">
        <f>L18</f>
        <v>0.08</v>
      </c>
      <c r="H82" s="19">
        <f>F82*G82*12</f>
        <v>14647.68</v>
      </c>
      <c r="I82" s="19">
        <f>H82*1.302</f>
        <v>19071.27936</v>
      </c>
      <c r="J82" s="19">
        <f>F32</f>
        <v>3010</v>
      </c>
      <c r="K82" s="19">
        <f>I82/J82</f>
        <v>6.3359732093023258</v>
      </c>
      <c r="L82" s="25"/>
    </row>
    <row r="83" spans="1:13" s="2" customFormat="1" hidden="1" x14ac:dyDescent="0.25">
      <c r="A83" s="50" t="s">
        <v>9</v>
      </c>
      <c r="B83" s="61"/>
      <c r="C83" s="61"/>
      <c r="D83" s="61"/>
      <c r="E83" s="62"/>
      <c r="F83" s="23">
        <f>'Услуга №1 '!F43</f>
        <v>4418.5</v>
      </c>
      <c r="G83" s="19">
        <f>L19</f>
        <v>0.04</v>
      </c>
      <c r="H83" s="19">
        <f t="shared" ref="H83:H84" si="10">F83*G83*12</f>
        <v>2120.88</v>
      </c>
      <c r="I83" s="19">
        <f>H83*1.302</f>
        <v>2761.3857600000001</v>
      </c>
      <c r="J83" s="19">
        <f>J82</f>
        <v>3010</v>
      </c>
      <c r="K83" s="19">
        <f>I83/J83</f>
        <v>0.91740390697674423</v>
      </c>
      <c r="L83" s="25"/>
    </row>
    <row r="84" spans="1:13" s="2" customFormat="1" ht="29.25" hidden="1" customHeight="1" x14ac:dyDescent="0.25">
      <c r="A84" s="68" t="s">
        <v>8</v>
      </c>
      <c r="B84" s="69"/>
      <c r="C84" s="69"/>
      <c r="D84" s="69"/>
      <c r="E84" s="70"/>
      <c r="F84" s="23">
        <f>'Услуга №1 '!F45</f>
        <v>11538</v>
      </c>
      <c r="G84" s="19">
        <f>L20</f>
        <v>0.08</v>
      </c>
      <c r="H84" s="19">
        <f t="shared" si="10"/>
        <v>11076.48</v>
      </c>
      <c r="I84" s="19">
        <f>H84*1.302</f>
        <v>14421.57696</v>
      </c>
      <c r="J84" s="19">
        <f>J83</f>
        <v>3010</v>
      </c>
      <c r="K84" s="19">
        <f>I84/J84</f>
        <v>4.7912215813953489</v>
      </c>
      <c r="L84" s="25"/>
    </row>
    <row r="85" spans="1:13" s="2" customFormat="1" ht="18" customHeight="1" x14ac:dyDescent="0.25">
      <c r="A85" s="66" t="s">
        <v>38</v>
      </c>
      <c r="B85" s="67"/>
      <c r="C85" s="67"/>
      <c r="D85" s="67"/>
      <c r="E85" s="71"/>
      <c r="F85" s="6">
        <v>20227</v>
      </c>
      <c r="G85" s="6">
        <f>G82+G83+G84</f>
        <v>0.2</v>
      </c>
      <c r="H85" s="6">
        <f>F85*G85*12</f>
        <v>48544.800000000003</v>
      </c>
      <c r="I85" s="6">
        <f>H85*1.302</f>
        <v>63205.329600000005</v>
      </c>
      <c r="J85" s="6">
        <v>3010</v>
      </c>
      <c r="K85" s="6">
        <f>I85/J85</f>
        <v>20.998448372093026</v>
      </c>
      <c r="L85" s="25"/>
    </row>
    <row r="86" spans="1:13" s="2" customFormat="1" x14ac:dyDescent="0.25">
      <c r="A86" s="29"/>
      <c r="B86" s="29"/>
      <c r="C86" s="29"/>
      <c r="D86" s="29"/>
      <c r="E86" s="29"/>
      <c r="F86" s="43"/>
      <c r="G86" s="43"/>
      <c r="H86" s="9"/>
      <c r="I86" s="9"/>
      <c r="J86" s="9"/>
      <c r="K86" s="9"/>
      <c r="L86" s="25"/>
    </row>
    <row r="87" spans="1:13" s="2" customFormat="1" x14ac:dyDescent="0.25">
      <c r="A87" s="57" t="s">
        <v>39</v>
      </c>
      <c r="B87" s="57"/>
      <c r="C87" s="57"/>
      <c r="D87" s="57"/>
      <c r="E87" s="57"/>
      <c r="F87" s="57"/>
      <c r="G87" s="57"/>
      <c r="H87" s="57"/>
      <c r="I87" s="57"/>
      <c r="J87" s="57"/>
      <c r="K87" s="57"/>
      <c r="L87" s="57"/>
    </row>
    <row r="88" spans="1:13" s="2" customFormat="1" ht="60" customHeight="1" x14ac:dyDescent="0.25">
      <c r="A88" s="63" t="s">
        <v>88</v>
      </c>
      <c r="B88" s="63"/>
      <c r="C88" s="63"/>
      <c r="D88" s="63"/>
      <c r="E88" s="63"/>
      <c r="F88" s="18" t="s">
        <v>17</v>
      </c>
      <c r="G88" s="18" t="s">
        <v>69</v>
      </c>
      <c r="H88" s="18" t="s">
        <v>68</v>
      </c>
      <c r="I88" s="18" t="s">
        <v>81</v>
      </c>
      <c r="J88" s="18" t="s">
        <v>76</v>
      </c>
      <c r="K88" s="21" t="s">
        <v>77</v>
      </c>
      <c r="L88" s="27"/>
    </row>
    <row r="89" spans="1:13" s="2" customFormat="1" x14ac:dyDescent="0.25">
      <c r="A89" s="56" t="s">
        <v>97</v>
      </c>
      <c r="B89" s="56"/>
      <c r="C89" s="56"/>
      <c r="D89" s="56"/>
      <c r="E89" s="56"/>
      <c r="F89" s="19" t="s">
        <v>40</v>
      </c>
      <c r="G89" s="19"/>
      <c r="H89" s="19"/>
      <c r="I89" s="19">
        <f>19200*8.1%</f>
        <v>1555.2</v>
      </c>
      <c r="J89" s="19">
        <f>J82</f>
        <v>3010</v>
      </c>
      <c r="K89" s="19">
        <f>I89/J89</f>
        <v>0.51667774086378737</v>
      </c>
      <c r="L89" s="25"/>
    </row>
    <row r="90" spans="1:13" s="2" customFormat="1" x14ac:dyDescent="0.25">
      <c r="A90" s="66" t="s">
        <v>41</v>
      </c>
      <c r="B90" s="67"/>
      <c r="C90" s="67"/>
      <c r="D90" s="67"/>
      <c r="E90" s="67"/>
      <c r="F90" s="67"/>
      <c r="G90" s="67"/>
      <c r="H90" s="67"/>
      <c r="I90" s="6">
        <f>I89</f>
        <v>1555.2</v>
      </c>
      <c r="J90" s="6">
        <v>3010</v>
      </c>
      <c r="K90" s="6">
        <f>I90/J90</f>
        <v>0.51667774086378737</v>
      </c>
      <c r="L90" s="25"/>
    </row>
    <row r="91" spans="1:13" s="2" customFormat="1" x14ac:dyDescent="0.25">
      <c r="A91" s="29"/>
      <c r="B91" s="29"/>
      <c r="C91" s="29"/>
      <c r="D91" s="29"/>
      <c r="E91" s="29"/>
      <c r="F91" s="29"/>
      <c r="G91" s="29"/>
      <c r="H91" s="29"/>
      <c r="I91" s="9"/>
      <c r="J91" s="9"/>
      <c r="K91" s="9"/>
      <c r="L91" s="25"/>
    </row>
    <row r="92" spans="1:13" s="2" customFormat="1" x14ac:dyDescent="0.25">
      <c r="A92" s="57" t="s">
        <v>113</v>
      </c>
      <c r="B92" s="57"/>
      <c r="C92" s="57"/>
      <c r="D92" s="57"/>
      <c r="E92" s="57"/>
      <c r="F92" s="57"/>
      <c r="G92" s="57"/>
      <c r="H92" s="57"/>
      <c r="I92" s="57"/>
      <c r="J92" s="57"/>
      <c r="K92" s="57"/>
      <c r="L92" s="57"/>
    </row>
    <row r="93" spans="1:13" s="2" customFormat="1" ht="60" customHeight="1" x14ac:dyDescent="0.25">
      <c r="A93" s="63" t="s">
        <v>88</v>
      </c>
      <c r="B93" s="63"/>
      <c r="C93" s="63"/>
      <c r="D93" s="63"/>
      <c r="E93" s="63"/>
      <c r="F93" s="18" t="s">
        <v>17</v>
      </c>
      <c r="G93" s="18" t="s">
        <v>69</v>
      </c>
      <c r="H93" s="18" t="s">
        <v>68</v>
      </c>
      <c r="I93" s="18" t="s">
        <v>81</v>
      </c>
      <c r="J93" s="18" t="s">
        <v>76</v>
      </c>
      <c r="K93" s="21" t="s">
        <v>77</v>
      </c>
      <c r="L93" s="27"/>
    </row>
    <row r="94" spans="1:13" s="2" customFormat="1" x14ac:dyDescent="0.25">
      <c r="A94" s="56" t="s">
        <v>114</v>
      </c>
      <c r="B94" s="56"/>
      <c r="C94" s="56"/>
      <c r="D94" s="56"/>
      <c r="E94" s="56"/>
      <c r="F94" s="19" t="s">
        <v>40</v>
      </c>
      <c r="G94" s="19"/>
      <c r="H94" s="19"/>
      <c r="I94" s="19">
        <f>15600*8.1%</f>
        <v>1263.6000000000001</v>
      </c>
      <c r="J94" s="19">
        <v>3010</v>
      </c>
      <c r="K94" s="19">
        <f>I94/J94</f>
        <v>0.41980066445182729</v>
      </c>
      <c r="L94" s="25"/>
      <c r="M94" s="12"/>
    </row>
    <row r="95" spans="1:13" s="2" customFormat="1" x14ac:dyDescent="0.25">
      <c r="A95" s="66" t="s">
        <v>115</v>
      </c>
      <c r="B95" s="67"/>
      <c r="C95" s="67"/>
      <c r="D95" s="67"/>
      <c r="E95" s="67"/>
      <c r="F95" s="67"/>
      <c r="G95" s="67"/>
      <c r="H95" s="67"/>
      <c r="I95" s="6">
        <f>I94</f>
        <v>1263.6000000000001</v>
      </c>
      <c r="J95" s="6">
        <v>3010</v>
      </c>
      <c r="K95" s="6">
        <f>I95/J94</f>
        <v>0.41980066445182729</v>
      </c>
      <c r="L95" s="26"/>
    </row>
    <row r="96" spans="1:13" s="2" customFormat="1" x14ac:dyDescent="0.25"/>
    <row r="97" spans="1:12" s="2" customFormat="1" x14ac:dyDescent="0.25">
      <c r="A97" s="57" t="s">
        <v>42</v>
      </c>
      <c r="B97" s="57"/>
      <c r="C97" s="57"/>
      <c r="D97" s="57"/>
      <c r="E97" s="57"/>
      <c r="F97" s="57"/>
      <c r="G97" s="57"/>
      <c r="H97" s="57"/>
      <c r="I97" s="57"/>
      <c r="J97" s="57"/>
      <c r="K97" s="57"/>
      <c r="L97" s="57"/>
    </row>
    <row r="98" spans="1:12" s="2" customFormat="1" hidden="1" x14ac:dyDescent="0.25"/>
    <row r="99" spans="1:12" s="2" customFormat="1" ht="15" customHeight="1" x14ac:dyDescent="0.25">
      <c r="A99" s="90" t="s">
        <v>43</v>
      </c>
      <c r="B99" s="91"/>
      <c r="C99" s="92"/>
      <c r="D99" s="58" t="s">
        <v>44</v>
      </c>
      <c r="E99" s="59"/>
      <c r="F99" s="59"/>
      <c r="G99" s="59"/>
      <c r="H99" s="59"/>
      <c r="I99" s="59"/>
      <c r="J99" s="60"/>
      <c r="K99" s="73" t="s">
        <v>55</v>
      </c>
      <c r="L99" s="74"/>
    </row>
    <row r="100" spans="1:12" s="2" customFormat="1" ht="30" x14ac:dyDescent="0.25">
      <c r="A100" s="19" t="s">
        <v>45</v>
      </c>
      <c r="B100" s="22" t="s">
        <v>46</v>
      </c>
      <c r="C100" s="19" t="s">
        <v>47</v>
      </c>
      <c r="D100" s="19" t="s">
        <v>48</v>
      </c>
      <c r="E100" s="19" t="s">
        <v>49</v>
      </c>
      <c r="F100" s="19" t="s">
        <v>50</v>
      </c>
      <c r="G100" s="19" t="s">
        <v>51</v>
      </c>
      <c r="H100" s="19" t="s">
        <v>52</v>
      </c>
      <c r="I100" s="19" t="s">
        <v>53</v>
      </c>
      <c r="J100" s="19" t="s">
        <v>54</v>
      </c>
      <c r="K100" s="75"/>
      <c r="L100" s="76"/>
    </row>
    <row r="101" spans="1:12" s="2" customFormat="1" x14ac:dyDescent="0.25">
      <c r="A101" s="19">
        <f>K43</f>
        <v>87.854933402790707</v>
      </c>
      <c r="B101" s="19"/>
      <c r="C101" s="19"/>
      <c r="D101" s="19">
        <f>K53</f>
        <v>10.400764903654485</v>
      </c>
      <c r="E101" s="19">
        <f>K63</f>
        <v>3.6153997475083059</v>
      </c>
      <c r="F101" s="19"/>
      <c r="G101" s="19">
        <f>K77</f>
        <v>0.80730897009966773</v>
      </c>
      <c r="H101" s="19">
        <f>K70</f>
        <v>6.3020764119601331</v>
      </c>
      <c r="I101" s="19">
        <f>K85</f>
        <v>20.998448372093026</v>
      </c>
      <c r="J101" s="19">
        <f>K90+K95</f>
        <v>0.93647840531561466</v>
      </c>
      <c r="K101" s="64">
        <f>SUM(A101:J101)</f>
        <v>130.91541021342195</v>
      </c>
      <c r="L101" s="65"/>
    </row>
    <row r="102" spans="1:12" s="2" customFormat="1" x14ac:dyDescent="0.25"/>
    <row r="103" spans="1:12" s="2" customFormat="1" x14ac:dyDescent="0.25">
      <c r="A103" s="39" t="s">
        <v>63</v>
      </c>
      <c r="B103" s="39"/>
      <c r="C103" s="39"/>
      <c r="D103" s="39"/>
      <c r="E103" s="39"/>
      <c r="F103" s="39" t="s">
        <v>64</v>
      </c>
      <c r="G103" s="39"/>
      <c r="I103" s="11">
        <f>I90+I85+I77+I70+I63+I53+I43+I95</f>
        <v>394055.38474240003</v>
      </c>
      <c r="L103" s="11">
        <f>J89*K101</f>
        <v>394055.38474240009</v>
      </c>
    </row>
    <row r="104" spans="1:12" s="2" customFormat="1" x14ac:dyDescent="0.25">
      <c r="A104" s="39"/>
      <c r="B104" s="39"/>
      <c r="C104" s="1"/>
      <c r="D104" s="1"/>
      <c r="E104" s="1"/>
      <c r="F104" s="1"/>
      <c r="G104" s="1"/>
    </row>
    <row r="105" spans="1:12" s="2" customFormat="1" x14ac:dyDescent="0.25"/>
    <row r="106" spans="1:12" s="2" customFormat="1" x14ac:dyDescent="0.25">
      <c r="A106" s="39" t="s">
        <v>105</v>
      </c>
      <c r="B106" s="16"/>
    </row>
    <row r="107" spans="1:12" x14ac:dyDescent="0.25">
      <c r="A107" s="39" t="s">
        <v>65</v>
      </c>
      <c r="B107" s="16"/>
      <c r="C107" s="2"/>
      <c r="D107" s="2"/>
      <c r="E107" s="2"/>
      <c r="F107" s="2"/>
      <c r="G107" s="2"/>
      <c r="I107" s="2"/>
      <c r="J107" s="2"/>
      <c r="K107" s="2"/>
      <c r="L107" s="2"/>
    </row>
    <row r="108" spans="1:12" x14ac:dyDescent="0.25">
      <c r="H108" s="40"/>
    </row>
  </sheetData>
  <mergeCells count="91">
    <mergeCell ref="A46:L46"/>
    <mergeCell ref="A69:E69"/>
    <mergeCell ref="A92:L92"/>
    <mergeCell ref="A70:H70"/>
    <mergeCell ref="A73:E73"/>
    <mergeCell ref="A47:E47"/>
    <mergeCell ref="A48:E48"/>
    <mergeCell ref="A49:E49"/>
    <mergeCell ref="A50:E50"/>
    <mergeCell ref="A51:E51"/>
    <mergeCell ref="A52:E52"/>
    <mergeCell ref="A75:E75"/>
    <mergeCell ref="A76:E76"/>
    <mergeCell ref="A83:E83"/>
    <mergeCell ref="A82:E82"/>
    <mergeCell ref="A85:E85"/>
    <mergeCell ref="G30:K30"/>
    <mergeCell ref="A34:E34"/>
    <mergeCell ref="A33:E33"/>
    <mergeCell ref="A35:E35"/>
    <mergeCell ref="A36:E36"/>
    <mergeCell ref="G27:K27"/>
    <mergeCell ref="A28:E28"/>
    <mergeCell ref="G28:K28"/>
    <mergeCell ref="A29:E29"/>
    <mergeCell ref="G29:K29"/>
    <mergeCell ref="G26:K26"/>
    <mergeCell ref="A24:E24"/>
    <mergeCell ref="G24:K24"/>
    <mergeCell ref="A25:E25"/>
    <mergeCell ref="G25:K25"/>
    <mergeCell ref="A5:F5"/>
    <mergeCell ref="A6:D6"/>
    <mergeCell ref="A9:M9"/>
    <mergeCell ref="A10:M10"/>
    <mergeCell ref="A11:M11"/>
    <mergeCell ref="A17:E17"/>
    <mergeCell ref="G17:K17"/>
    <mergeCell ref="A22:E22"/>
    <mergeCell ref="G22:K22"/>
    <mergeCell ref="A23:E23"/>
    <mergeCell ref="G23:K23"/>
    <mergeCell ref="A19:E19"/>
    <mergeCell ref="G19:K19"/>
    <mergeCell ref="A20:E20"/>
    <mergeCell ref="G20:K20"/>
    <mergeCell ref="A21:E21"/>
    <mergeCell ref="G21:K21"/>
    <mergeCell ref="G18:K18"/>
    <mergeCell ref="A43:E43"/>
    <mergeCell ref="A39:E39"/>
    <mergeCell ref="A40:E40"/>
    <mergeCell ref="A41:E41"/>
    <mergeCell ref="A18:E18"/>
    <mergeCell ref="A42:E42"/>
    <mergeCell ref="A26:E26"/>
    <mergeCell ref="A27:E27"/>
    <mergeCell ref="A30:E30"/>
    <mergeCell ref="A37:E37"/>
    <mergeCell ref="A38:E38"/>
    <mergeCell ref="A97:L97"/>
    <mergeCell ref="A99:C99"/>
    <mergeCell ref="D99:J99"/>
    <mergeCell ref="K99:L100"/>
    <mergeCell ref="A87:L87"/>
    <mergeCell ref="A89:E89"/>
    <mergeCell ref="A88:E88"/>
    <mergeCell ref="A90:H90"/>
    <mergeCell ref="A53:H53"/>
    <mergeCell ref="A63:H63"/>
    <mergeCell ref="A67:E67"/>
    <mergeCell ref="A84:E84"/>
    <mergeCell ref="A61:E61"/>
    <mergeCell ref="A65:L65"/>
    <mergeCell ref="A66:E66"/>
    <mergeCell ref="K101:L101"/>
    <mergeCell ref="A55:L55"/>
    <mergeCell ref="A57:E57"/>
    <mergeCell ref="A58:E58"/>
    <mergeCell ref="A60:E60"/>
    <mergeCell ref="A62:E62"/>
    <mergeCell ref="A72:L72"/>
    <mergeCell ref="A74:E74"/>
    <mergeCell ref="A94:E94"/>
    <mergeCell ref="A95:H95"/>
    <mergeCell ref="A59:E59"/>
    <mergeCell ref="A68:E68"/>
    <mergeCell ref="A93:E93"/>
    <mergeCell ref="A80:L80"/>
    <mergeCell ref="A81:E81"/>
    <mergeCell ref="A77:H77"/>
  </mergeCells>
  <pageMargins left="0.7" right="0.7" top="0.75" bottom="0.75" header="0.3" footer="0.3"/>
  <pageSetup paperSize="9" scale="82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1"/>
  <sheetViews>
    <sheetView topLeftCell="A37" zoomScale="90" zoomScaleNormal="90" workbookViewId="0">
      <selection activeCell="L97" sqref="L97"/>
    </sheetView>
  </sheetViews>
  <sheetFormatPr defaultRowHeight="15" x14ac:dyDescent="0.25"/>
  <cols>
    <col min="1" max="1" width="14" style="3" customWidth="1"/>
    <col min="2" max="4" width="9.140625" style="3"/>
    <col min="5" max="5" width="13.42578125" style="3" customWidth="1"/>
    <col min="6" max="6" width="11.42578125" style="3" customWidth="1"/>
    <col min="7" max="7" width="9" style="3" customWidth="1"/>
    <col min="8" max="8" width="12.7109375" style="3" customWidth="1"/>
    <col min="9" max="9" width="13.7109375" style="3" customWidth="1"/>
    <col min="10" max="10" width="13.28515625" style="3" customWidth="1"/>
    <col min="11" max="11" width="12" style="3" customWidth="1"/>
    <col min="12" max="12" width="14.7109375" style="3" customWidth="1"/>
    <col min="13" max="13" width="13.85546875" style="3" customWidth="1"/>
    <col min="14" max="16384" width="9.140625" style="3"/>
  </cols>
  <sheetData>
    <row r="1" spans="1:13" ht="15.75" x14ac:dyDescent="0.25">
      <c r="A1" s="13" t="s">
        <v>60</v>
      </c>
      <c r="B1" s="13"/>
      <c r="C1" s="1"/>
      <c r="D1" s="1"/>
    </row>
    <row r="2" spans="1:13" ht="15.75" x14ac:dyDescent="0.25">
      <c r="A2" s="14" t="s">
        <v>61</v>
      </c>
      <c r="B2" s="14"/>
      <c r="C2" s="1"/>
      <c r="D2" s="1"/>
    </row>
    <row r="3" spans="1:13" x14ac:dyDescent="0.25">
      <c r="A3" s="15"/>
      <c r="B3" s="16"/>
      <c r="C3" s="1"/>
      <c r="D3" s="1"/>
    </row>
    <row r="4" spans="1:13" ht="15.75" x14ac:dyDescent="0.25">
      <c r="A4" s="78" t="s">
        <v>62</v>
      </c>
      <c r="B4" s="78"/>
      <c r="C4" s="78"/>
      <c r="D4" s="78"/>
      <c r="E4" s="78"/>
      <c r="F4" s="78"/>
    </row>
    <row r="5" spans="1:13" ht="15.75" x14ac:dyDescent="0.25">
      <c r="A5" s="80" t="s">
        <v>100</v>
      </c>
      <c r="B5" s="80"/>
      <c r="C5" s="80"/>
      <c r="D5" s="80"/>
    </row>
    <row r="6" spans="1:13" ht="15.75" x14ac:dyDescent="0.25">
      <c r="A6" s="17"/>
      <c r="B6" s="17"/>
      <c r="C6" s="17"/>
      <c r="D6" s="13"/>
    </row>
    <row r="8" spans="1:13" ht="15.75" x14ac:dyDescent="0.25">
      <c r="A8" s="81" t="s">
        <v>59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</row>
    <row r="9" spans="1:13" ht="15.75" x14ac:dyDescent="0.25">
      <c r="A9" s="81" t="s">
        <v>91</v>
      </c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</row>
    <row r="10" spans="1:13" ht="15.75" x14ac:dyDescent="0.25">
      <c r="A10" s="81" t="s">
        <v>101</v>
      </c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</row>
    <row r="12" spans="1:13" s="2" customFormat="1" x14ac:dyDescent="0.25">
      <c r="A12" s="12" t="s">
        <v>66</v>
      </c>
    </row>
    <row r="13" spans="1:13" s="2" customFormat="1" x14ac:dyDescent="0.25">
      <c r="A13" s="12" t="s">
        <v>92</v>
      </c>
    </row>
    <row r="14" spans="1:13" s="2" customFormat="1" x14ac:dyDescent="0.25">
      <c r="A14" s="12" t="s">
        <v>95</v>
      </c>
    </row>
    <row r="15" spans="1:13" s="2" customFormat="1" x14ac:dyDescent="0.25">
      <c r="A15" s="12" t="s">
        <v>117</v>
      </c>
    </row>
    <row r="16" spans="1:13" x14ac:dyDescent="0.25">
      <c r="A16" s="12" t="s">
        <v>73</v>
      </c>
      <c r="B16" s="2"/>
      <c r="C16" s="2"/>
      <c r="D16" s="2"/>
      <c r="E16" s="2"/>
    </row>
    <row r="17" spans="1:12" s="2" customFormat="1" ht="31.5" customHeight="1" x14ac:dyDescent="0.25">
      <c r="A17" s="90" t="s">
        <v>0</v>
      </c>
      <c r="B17" s="91"/>
      <c r="C17" s="91"/>
      <c r="D17" s="91"/>
      <c r="E17" s="92"/>
      <c r="F17" s="22" t="s">
        <v>1</v>
      </c>
      <c r="G17" s="90" t="s">
        <v>2</v>
      </c>
      <c r="H17" s="91"/>
      <c r="I17" s="91"/>
      <c r="J17" s="91"/>
      <c r="K17" s="92"/>
      <c r="L17" s="19" t="s">
        <v>1</v>
      </c>
    </row>
    <row r="18" spans="1:12" s="2" customFormat="1" x14ac:dyDescent="0.25">
      <c r="A18" s="50" t="s">
        <v>6</v>
      </c>
      <c r="B18" s="61"/>
      <c r="C18" s="61"/>
      <c r="D18" s="61"/>
      <c r="E18" s="62"/>
      <c r="F18" s="19">
        <v>0.37</v>
      </c>
      <c r="G18" s="50" t="s">
        <v>5</v>
      </c>
      <c r="H18" s="61"/>
      <c r="I18" s="61"/>
      <c r="J18" s="61"/>
      <c r="K18" s="62"/>
      <c r="L18" s="19">
        <v>0.37</v>
      </c>
    </row>
    <row r="19" spans="1:12" s="2" customFormat="1" x14ac:dyDescent="0.25">
      <c r="A19" s="50" t="s">
        <v>3</v>
      </c>
      <c r="B19" s="61"/>
      <c r="C19" s="61"/>
      <c r="D19" s="61"/>
      <c r="E19" s="62"/>
      <c r="F19" s="19">
        <v>0.37</v>
      </c>
      <c r="G19" s="50" t="s">
        <v>4</v>
      </c>
      <c r="H19" s="61"/>
      <c r="I19" s="61"/>
      <c r="J19" s="61"/>
      <c r="K19" s="62"/>
      <c r="L19" s="19">
        <v>0.37</v>
      </c>
    </row>
    <row r="20" spans="1:12" s="2" customFormat="1" ht="15.75" customHeight="1" x14ac:dyDescent="0.25">
      <c r="A20" s="68" t="s">
        <v>12</v>
      </c>
      <c r="B20" s="69"/>
      <c r="C20" s="69"/>
      <c r="D20" s="69"/>
      <c r="E20" s="70"/>
      <c r="F20" s="19">
        <v>0.37</v>
      </c>
      <c r="G20" s="68" t="s">
        <v>7</v>
      </c>
      <c r="H20" s="69"/>
      <c r="I20" s="69"/>
      <c r="J20" s="69"/>
      <c r="K20" s="70"/>
      <c r="L20" s="19">
        <v>0.37</v>
      </c>
    </row>
    <row r="21" spans="1:12" s="2" customFormat="1" ht="30" customHeight="1" x14ac:dyDescent="0.25">
      <c r="A21" s="68" t="s">
        <v>8</v>
      </c>
      <c r="B21" s="69"/>
      <c r="C21" s="69"/>
      <c r="D21" s="69"/>
      <c r="E21" s="70"/>
      <c r="F21" s="19">
        <v>0.37</v>
      </c>
      <c r="G21" s="68" t="s">
        <v>9</v>
      </c>
      <c r="H21" s="69"/>
      <c r="I21" s="69"/>
      <c r="J21" s="69"/>
      <c r="K21" s="70"/>
      <c r="L21" s="19">
        <v>0.19</v>
      </c>
    </row>
    <row r="22" spans="1:12" s="2" customFormat="1" ht="15.75" customHeight="1" x14ac:dyDescent="0.25">
      <c r="A22" s="68"/>
      <c r="B22" s="69"/>
      <c r="C22" s="69"/>
      <c r="D22" s="69"/>
      <c r="E22" s="70"/>
      <c r="F22" s="19"/>
      <c r="G22" s="68" t="s">
        <v>10</v>
      </c>
      <c r="H22" s="69"/>
      <c r="I22" s="69"/>
      <c r="J22" s="69"/>
      <c r="K22" s="70"/>
      <c r="L22" s="19">
        <v>0.37</v>
      </c>
    </row>
    <row r="23" spans="1:12" s="2" customFormat="1" ht="15.75" customHeight="1" x14ac:dyDescent="0.25">
      <c r="A23" s="68"/>
      <c r="B23" s="69"/>
      <c r="C23" s="69"/>
      <c r="D23" s="69"/>
      <c r="E23" s="70"/>
      <c r="F23" s="19"/>
      <c r="G23" s="68" t="s">
        <v>11</v>
      </c>
      <c r="H23" s="69"/>
      <c r="I23" s="69"/>
      <c r="J23" s="69"/>
      <c r="K23" s="70"/>
      <c r="L23" s="19">
        <v>0.37</v>
      </c>
    </row>
    <row r="24" spans="1:12" s="2" customFormat="1" ht="15.75" customHeight="1" x14ac:dyDescent="0.25">
      <c r="A24" s="68"/>
      <c r="B24" s="69"/>
      <c r="C24" s="69"/>
      <c r="D24" s="69"/>
      <c r="E24" s="70"/>
      <c r="F24" s="19"/>
      <c r="G24" s="68" t="s">
        <v>78</v>
      </c>
      <c r="H24" s="69"/>
      <c r="I24" s="69"/>
      <c r="J24" s="69"/>
      <c r="K24" s="70"/>
      <c r="L24" s="19">
        <v>0.37</v>
      </c>
    </row>
    <row r="25" spans="1:12" s="2" customFormat="1" ht="15.75" customHeight="1" x14ac:dyDescent="0.25">
      <c r="A25" s="68"/>
      <c r="B25" s="69"/>
      <c r="C25" s="69"/>
      <c r="D25" s="69"/>
      <c r="E25" s="70"/>
      <c r="F25" s="19"/>
      <c r="G25" s="50" t="s">
        <v>13</v>
      </c>
      <c r="H25" s="61"/>
      <c r="I25" s="61"/>
      <c r="J25" s="61"/>
      <c r="K25" s="62"/>
      <c r="L25" s="19">
        <v>0.37</v>
      </c>
    </row>
    <row r="26" spans="1:12" s="2" customFormat="1" x14ac:dyDescent="0.25">
      <c r="A26" s="58" t="s">
        <v>14</v>
      </c>
      <c r="B26" s="59"/>
      <c r="C26" s="59"/>
      <c r="D26" s="59"/>
      <c r="E26" s="60"/>
      <c r="F26" s="19">
        <f>SUM(F18:F24)</f>
        <v>1.48</v>
      </c>
      <c r="G26" s="58" t="s">
        <v>14</v>
      </c>
      <c r="H26" s="59"/>
      <c r="I26" s="59"/>
      <c r="J26" s="59"/>
      <c r="K26" s="60"/>
      <c r="L26" s="19">
        <f>SUM(L18:L25)</f>
        <v>2.7800000000000002</v>
      </c>
    </row>
    <row r="27" spans="1:12" s="2" customFormat="1" x14ac:dyDescent="0.25"/>
    <row r="28" spans="1:12" s="2" customFormat="1" x14ac:dyDescent="0.25">
      <c r="A28" s="12" t="s">
        <v>90</v>
      </c>
      <c r="F28" s="2">
        <v>13840</v>
      </c>
      <c r="L28" s="25"/>
    </row>
    <row r="29" spans="1:12" s="2" customFormat="1" ht="75" x14ac:dyDescent="0.25">
      <c r="A29" s="58" t="s">
        <v>15</v>
      </c>
      <c r="B29" s="59"/>
      <c r="C29" s="59"/>
      <c r="D29" s="59"/>
      <c r="E29" s="60"/>
      <c r="F29" s="18" t="s">
        <v>16</v>
      </c>
      <c r="G29" s="18" t="s">
        <v>1</v>
      </c>
      <c r="H29" s="18" t="s">
        <v>74</v>
      </c>
      <c r="I29" s="18" t="s">
        <v>75</v>
      </c>
      <c r="J29" s="18" t="s">
        <v>76</v>
      </c>
      <c r="K29" s="21" t="s">
        <v>77</v>
      </c>
      <c r="L29" s="27"/>
    </row>
    <row r="30" spans="1:12" s="2" customFormat="1" hidden="1" x14ac:dyDescent="0.25">
      <c r="A30" s="50" t="s">
        <v>6</v>
      </c>
      <c r="B30" s="61"/>
      <c r="C30" s="61"/>
      <c r="D30" s="61"/>
      <c r="E30" s="62"/>
      <c r="F30" s="19">
        <f>'Услуга №1 '!F37</f>
        <v>11538</v>
      </c>
      <c r="G30" s="19">
        <f>F18</f>
        <v>0.37</v>
      </c>
      <c r="H30" s="19">
        <f>F30*G30*12</f>
        <v>51228.72</v>
      </c>
      <c r="I30" s="19">
        <f>H30*1.302</f>
        <v>66699.793440000009</v>
      </c>
      <c r="J30" s="19">
        <v>13855</v>
      </c>
      <c r="K30" s="19">
        <f>I30/J30</f>
        <v>4.8141316088054857</v>
      </c>
      <c r="L30" s="25"/>
    </row>
    <row r="31" spans="1:12" s="2" customFormat="1" hidden="1" x14ac:dyDescent="0.25">
      <c r="A31" s="50" t="s">
        <v>3</v>
      </c>
      <c r="B31" s="61"/>
      <c r="C31" s="61"/>
      <c r="D31" s="61"/>
      <c r="E31" s="62"/>
      <c r="F31" s="19">
        <f>'Услуга №1 '!F38</f>
        <v>11235</v>
      </c>
      <c r="G31" s="19">
        <f t="shared" ref="G31:G33" si="0">F19</f>
        <v>0.37</v>
      </c>
      <c r="H31" s="19">
        <f t="shared" ref="H31:H33" si="1">F31*G31*12</f>
        <v>49883.399999999994</v>
      </c>
      <c r="I31" s="19">
        <f t="shared" ref="I31:I33" si="2">H31*1.302</f>
        <v>64948.186799999996</v>
      </c>
      <c r="J31" s="19">
        <v>13855</v>
      </c>
      <c r="K31" s="19">
        <f t="shared" ref="K31:K33" si="3">I31/J31</f>
        <v>4.6877074557921325</v>
      </c>
      <c r="L31" s="25"/>
    </row>
    <row r="32" spans="1:12" s="2" customFormat="1" ht="15" hidden="1" customHeight="1" x14ac:dyDescent="0.25">
      <c r="A32" s="68" t="s">
        <v>12</v>
      </c>
      <c r="B32" s="69"/>
      <c r="C32" s="69"/>
      <c r="D32" s="69"/>
      <c r="E32" s="70"/>
      <c r="F32" s="23">
        <f>'Услуга №1 '!F44</f>
        <v>8837</v>
      </c>
      <c r="G32" s="19">
        <f t="shared" si="0"/>
        <v>0.37</v>
      </c>
      <c r="H32" s="19">
        <f t="shared" si="1"/>
        <v>39236.28</v>
      </c>
      <c r="I32" s="19">
        <f t="shared" si="2"/>
        <v>51085.636559999999</v>
      </c>
      <c r="J32" s="19">
        <v>13855</v>
      </c>
      <c r="K32" s="19">
        <f t="shared" si="3"/>
        <v>3.6871625088415731</v>
      </c>
      <c r="L32" s="25"/>
    </row>
    <row r="33" spans="1:14" s="2" customFormat="1" ht="28.5" hidden="1" customHeight="1" x14ac:dyDescent="0.25">
      <c r="A33" s="68" t="s">
        <v>8</v>
      </c>
      <c r="B33" s="69"/>
      <c r="C33" s="69"/>
      <c r="D33" s="69"/>
      <c r="E33" s="70"/>
      <c r="F33" s="23">
        <f>'Услуга №1 '!F45</f>
        <v>11538</v>
      </c>
      <c r="G33" s="19">
        <f t="shared" si="0"/>
        <v>0.37</v>
      </c>
      <c r="H33" s="19">
        <f t="shared" si="1"/>
        <v>51228.72</v>
      </c>
      <c r="I33" s="19">
        <f t="shared" si="2"/>
        <v>66699.793440000009</v>
      </c>
      <c r="J33" s="19">
        <v>13855</v>
      </c>
      <c r="K33" s="19">
        <f t="shared" si="3"/>
        <v>4.8141316088054857</v>
      </c>
      <c r="L33" s="25"/>
    </row>
    <row r="34" spans="1:14" s="2" customFormat="1" ht="30.75" customHeight="1" x14ac:dyDescent="0.25">
      <c r="A34" s="53" t="s">
        <v>70</v>
      </c>
      <c r="B34" s="54"/>
      <c r="C34" s="54"/>
      <c r="D34" s="54"/>
      <c r="E34" s="55"/>
      <c r="F34" s="8">
        <v>34417.480000000003</v>
      </c>
      <c r="G34" s="8">
        <f>SUM(G30:G33)</f>
        <v>1.48</v>
      </c>
      <c r="H34" s="8">
        <f>(F34*G34)*12</f>
        <v>611254.44480000006</v>
      </c>
      <c r="I34" s="8">
        <f>(H34*1.302)</f>
        <v>795853.28712960007</v>
      </c>
      <c r="J34" s="8">
        <v>13840</v>
      </c>
      <c r="K34" s="8">
        <f>I34/J34</f>
        <v>57.50385022612717</v>
      </c>
      <c r="L34" s="25"/>
    </row>
    <row r="35" spans="1:14" s="2" customFormat="1" x14ac:dyDescent="0.25">
      <c r="A35" s="41"/>
      <c r="B35" s="41"/>
      <c r="C35" s="41"/>
      <c r="D35" s="41"/>
      <c r="E35" s="41"/>
      <c r="F35" s="25"/>
      <c r="G35" s="25"/>
      <c r="H35" s="25"/>
      <c r="I35" s="25"/>
      <c r="J35" s="25"/>
      <c r="K35" s="25"/>
      <c r="L35" s="25"/>
    </row>
    <row r="36" spans="1:14" s="2" customFormat="1" ht="15" customHeight="1" x14ac:dyDescent="0.25">
      <c r="A36" s="57" t="s">
        <v>18</v>
      </c>
      <c r="B36" s="57"/>
      <c r="C36" s="57"/>
      <c r="D36" s="57"/>
      <c r="E36" s="57"/>
      <c r="F36" s="57"/>
      <c r="G36" s="57"/>
      <c r="H36" s="57"/>
      <c r="I36" s="57"/>
      <c r="J36" s="57"/>
      <c r="K36" s="57"/>
      <c r="L36" s="57"/>
    </row>
    <row r="37" spans="1:14" s="2" customFormat="1" ht="60" customHeight="1" x14ac:dyDescent="0.25">
      <c r="A37" s="63" t="s">
        <v>19</v>
      </c>
      <c r="B37" s="63"/>
      <c r="C37" s="63"/>
      <c r="D37" s="63"/>
      <c r="E37" s="63"/>
      <c r="F37" s="18" t="s">
        <v>17</v>
      </c>
      <c r="G37" s="18" t="s">
        <v>69</v>
      </c>
      <c r="H37" s="18" t="s">
        <v>68</v>
      </c>
      <c r="I37" s="18" t="s">
        <v>81</v>
      </c>
      <c r="J37" s="18" t="s">
        <v>76</v>
      </c>
      <c r="K37" s="21" t="s">
        <v>77</v>
      </c>
      <c r="L37" s="27"/>
    </row>
    <row r="38" spans="1:14" s="2" customFormat="1" x14ac:dyDescent="0.25">
      <c r="A38" s="56" t="s">
        <v>20</v>
      </c>
      <c r="B38" s="56"/>
      <c r="C38" s="56"/>
      <c r="D38" s="56"/>
      <c r="E38" s="56"/>
      <c r="F38" s="19" t="s">
        <v>24</v>
      </c>
      <c r="G38" s="19">
        <v>7808</v>
      </c>
      <c r="H38" s="19">
        <f>'Услуга №1 '!H51</f>
        <v>7.8</v>
      </c>
      <c r="I38" s="19">
        <f>(G38*H38)*37.3%</f>
        <v>22716.5952</v>
      </c>
      <c r="J38" s="19">
        <f>F28</f>
        <v>13840</v>
      </c>
      <c r="K38" s="19">
        <f>I38/J38</f>
        <v>1.641372485549133</v>
      </c>
      <c r="L38" s="25"/>
      <c r="N38" s="25"/>
    </row>
    <row r="39" spans="1:14" s="2" customFormat="1" x14ac:dyDescent="0.25">
      <c r="A39" s="56" t="s">
        <v>21</v>
      </c>
      <c r="B39" s="56"/>
      <c r="C39" s="56"/>
      <c r="D39" s="56"/>
      <c r="E39" s="56"/>
      <c r="F39" s="19" t="s">
        <v>25</v>
      </c>
      <c r="G39" s="19">
        <v>178</v>
      </c>
      <c r="H39" s="19">
        <f>'Услуга №1 '!H52</f>
        <v>1690.47</v>
      </c>
      <c r="I39" s="19">
        <f t="shared" ref="I39:I42" si="4">(G39*H39)*37.3%</f>
        <v>112237.06518000001</v>
      </c>
      <c r="J39" s="19">
        <f>J38</f>
        <v>13840</v>
      </c>
      <c r="K39" s="19">
        <f t="shared" ref="K39:K41" si="5">I39/J39</f>
        <v>8.1096145361271681</v>
      </c>
      <c r="L39" s="25"/>
      <c r="N39" s="25"/>
    </row>
    <row r="40" spans="1:14" s="2" customFormat="1" x14ac:dyDescent="0.25">
      <c r="A40" s="56" t="s">
        <v>22</v>
      </c>
      <c r="B40" s="56"/>
      <c r="C40" s="56"/>
      <c r="D40" s="56"/>
      <c r="E40" s="56"/>
      <c r="F40" s="19" t="s">
        <v>26</v>
      </c>
      <c r="G40" s="19">
        <v>150</v>
      </c>
      <c r="H40" s="19">
        <f>'Услуга №1 '!H54</f>
        <v>40.96</v>
      </c>
      <c r="I40" s="19">
        <f t="shared" si="4"/>
        <v>2291.712</v>
      </c>
      <c r="J40" s="19">
        <f>J39</f>
        <v>13840</v>
      </c>
      <c r="K40" s="19">
        <f t="shared" si="5"/>
        <v>0.16558612716763005</v>
      </c>
      <c r="L40" s="25"/>
      <c r="M40" s="28"/>
      <c r="N40" s="25"/>
    </row>
    <row r="41" spans="1:14" s="2" customFormat="1" x14ac:dyDescent="0.25">
      <c r="A41" s="56" t="s">
        <v>23</v>
      </c>
      <c r="B41" s="56"/>
      <c r="C41" s="56"/>
      <c r="D41" s="56"/>
      <c r="E41" s="56"/>
      <c r="F41" s="19" t="s">
        <v>26</v>
      </c>
      <c r="G41" s="19">
        <v>150</v>
      </c>
      <c r="H41" s="19">
        <f>'Услуга №1 '!H55</f>
        <v>59.65</v>
      </c>
      <c r="I41" s="19">
        <f t="shared" si="4"/>
        <v>3337.4175</v>
      </c>
      <c r="J41" s="19">
        <f>J40</f>
        <v>13840</v>
      </c>
      <c r="K41" s="19">
        <f t="shared" si="5"/>
        <v>0.24114288294797687</v>
      </c>
      <c r="L41" s="25"/>
      <c r="N41" s="25"/>
    </row>
    <row r="42" spans="1:14" s="2" customFormat="1" x14ac:dyDescent="0.25">
      <c r="A42" s="50" t="s">
        <v>106</v>
      </c>
      <c r="B42" s="51"/>
      <c r="C42" s="51"/>
      <c r="D42" s="51"/>
      <c r="E42" s="51"/>
      <c r="F42" s="19" t="s">
        <v>26</v>
      </c>
      <c r="G42" s="19">
        <v>12</v>
      </c>
      <c r="H42" s="19">
        <v>800</v>
      </c>
      <c r="I42" s="19">
        <f t="shared" si="4"/>
        <v>3580.8</v>
      </c>
      <c r="J42" s="19">
        <f>J41</f>
        <v>13840</v>
      </c>
      <c r="K42" s="19">
        <f>I42/J42</f>
        <v>0.258728323699422</v>
      </c>
      <c r="L42" s="25"/>
      <c r="N42" s="25"/>
    </row>
    <row r="43" spans="1:14" s="2" customFormat="1" x14ac:dyDescent="0.25">
      <c r="A43" s="66" t="s">
        <v>71</v>
      </c>
      <c r="B43" s="67"/>
      <c r="C43" s="67"/>
      <c r="D43" s="67"/>
      <c r="E43" s="67"/>
      <c r="F43" s="67"/>
      <c r="G43" s="67"/>
      <c r="H43" s="67"/>
      <c r="I43" s="8">
        <f>SUM(I38:I42)</f>
        <v>144163.58988000001</v>
      </c>
      <c r="J43" s="6">
        <v>13840</v>
      </c>
      <c r="K43" s="6">
        <f>I43/J41</f>
        <v>10.416444355491331</v>
      </c>
      <c r="L43" s="25"/>
    </row>
    <row r="44" spans="1:14" s="2" customFormat="1" x14ac:dyDescent="0.25"/>
    <row r="45" spans="1:14" s="2" customFormat="1" x14ac:dyDescent="0.25">
      <c r="A45" s="57" t="s">
        <v>27</v>
      </c>
      <c r="B45" s="57"/>
      <c r="C45" s="57"/>
      <c r="D45" s="57"/>
      <c r="E45" s="57"/>
      <c r="F45" s="57"/>
      <c r="G45" s="57"/>
      <c r="H45" s="57"/>
      <c r="I45" s="57"/>
      <c r="J45" s="57"/>
      <c r="K45" s="57"/>
      <c r="L45" s="57"/>
    </row>
    <row r="46" spans="1:14" s="2" customFormat="1" ht="47.25" customHeight="1" x14ac:dyDescent="0.25">
      <c r="A46" s="63" t="s">
        <v>19</v>
      </c>
      <c r="B46" s="63"/>
      <c r="C46" s="63"/>
      <c r="D46" s="63"/>
      <c r="E46" s="63"/>
      <c r="F46" s="18" t="s">
        <v>17</v>
      </c>
      <c r="G46" s="18" t="s">
        <v>69</v>
      </c>
      <c r="H46" s="18" t="s">
        <v>68</v>
      </c>
      <c r="I46" s="18" t="s">
        <v>81</v>
      </c>
      <c r="J46" s="18" t="s">
        <v>76</v>
      </c>
      <c r="K46" s="21" t="s">
        <v>77</v>
      </c>
      <c r="L46" s="27"/>
    </row>
    <row r="47" spans="1:14" s="2" customFormat="1" x14ac:dyDescent="0.25">
      <c r="A47" s="56" t="s">
        <v>28</v>
      </c>
      <c r="B47" s="56"/>
      <c r="C47" s="56"/>
      <c r="D47" s="56"/>
      <c r="E47" s="56"/>
      <c r="F47" s="19" t="s">
        <v>31</v>
      </c>
      <c r="G47" s="19">
        <v>12</v>
      </c>
      <c r="H47" s="19">
        <f>'Услуга №1 '!H60</f>
        <v>500</v>
      </c>
      <c r="I47" s="19">
        <f>(G47*H47)*37.3%</f>
        <v>2238</v>
      </c>
      <c r="J47" s="19">
        <f>J41</f>
        <v>13840</v>
      </c>
      <c r="K47" s="19">
        <f t="shared" ref="K47:K51" si="6">I47/J47</f>
        <v>0.16170520231213872</v>
      </c>
      <c r="L47" s="25"/>
    </row>
    <row r="48" spans="1:14" s="2" customFormat="1" x14ac:dyDescent="0.25">
      <c r="A48" s="50" t="s">
        <v>107</v>
      </c>
      <c r="B48" s="51"/>
      <c r="C48" s="51"/>
      <c r="D48" s="51"/>
      <c r="E48" s="52"/>
      <c r="F48" s="19" t="s">
        <v>31</v>
      </c>
      <c r="G48" s="19">
        <v>12</v>
      </c>
      <c r="H48" s="19">
        <v>2000</v>
      </c>
      <c r="I48" s="19">
        <f t="shared" ref="I48:I51" si="7">(G48*H48)*37.3%</f>
        <v>8952</v>
      </c>
      <c r="J48" s="19"/>
      <c r="K48" s="19"/>
      <c r="L48" s="25"/>
    </row>
    <row r="49" spans="1:13" s="2" customFormat="1" x14ac:dyDescent="0.25">
      <c r="A49" s="56" t="s">
        <v>29</v>
      </c>
      <c r="B49" s="56"/>
      <c r="C49" s="56"/>
      <c r="D49" s="56"/>
      <c r="E49" s="56"/>
      <c r="F49" s="19" t="s">
        <v>31</v>
      </c>
      <c r="G49" s="19">
        <v>1</v>
      </c>
      <c r="H49" s="19">
        <f>'Услуга №1 '!H62</f>
        <v>6350</v>
      </c>
      <c r="I49" s="19">
        <f t="shared" si="7"/>
        <v>2368.5500000000002</v>
      </c>
      <c r="J49" s="19">
        <f>J47</f>
        <v>13840</v>
      </c>
      <c r="K49" s="19">
        <f t="shared" si="6"/>
        <v>0.17113800578034682</v>
      </c>
      <c r="L49" s="25"/>
    </row>
    <row r="50" spans="1:13" s="2" customFormat="1" x14ac:dyDescent="0.25">
      <c r="A50" s="56" t="s">
        <v>30</v>
      </c>
      <c r="B50" s="56"/>
      <c r="C50" s="56"/>
      <c r="D50" s="56"/>
      <c r="E50" s="56"/>
      <c r="F50" s="19" t="s">
        <v>31</v>
      </c>
      <c r="G50" s="19">
        <v>12</v>
      </c>
      <c r="H50" s="19">
        <f>'Услуга №1 '!H63</f>
        <v>1500</v>
      </c>
      <c r="I50" s="19">
        <f t="shared" si="7"/>
        <v>6714</v>
      </c>
      <c r="J50" s="19">
        <f>J49</f>
        <v>13840</v>
      </c>
      <c r="K50" s="19">
        <f t="shared" si="6"/>
        <v>0.4851156069364162</v>
      </c>
      <c r="L50" s="25"/>
    </row>
    <row r="51" spans="1:13" s="2" customFormat="1" ht="28.5" customHeight="1" x14ac:dyDescent="0.25">
      <c r="A51" s="68" t="s">
        <v>82</v>
      </c>
      <c r="B51" s="69"/>
      <c r="C51" s="69"/>
      <c r="D51" s="69"/>
      <c r="E51" s="70"/>
      <c r="F51" s="19" t="s">
        <v>31</v>
      </c>
      <c r="G51" s="19">
        <v>12</v>
      </c>
      <c r="H51" s="19">
        <f>'Услуга №1 '!H64</f>
        <v>6666.67</v>
      </c>
      <c r="I51" s="19">
        <f t="shared" si="7"/>
        <v>29840.014920000001</v>
      </c>
      <c r="J51" s="19">
        <f>J50</f>
        <v>13840</v>
      </c>
      <c r="K51" s="19">
        <f t="shared" si="6"/>
        <v>2.156070442196532</v>
      </c>
      <c r="L51" s="25"/>
    </row>
    <row r="52" spans="1:13" s="2" customFormat="1" x14ac:dyDescent="0.25">
      <c r="A52" s="66" t="s">
        <v>32</v>
      </c>
      <c r="B52" s="67"/>
      <c r="C52" s="67"/>
      <c r="D52" s="67"/>
      <c r="E52" s="67"/>
      <c r="F52" s="67"/>
      <c r="G52" s="67"/>
      <c r="H52" s="67"/>
      <c r="I52" s="6">
        <f>SUM(I47:I51)</f>
        <v>50112.564920000004</v>
      </c>
      <c r="J52" s="6">
        <v>13840</v>
      </c>
      <c r="K52" s="6">
        <f>I52/J51</f>
        <v>3.6208500664739889</v>
      </c>
      <c r="L52" s="25"/>
    </row>
    <row r="53" spans="1:13" s="2" customFormat="1" x14ac:dyDescent="0.25"/>
    <row r="54" spans="1:13" s="2" customFormat="1" x14ac:dyDescent="0.25">
      <c r="A54" s="57" t="s">
        <v>83</v>
      </c>
      <c r="B54" s="57"/>
      <c r="C54" s="57"/>
      <c r="D54" s="57"/>
      <c r="E54" s="57"/>
      <c r="F54" s="57"/>
      <c r="G54" s="57"/>
      <c r="H54" s="57"/>
      <c r="I54" s="57"/>
      <c r="J54" s="57"/>
      <c r="K54" s="57"/>
      <c r="L54" s="57"/>
    </row>
    <row r="55" spans="1:13" s="2" customFormat="1" ht="51.75" customHeight="1" x14ac:dyDescent="0.25">
      <c r="A55" s="63" t="s">
        <v>19</v>
      </c>
      <c r="B55" s="63"/>
      <c r="C55" s="63"/>
      <c r="D55" s="63"/>
      <c r="E55" s="63"/>
      <c r="F55" s="18" t="s">
        <v>17</v>
      </c>
      <c r="G55" s="18" t="s">
        <v>69</v>
      </c>
      <c r="H55" s="18" t="s">
        <v>68</v>
      </c>
      <c r="I55" s="18" t="s">
        <v>81</v>
      </c>
      <c r="J55" s="18" t="s">
        <v>76</v>
      </c>
      <c r="K55" s="21" t="s">
        <v>77</v>
      </c>
      <c r="L55" s="27"/>
    </row>
    <row r="56" spans="1:13" s="2" customFormat="1" ht="30.75" customHeight="1" x14ac:dyDescent="0.25">
      <c r="A56" s="68" t="s">
        <v>84</v>
      </c>
      <c r="B56" s="69"/>
      <c r="C56" s="69"/>
      <c r="D56" s="69"/>
      <c r="E56" s="70"/>
      <c r="F56" s="19" t="s">
        <v>31</v>
      </c>
      <c r="G56" s="19">
        <v>12</v>
      </c>
      <c r="H56" s="19">
        <f>'Услуга №1 '!H69</f>
        <v>1500</v>
      </c>
      <c r="I56" s="19">
        <f>(G56*H56)*37.3%</f>
        <v>6714</v>
      </c>
      <c r="J56" s="19">
        <f>J51</f>
        <v>13840</v>
      </c>
      <c r="K56" s="19">
        <f>I56/J56</f>
        <v>0.4851156069364162</v>
      </c>
      <c r="L56" s="25"/>
    </row>
    <row r="57" spans="1:13" s="2" customFormat="1" x14ac:dyDescent="0.25">
      <c r="A57" s="50" t="s">
        <v>108</v>
      </c>
      <c r="B57" s="51"/>
      <c r="C57" s="51"/>
      <c r="D57" s="51"/>
      <c r="E57" s="52"/>
      <c r="F57" s="19"/>
      <c r="G57" s="19"/>
      <c r="H57" s="19"/>
      <c r="I57" s="19">
        <v>24688.21</v>
      </c>
      <c r="J57" s="19">
        <v>13840</v>
      </c>
      <c r="K57" s="19">
        <f t="shared" ref="K57:K58" si="8">I57/J57</f>
        <v>1.7838302023121386</v>
      </c>
      <c r="L57" s="25"/>
    </row>
    <row r="58" spans="1:13" s="2" customFormat="1" x14ac:dyDescent="0.25">
      <c r="A58" s="50" t="s">
        <v>111</v>
      </c>
      <c r="B58" s="51"/>
      <c r="C58" s="51"/>
      <c r="D58" s="51"/>
      <c r="E58" s="52"/>
      <c r="F58" s="19"/>
      <c r="G58" s="19"/>
      <c r="H58" s="19"/>
      <c r="I58" s="19">
        <v>55950</v>
      </c>
      <c r="J58" s="19">
        <v>13840</v>
      </c>
      <c r="K58" s="19">
        <f t="shared" si="8"/>
        <v>4.0426300578034686</v>
      </c>
      <c r="L58" s="25"/>
    </row>
    <row r="59" spans="1:13" s="2" customFormat="1" x14ac:dyDescent="0.25">
      <c r="A59" s="66" t="s">
        <v>85</v>
      </c>
      <c r="B59" s="67"/>
      <c r="C59" s="67"/>
      <c r="D59" s="67"/>
      <c r="E59" s="67"/>
      <c r="F59" s="67"/>
      <c r="G59" s="67"/>
      <c r="H59" s="67"/>
      <c r="I59" s="6">
        <f>SUM(I56:I58)</f>
        <v>87352.209999999992</v>
      </c>
      <c r="J59" s="6">
        <v>13840</v>
      </c>
      <c r="K59" s="6">
        <f>I59/J56</f>
        <v>6.3115758670520226</v>
      </c>
      <c r="L59" s="25"/>
    </row>
    <row r="60" spans="1:13" s="2" customFormat="1" x14ac:dyDescent="0.25">
      <c r="A60" s="29"/>
      <c r="B60" s="29"/>
      <c r="C60" s="29"/>
      <c r="D60" s="29"/>
      <c r="E60" s="29"/>
      <c r="F60" s="29"/>
      <c r="G60" s="29"/>
      <c r="H60" s="29"/>
      <c r="I60" s="9"/>
      <c r="J60" s="9"/>
      <c r="K60" s="9"/>
      <c r="L60" s="25"/>
    </row>
    <row r="61" spans="1:13" s="2" customFormat="1" x14ac:dyDescent="0.25">
      <c r="A61" s="57" t="s">
        <v>86</v>
      </c>
      <c r="B61" s="57"/>
      <c r="C61" s="57"/>
      <c r="D61" s="57"/>
      <c r="E61" s="57"/>
      <c r="F61" s="57"/>
      <c r="G61" s="57"/>
      <c r="H61" s="57"/>
      <c r="I61" s="57"/>
      <c r="J61" s="57"/>
      <c r="K61" s="57"/>
      <c r="L61" s="57"/>
    </row>
    <row r="62" spans="1:13" s="2" customFormat="1" ht="46.5" customHeight="1" x14ac:dyDescent="0.25">
      <c r="A62" s="58" t="s">
        <v>19</v>
      </c>
      <c r="B62" s="59"/>
      <c r="C62" s="59"/>
      <c r="D62" s="59"/>
      <c r="E62" s="60"/>
      <c r="F62" s="18" t="s">
        <v>17</v>
      </c>
      <c r="G62" s="18" t="s">
        <v>69</v>
      </c>
      <c r="H62" s="18" t="s">
        <v>68</v>
      </c>
      <c r="I62" s="18" t="s">
        <v>81</v>
      </c>
      <c r="J62" s="30" t="s">
        <v>76</v>
      </c>
      <c r="K62" s="21" t="s">
        <v>77</v>
      </c>
      <c r="L62" s="27"/>
      <c r="M62" s="27"/>
    </row>
    <row r="63" spans="1:13" s="2" customFormat="1" ht="42.75" customHeight="1" x14ac:dyDescent="0.25">
      <c r="A63" s="50" t="s">
        <v>35</v>
      </c>
      <c r="B63" s="61"/>
      <c r="C63" s="61"/>
      <c r="D63" s="61"/>
      <c r="E63" s="62"/>
      <c r="F63" s="31" t="s">
        <v>36</v>
      </c>
      <c r="G63" s="19">
        <v>2</v>
      </c>
      <c r="H63" s="19">
        <f>'Услуга №1 '!H78</f>
        <v>400</v>
      </c>
      <c r="I63" s="19">
        <f>(G63*H63*12)*37.3%</f>
        <v>3580.8</v>
      </c>
      <c r="J63" s="32">
        <f>J56</f>
        <v>13840</v>
      </c>
      <c r="K63" s="19">
        <f>I63/J63</f>
        <v>0.258728323699422</v>
      </c>
      <c r="L63" s="25"/>
      <c r="M63" s="25"/>
    </row>
    <row r="64" spans="1:13" s="2" customFormat="1" ht="34.5" customHeight="1" x14ac:dyDescent="0.25">
      <c r="A64" s="50" t="s">
        <v>96</v>
      </c>
      <c r="B64" s="61"/>
      <c r="C64" s="61"/>
      <c r="D64" s="61"/>
      <c r="E64" s="62"/>
      <c r="F64" s="31" t="s">
        <v>36</v>
      </c>
      <c r="G64" s="19">
        <v>1</v>
      </c>
      <c r="H64" s="19">
        <f>'Услуга №1 '!H79</f>
        <v>0</v>
      </c>
      <c r="I64" s="19">
        <v>4028.4</v>
      </c>
      <c r="J64" s="32">
        <v>13840</v>
      </c>
      <c r="K64" s="19">
        <f>I64/J64</f>
        <v>0.2910693641618497</v>
      </c>
      <c r="L64" s="25"/>
      <c r="M64" s="25"/>
    </row>
    <row r="65" spans="1:13" s="2" customFormat="1" x14ac:dyDescent="0.25">
      <c r="A65" s="50" t="s">
        <v>87</v>
      </c>
      <c r="B65" s="61"/>
      <c r="C65" s="61"/>
      <c r="D65" s="61"/>
      <c r="E65" s="62"/>
      <c r="F65" s="31" t="s">
        <v>31</v>
      </c>
      <c r="G65" s="19">
        <v>1</v>
      </c>
      <c r="H65" s="19">
        <f>'Услуга №1 '!H80</f>
        <v>800</v>
      </c>
      <c r="I65" s="19">
        <f t="shared" ref="I65" si="9">(G65*H65*12)*37.3%</f>
        <v>3580.8</v>
      </c>
      <c r="J65" s="32">
        <f>J63</f>
        <v>13840</v>
      </c>
      <c r="K65" s="19">
        <f>I65/J65</f>
        <v>0.258728323699422</v>
      </c>
      <c r="L65" s="25"/>
      <c r="M65" s="25"/>
    </row>
    <row r="66" spans="1:13" s="2" customFormat="1" x14ac:dyDescent="0.25">
      <c r="A66" s="66" t="s">
        <v>37</v>
      </c>
      <c r="B66" s="67"/>
      <c r="C66" s="67"/>
      <c r="D66" s="67"/>
      <c r="E66" s="67"/>
      <c r="F66" s="67"/>
      <c r="G66" s="67"/>
      <c r="H66" s="71"/>
      <c r="I66" s="6">
        <f t="shared" ref="I66" si="10">SUM(I63:I65)</f>
        <v>11190</v>
      </c>
      <c r="J66" s="6">
        <v>13840</v>
      </c>
      <c r="K66" s="6">
        <f>I66/J65</f>
        <v>0.80852601156069359</v>
      </c>
      <c r="L66" s="9"/>
      <c r="M66" s="25"/>
    </row>
    <row r="67" spans="1:13" s="2" customFormat="1" x14ac:dyDescent="0.25"/>
    <row r="68" spans="1:13" s="2" customFormat="1" x14ac:dyDescent="0.25">
      <c r="A68" s="57" t="s">
        <v>57</v>
      </c>
      <c r="B68" s="57"/>
      <c r="C68" s="57"/>
      <c r="D68" s="57"/>
      <c r="E68" s="57"/>
      <c r="F68" s="57"/>
      <c r="G68" s="57"/>
      <c r="H68" s="57"/>
      <c r="I68" s="57"/>
      <c r="J68" s="57"/>
      <c r="K68" s="57"/>
      <c r="L68" s="57"/>
    </row>
    <row r="69" spans="1:13" s="2" customFormat="1" hidden="1" x14ac:dyDescent="0.25"/>
    <row r="70" spans="1:13" s="2" customFormat="1" ht="75" x14ac:dyDescent="0.25">
      <c r="A70" s="63" t="s">
        <v>15</v>
      </c>
      <c r="B70" s="63"/>
      <c r="C70" s="63"/>
      <c r="D70" s="63"/>
      <c r="E70" s="63"/>
      <c r="F70" s="18" t="s">
        <v>16</v>
      </c>
      <c r="G70" s="18" t="s">
        <v>1</v>
      </c>
      <c r="H70" s="18" t="s">
        <v>74</v>
      </c>
      <c r="I70" s="18" t="s">
        <v>75</v>
      </c>
      <c r="J70" s="18" t="s">
        <v>76</v>
      </c>
      <c r="K70" s="21" t="s">
        <v>77</v>
      </c>
      <c r="L70" s="27"/>
    </row>
    <row r="71" spans="1:13" s="2" customFormat="1" hidden="1" x14ac:dyDescent="0.25">
      <c r="A71" s="56" t="s">
        <v>5</v>
      </c>
      <c r="B71" s="56"/>
      <c r="C71" s="56"/>
      <c r="D71" s="56"/>
      <c r="E71" s="56"/>
      <c r="F71" s="23">
        <f>'Работа №2'!F82</f>
        <v>15258</v>
      </c>
      <c r="G71" s="19">
        <f t="shared" ref="G71:G78" si="11">L18</f>
        <v>0.37</v>
      </c>
      <c r="H71" s="19">
        <f>F71*G71*12</f>
        <v>67745.52</v>
      </c>
      <c r="I71" s="19">
        <f>H71*1.302</f>
        <v>88204.667040000015</v>
      </c>
      <c r="J71" s="19">
        <v>13750</v>
      </c>
      <c r="K71" s="19">
        <f>I71/J71</f>
        <v>6.414884875636365</v>
      </c>
      <c r="L71" s="25"/>
    </row>
    <row r="72" spans="1:13" s="2" customFormat="1" hidden="1" x14ac:dyDescent="0.25">
      <c r="A72" s="56" t="s">
        <v>4</v>
      </c>
      <c r="B72" s="56"/>
      <c r="C72" s="56"/>
      <c r="D72" s="56"/>
      <c r="E72" s="56"/>
      <c r="F72" s="19">
        <f>'Услуга №1 '!F39</f>
        <v>11538</v>
      </c>
      <c r="G72" s="19">
        <f t="shared" si="11"/>
        <v>0.37</v>
      </c>
      <c r="H72" s="19">
        <f t="shared" ref="H72:H78" si="12">F72*G72*12</f>
        <v>51228.72</v>
      </c>
      <c r="I72" s="19">
        <f t="shared" ref="I72:I78" si="13">H72*1.302</f>
        <v>66699.793440000009</v>
      </c>
      <c r="J72" s="19">
        <v>13750</v>
      </c>
      <c r="K72" s="19">
        <f t="shared" ref="K72:K78" si="14">I72/J72</f>
        <v>4.8508940683636368</v>
      </c>
      <c r="L72" s="25"/>
    </row>
    <row r="73" spans="1:13" s="2" customFormat="1" hidden="1" x14ac:dyDescent="0.25">
      <c r="A73" s="56" t="s">
        <v>7</v>
      </c>
      <c r="B73" s="56"/>
      <c r="C73" s="56"/>
      <c r="D73" s="56"/>
      <c r="E73" s="56"/>
      <c r="F73" s="19">
        <f>'Работа №2'!F38</f>
        <v>8837</v>
      </c>
      <c r="G73" s="19">
        <f t="shared" si="11"/>
        <v>0.37</v>
      </c>
      <c r="H73" s="19">
        <f t="shared" si="12"/>
        <v>39236.28</v>
      </c>
      <c r="I73" s="19">
        <f t="shared" si="13"/>
        <v>51085.636559999999</v>
      </c>
      <c r="J73" s="19">
        <v>13750</v>
      </c>
      <c r="K73" s="19">
        <f t="shared" si="14"/>
        <v>3.7153190225454544</v>
      </c>
      <c r="L73" s="25"/>
    </row>
    <row r="74" spans="1:13" s="2" customFormat="1" hidden="1" x14ac:dyDescent="0.25">
      <c r="A74" s="56" t="s">
        <v>9</v>
      </c>
      <c r="B74" s="56"/>
      <c r="C74" s="56"/>
      <c r="D74" s="56"/>
      <c r="E74" s="56"/>
      <c r="F74" s="23">
        <f>'Работа №2'!F83</f>
        <v>4418.5</v>
      </c>
      <c r="G74" s="19">
        <f t="shared" si="11"/>
        <v>0.19</v>
      </c>
      <c r="H74" s="19">
        <f t="shared" si="12"/>
        <v>10074.18</v>
      </c>
      <c r="I74" s="19">
        <f t="shared" si="13"/>
        <v>13116.58236</v>
      </c>
      <c r="J74" s="19">
        <v>13750</v>
      </c>
      <c r="K74" s="19">
        <f t="shared" si="14"/>
        <v>0.95393326254545452</v>
      </c>
      <c r="L74" s="25"/>
    </row>
    <row r="75" spans="1:13" s="2" customFormat="1" hidden="1" x14ac:dyDescent="0.25">
      <c r="A75" s="56" t="s">
        <v>10</v>
      </c>
      <c r="B75" s="56"/>
      <c r="C75" s="56"/>
      <c r="D75" s="56"/>
      <c r="E75" s="56"/>
      <c r="F75" s="19">
        <f>'Работа №2'!F39</f>
        <v>4496</v>
      </c>
      <c r="G75" s="19">
        <f t="shared" si="11"/>
        <v>0.37</v>
      </c>
      <c r="H75" s="19">
        <f t="shared" si="12"/>
        <v>19962.239999999998</v>
      </c>
      <c r="I75" s="19">
        <f t="shared" si="13"/>
        <v>25990.836479999998</v>
      </c>
      <c r="J75" s="19">
        <v>13750</v>
      </c>
      <c r="K75" s="19">
        <f t="shared" si="14"/>
        <v>1.8902426530909089</v>
      </c>
      <c r="L75" s="25"/>
    </row>
    <row r="76" spans="1:13" s="2" customFormat="1" hidden="1" x14ac:dyDescent="0.25">
      <c r="A76" s="56" t="s">
        <v>11</v>
      </c>
      <c r="B76" s="56"/>
      <c r="C76" s="56"/>
      <c r="D76" s="56"/>
      <c r="E76" s="56"/>
      <c r="F76" s="19">
        <f>'Работа №2'!F37</f>
        <v>8837</v>
      </c>
      <c r="G76" s="19">
        <f t="shared" si="11"/>
        <v>0.37</v>
      </c>
      <c r="H76" s="19">
        <f t="shared" si="12"/>
        <v>39236.28</v>
      </c>
      <c r="I76" s="19">
        <f t="shared" si="13"/>
        <v>51085.636559999999</v>
      </c>
      <c r="J76" s="19">
        <v>13750</v>
      </c>
      <c r="K76" s="19">
        <f t="shared" si="14"/>
        <v>3.7153190225454544</v>
      </c>
      <c r="L76" s="25"/>
    </row>
    <row r="77" spans="1:13" s="2" customFormat="1" hidden="1" x14ac:dyDescent="0.25">
      <c r="A77" s="56" t="s">
        <v>78</v>
      </c>
      <c r="B77" s="56"/>
      <c r="C77" s="56"/>
      <c r="D77" s="56"/>
      <c r="E77" s="56"/>
      <c r="F77" s="23">
        <f>'Работа №2'!F42</f>
        <v>11538</v>
      </c>
      <c r="G77" s="19">
        <f t="shared" si="11"/>
        <v>0.37</v>
      </c>
      <c r="H77" s="19">
        <f t="shared" si="12"/>
        <v>51228.72</v>
      </c>
      <c r="I77" s="19">
        <f t="shared" si="13"/>
        <v>66699.793440000009</v>
      </c>
      <c r="J77" s="19">
        <v>13750</v>
      </c>
      <c r="K77" s="19">
        <f t="shared" si="14"/>
        <v>4.8508940683636368</v>
      </c>
      <c r="L77" s="25"/>
    </row>
    <row r="78" spans="1:13" s="2" customFormat="1" hidden="1" x14ac:dyDescent="0.25">
      <c r="A78" s="56" t="s">
        <v>13</v>
      </c>
      <c r="B78" s="56"/>
      <c r="C78" s="56"/>
      <c r="D78" s="56"/>
      <c r="E78" s="56"/>
      <c r="F78" s="23">
        <f>'Работа №2'!F41</f>
        <v>11538</v>
      </c>
      <c r="G78" s="19">
        <f t="shared" si="11"/>
        <v>0.37</v>
      </c>
      <c r="H78" s="19">
        <f t="shared" si="12"/>
        <v>51228.72</v>
      </c>
      <c r="I78" s="19">
        <f t="shared" si="13"/>
        <v>66699.793440000009</v>
      </c>
      <c r="J78" s="19">
        <v>13750</v>
      </c>
      <c r="K78" s="19">
        <f t="shared" si="14"/>
        <v>4.8508940683636368</v>
      </c>
      <c r="L78" s="25"/>
    </row>
    <row r="79" spans="1:13" s="2" customFormat="1" x14ac:dyDescent="0.25">
      <c r="A79" s="66" t="s">
        <v>38</v>
      </c>
      <c r="B79" s="67"/>
      <c r="C79" s="67"/>
      <c r="D79" s="67"/>
      <c r="E79" s="71"/>
      <c r="F79" s="6">
        <v>16414.25</v>
      </c>
      <c r="G79" s="6">
        <f t="shared" ref="G79" si="15">SUM(G71:G78)</f>
        <v>2.7800000000000002</v>
      </c>
      <c r="H79" s="6">
        <f>F79*G79*12</f>
        <v>547579.38000000012</v>
      </c>
      <c r="I79" s="6">
        <f>H79*1.302</f>
        <v>712948.35276000015</v>
      </c>
      <c r="J79" s="6">
        <v>13840</v>
      </c>
      <c r="K79" s="6">
        <f>I79/J79</f>
        <v>51.513609303468222</v>
      </c>
      <c r="L79" s="25"/>
    </row>
    <row r="80" spans="1:13" s="2" customFormat="1" x14ac:dyDescent="0.25">
      <c r="A80" s="29"/>
      <c r="B80" s="29"/>
      <c r="C80" s="29"/>
      <c r="D80" s="29"/>
      <c r="E80" s="29"/>
      <c r="F80" s="43"/>
      <c r="G80" s="43"/>
      <c r="H80" s="9"/>
      <c r="I80" s="9"/>
      <c r="J80" s="9"/>
      <c r="K80" s="43"/>
      <c r="L80" s="25"/>
    </row>
    <row r="81" spans="1:13" s="2" customFormat="1" x14ac:dyDescent="0.25">
      <c r="A81" s="57" t="s">
        <v>39</v>
      </c>
      <c r="B81" s="57"/>
      <c r="C81" s="57"/>
      <c r="D81" s="57"/>
      <c r="E81" s="57"/>
      <c r="F81" s="57"/>
      <c r="G81" s="57"/>
      <c r="H81" s="57"/>
      <c r="I81" s="57"/>
      <c r="J81" s="57"/>
      <c r="K81" s="57"/>
      <c r="L81" s="57"/>
    </row>
    <row r="82" spans="1:13" s="2" customFormat="1" ht="45.75" customHeight="1" x14ac:dyDescent="0.25">
      <c r="A82" s="63" t="s">
        <v>88</v>
      </c>
      <c r="B82" s="63"/>
      <c r="C82" s="63"/>
      <c r="D82" s="63"/>
      <c r="E82" s="63"/>
      <c r="F82" s="18" t="s">
        <v>17</v>
      </c>
      <c r="G82" s="18" t="s">
        <v>69</v>
      </c>
      <c r="H82" s="18" t="s">
        <v>68</v>
      </c>
      <c r="I82" s="18" t="s">
        <v>81</v>
      </c>
      <c r="J82" s="18" t="s">
        <v>76</v>
      </c>
      <c r="K82" s="21" t="s">
        <v>77</v>
      </c>
      <c r="L82" s="27"/>
    </row>
    <row r="83" spans="1:13" s="2" customFormat="1" x14ac:dyDescent="0.25">
      <c r="A83" s="56" t="s">
        <v>97</v>
      </c>
      <c r="B83" s="56"/>
      <c r="C83" s="56"/>
      <c r="D83" s="56"/>
      <c r="E83" s="56"/>
      <c r="F83" s="19" t="s">
        <v>40</v>
      </c>
      <c r="G83" s="19"/>
      <c r="H83" s="19"/>
      <c r="I83" s="19">
        <f>19200*37.3%</f>
        <v>7161.6</v>
      </c>
      <c r="J83" s="19">
        <v>13840</v>
      </c>
      <c r="K83" s="19">
        <f>I83/J83</f>
        <v>0.51745664739884401</v>
      </c>
      <c r="L83" s="25"/>
    </row>
    <row r="84" spans="1:13" s="2" customFormat="1" x14ac:dyDescent="0.25">
      <c r="A84" s="66" t="s">
        <v>41</v>
      </c>
      <c r="B84" s="67"/>
      <c r="C84" s="67"/>
      <c r="D84" s="67"/>
      <c r="E84" s="67"/>
      <c r="F84" s="67"/>
      <c r="G84" s="67"/>
      <c r="H84" s="67"/>
      <c r="I84" s="6">
        <f>I83</f>
        <v>7161.6</v>
      </c>
      <c r="J84" s="6">
        <v>13840</v>
      </c>
      <c r="K84" s="6">
        <f>I84/J83</f>
        <v>0.51745664739884401</v>
      </c>
      <c r="L84" s="25"/>
    </row>
    <row r="85" spans="1:13" s="2" customFormat="1" x14ac:dyDescent="0.25"/>
    <row r="86" spans="1:13" s="2" customFormat="1" x14ac:dyDescent="0.25">
      <c r="A86" s="57" t="s">
        <v>113</v>
      </c>
      <c r="B86" s="57"/>
      <c r="C86" s="57"/>
      <c r="D86" s="57"/>
      <c r="E86" s="57"/>
      <c r="F86" s="57"/>
      <c r="G86" s="57"/>
      <c r="H86" s="57"/>
      <c r="I86" s="57"/>
      <c r="J86" s="57"/>
      <c r="K86" s="57"/>
      <c r="L86" s="57"/>
    </row>
    <row r="87" spans="1:13" s="2" customFormat="1" ht="60" customHeight="1" x14ac:dyDescent="0.25">
      <c r="A87" s="63" t="s">
        <v>88</v>
      </c>
      <c r="B87" s="63"/>
      <c r="C87" s="63"/>
      <c r="D87" s="63"/>
      <c r="E87" s="63"/>
      <c r="F87" s="18" t="s">
        <v>17</v>
      </c>
      <c r="G87" s="18" t="s">
        <v>69</v>
      </c>
      <c r="H87" s="18" t="s">
        <v>68</v>
      </c>
      <c r="I87" s="18" t="s">
        <v>81</v>
      </c>
      <c r="J87" s="18" t="s">
        <v>76</v>
      </c>
      <c r="K87" s="21" t="s">
        <v>77</v>
      </c>
      <c r="L87" s="27"/>
    </row>
    <row r="88" spans="1:13" s="2" customFormat="1" x14ac:dyDescent="0.25">
      <c r="A88" s="56" t="s">
        <v>114</v>
      </c>
      <c r="B88" s="56"/>
      <c r="C88" s="56"/>
      <c r="D88" s="56"/>
      <c r="E88" s="56"/>
      <c r="F88" s="19" t="s">
        <v>40</v>
      </c>
      <c r="G88" s="19"/>
      <c r="H88" s="19"/>
      <c r="I88" s="19">
        <f>15600*37.3%</f>
        <v>5818.8</v>
      </c>
      <c r="J88" s="19">
        <v>13840</v>
      </c>
      <c r="K88" s="19">
        <f>I88/J88</f>
        <v>0.4204335260115607</v>
      </c>
      <c r="L88" s="25"/>
      <c r="M88" s="12"/>
    </row>
    <row r="89" spans="1:13" s="2" customFormat="1" x14ac:dyDescent="0.25">
      <c r="A89" s="66" t="s">
        <v>115</v>
      </c>
      <c r="B89" s="67"/>
      <c r="C89" s="67"/>
      <c r="D89" s="67"/>
      <c r="E89" s="67"/>
      <c r="F89" s="67"/>
      <c r="G89" s="67"/>
      <c r="H89" s="67"/>
      <c r="I89" s="6">
        <f>I88</f>
        <v>5818.8</v>
      </c>
      <c r="J89" s="6">
        <v>13840</v>
      </c>
      <c r="K89" s="6">
        <f>I89/J88</f>
        <v>0.4204335260115607</v>
      </c>
      <c r="L89" s="26"/>
    </row>
    <row r="90" spans="1:13" s="2" customFormat="1" x14ac:dyDescent="0.25">
      <c r="A90" s="29"/>
      <c r="B90" s="29"/>
      <c r="C90" s="29"/>
      <c r="D90" s="29"/>
      <c r="E90" s="29"/>
      <c r="F90" s="29"/>
      <c r="G90" s="29"/>
      <c r="H90" s="29"/>
      <c r="I90" s="9"/>
      <c r="J90" s="9"/>
      <c r="K90" s="9"/>
      <c r="L90" s="26"/>
    </row>
    <row r="91" spans="1:13" s="2" customFormat="1" x14ac:dyDescent="0.25">
      <c r="A91" s="57" t="s">
        <v>42</v>
      </c>
      <c r="B91" s="57"/>
      <c r="C91" s="57"/>
      <c r="D91" s="57"/>
      <c r="E91" s="57"/>
      <c r="F91" s="57"/>
      <c r="G91" s="57"/>
      <c r="H91" s="57"/>
      <c r="I91" s="57"/>
      <c r="J91" s="57"/>
      <c r="K91" s="57"/>
      <c r="L91" s="57"/>
    </row>
    <row r="92" spans="1:13" s="2" customFormat="1" hidden="1" x14ac:dyDescent="0.25"/>
    <row r="93" spans="1:13" s="2" customFormat="1" ht="15" customHeight="1" x14ac:dyDescent="0.25">
      <c r="A93" s="90" t="s">
        <v>43</v>
      </c>
      <c r="B93" s="91"/>
      <c r="C93" s="92"/>
      <c r="D93" s="58" t="s">
        <v>44</v>
      </c>
      <c r="E93" s="59"/>
      <c r="F93" s="59"/>
      <c r="G93" s="59"/>
      <c r="H93" s="59"/>
      <c r="I93" s="59"/>
      <c r="J93" s="60"/>
      <c r="K93" s="73" t="s">
        <v>55</v>
      </c>
      <c r="L93" s="74"/>
    </row>
    <row r="94" spans="1:13" s="2" customFormat="1" ht="30" x14ac:dyDescent="0.25">
      <c r="A94" s="19" t="s">
        <v>45</v>
      </c>
      <c r="B94" s="22" t="s">
        <v>46</v>
      </c>
      <c r="C94" s="19" t="s">
        <v>47</v>
      </c>
      <c r="D94" s="19" t="s">
        <v>48</v>
      </c>
      <c r="E94" s="19" t="s">
        <v>49</v>
      </c>
      <c r="F94" s="19" t="s">
        <v>50</v>
      </c>
      <c r="G94" s="19" t="s">
        <v>51</v>
      </c>
      <c r="H94" s="19" t="s">
        <v>52</v>
      </c>
      <c r="I94" s="19" t="s">
        <v>53</v>
      </c>
      <c r="J94" s="19" t="s">
        <v>54</v>
      </c>
      <c r="K94" s="75"/>
      <c r="L94" s="76"/>
    </row>
    <row r="95" spans="1:13" s="2" customFormat="1" x14ac:dyDescent="0.25">
      <c r="A95" s="19">
        <f>K34</f>
        <v>57.50385022612717</v>
      </c>
      <c r="B95" s="19"/>
      <c r="C95" s="19"/>
      <c r="D95" s="19">
        <f>K43</f>
        <v>10.416444355491331</v>
      </c>
      <c r="E95" s="19">
        <f>K52</f>
        <v>3.6208500664739889</v>
      </c>
      <c r="F95" s="19">
        <f>L66</f>
        <v>0</v>
      </c>
      <c r="G95" s="19">
        <f>K66</f>
        <v>0.80852601156069359</v>
      </c>
      <c r="H95" s="19">
        <f>K59</f>
        <v>6.3115758670520226</v>
      </c>
      <c r="I95" s="19">
        <f>K79</f>
        <v>51.513609303468222</v>
      </c>
      <c r="J95" s="19">
        <f>K84+K89</f>
        <v>0.9378901734104047</v>
      </c>
      <c r="K95" s="64">
        <f>SUM(A95:J95)</f>
        <v>131.11274600358385</v>
      </c>
      <c r="L95" s="65"/>
    </row>
    <row r="96" spans="1:13" s="2" customFormat="1" x14ac:dyDescent="0.25"/>
    <row r="97" spans="1:12" s="2" customFormat="1" x14ac:dyDescent="0.25">
      <c r="A97" s="39" t="s">
        <v>63</v>
      </c>
      <c r="B97" s="39"/>
      <c r="C97" s="39"/>
      <c r="D97" s="39"/>
      <c r="E97" s="39"/>
      <c r="F97" s="39" t="s">
        <v>64</v>
      </c>
      <c r="G97" s="39"/>
      <c r="I97" s="11">
        <f>I84+I79+I66+I59+I52+I43+I34+I89</f>
        <v>1814600.4046896002</v>
      </c>
      <c r="L97" s="11">
        <f>K95*J83</f>
        <v>1814600.4046896005</v>
      </c>
    </row>
    <row r="98" spans="1:12" s="2" customFormat="1" x14ac:dyDescent="0.25">
      <c r="A98" s="39"/>
      <c r="B98" s="39"/>
      <c r="C98" s="1"/>
      <c r="D98" s="1"/>
      <c r="E98" s="1"/>
      <c r="F98" s="1"/>
      <c r="G98" s="1"/>
    </row>
    <row r="99" spans="1:12" s="2" customFormat="1" x14ac:dyDescent="0.25">
      <c r="A99" s="39" t="s">
        <v>105</v>
      </c>
      <c r="B99" s="16"/>
    </row>
    <row r="100" spans="1:12" x14ac:dyDescent="0.25">
      <c r="A100" s="39" t="s">
        <v>65</v>
      </c>
      <c r="B100" s="16"/>
      <c r="C100" s="2"/>
      <c r="D100" s="2"/>
      <c r="E100" s="2"/>
      <c r="F100" s="2"/>
      <c r="G100" s="2"/>
      <c r="I100" s="2"/>
      <c r="J100" s="2"/>
      <c r="K100" s="2"/>
      <c r="L100" s="2"/>
    </row>
    <row r="101" spans="1:12" x14ac:dyDescent="0.25">
      <c r="H101" s="40"/>
    </row>
  </sheetData>
  <mergeCells count="83">
    <mergeCell ref="A89:H89"/>
    <mergeCell ref="A57:E57"/>
    <mergeCell ref="A58:E58"/>
    <mergeCell ref="A86:L86"/>
    <mergeCell ref="A87:E87"/>
    <mergeCell ref="A88:E88"/>
    <mergeCell ref="A82:E82"/>
    <mergeCell ref="A84:H84"/>
    <mergeCell ref="A79:E79"/>
    <mergeCell ref="G19:K19"/>
    <mergeCell ref="A4:F4"/>
    <mergeCell ref="A5:D5"/>
    <mergeCell ref="A8:M8"/>
    <mergeCell ref="A9:M9"/>
    <mergeCell ref="A10:M10"/>
    <mergeCell ref="A17:E17"/>
    <mergeCell ref="G17:K17"/>
    <mergeCell ref="A19:E19"/>
    <mergeCell ref="G21:K21"/>
    <mergeCell ref="A22:E22"/>
    <mergeCell ref="G22:K22"/>
    <mergeCell ref="A20:E20"/>
    <mergeCell ref="G20:K20"/>
    <mergeCell ref="A21:E21"/>
    <mergeCell ref="A36:L36"/>
    <mergeCell ref="G23:K23"/>
    <mergeCell ref="A24:E24"/>
    <mergeCell ref="G24:K24"/>
    <mergeCell ref="A26:E26"/>
    <mergeCell ref="G26:K26"/>
    <mergeCell ref="A25:E25"/>
    <mergeCell ref="G25:K25"/>
    <mergeCell ref="A23:E23"/>
    <mergeCell ref="A32:E32"/>
    <mergeCell ref="A33:E33"/>
    <mergeCell ref="A29:E29"/>
    <mergeCell ref="A30:E30"/>
    <mergeCell ref="A31:E31"/>
    <mergeCell ref="A34:E34"/>
    <mergeCell ref="A54:L54"/>
    <mergeCell ref="A55:E55"/>
    <mergeCell ref="A50:E50"/>
    <mergeCell ref="A37:E37"/>
    <mergeCell ref="A38:E38"/>
    <mergeCell ref="A39:E39"/>
    <mergeCell ref="A40:E40"/>
    <mergeCell ref="A41:E41"/>
    <mergeCell ref="A45:L45"/>
    <mergeCell ref="A46:E46"/>
    <mergeCell ref="A47:E47"/>
    <mergeCell ref="A49:E49"/>
    <mergeCell ref="A43:H43"/>
    <mergeCell ref="A42:E42"/>
    <mergeCell ref="A48:E48"/>
    <mergeCell ref="A52:H52"/>
    <mergeCell ref="K95:L95"/>
    <mergeCell ref="A18:E18"/>
    <mergeCell ref="G18:K18"/>
    <mergeCell ref="A91:L91"/>
    <mergeCell ref="A93:C93"/>
    <mergeCell ref="D93:J93"/>
    <mergeCell ref="K93:L94"/>
    <mergeCell ref="A77:E77"/>
    <mergeCell ref="A71:E71"/>
    <mergeCell ref="A81:L81"/>
    <mergeCell ref="A83:E83"/>
    <mergeCell ref="A76:E76"/>
    <mergeCell ref="A70:E70"/>
    <mergeCell ref="A51:E51"/>
    <mergeCell ref="A61:L61"/>
    <mergeCell ref="A63:E63"/>
    <mergeCell ref="A56:E56"/>
    <mergeCell ref="A59:H59"/>
    <mergeCell ref="A62:E62"/>
    <mergeCell ref="A66:H66"/>
    <mergeCell ref="A78:E78"/>
    <mergeCell ref="A65:E65"/>
    <mergeCell ref="A68:L68"/>
    <mergeCell ref="A75:E75"/>
    <mergeCell ref="A72:E72"/>
    <mergeCell ref="A73:E73"/>
    <mergeCell ref="A74:E74"/>
    <mergeCell ref="A64:E64"/>
  </mergeCells>
  <pageMargins left="0.31496062992125984" right="0.31496062992125984" top="0.55118110236220474" bottom="0.55118110236220474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СВОД</vt:lpstr>
      <vt:lpstr>Услуга №1 </vt:lpstr>
      <vt:lpstr>Работа №1</vt:lpstr>
      <vt:lpstr>Работа №2</vt:lpstr>
      <vt:lpstr>Работа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2020-03-02T09:43:47Z</dcterms:modified>
</cp:coreProperties>
</file>