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576" windowHeight="10752" activeTab="5"/>
  </bookViews>
  <sheets>
    <sheet name="Услуга №1" sheetId="13" r:id="rId1"/>
    <sheet name="Услуга №2" sheetId="14" r:id="rId2"/>
    <sheet name="Работа №1" sheetId="19" r:id="rId3"/>
    <sheet name="Работа №2" sheetId="20" r:id="rId4"/>
    <sheet name="Работа №3" sheetId="21" r:id="rId5"/>
    <sheet name="Работа №4" sheetId="22" r:id="rId6"/>
    <sheet name="ВСЕГО" sheetId="25" r:id="rId7"/>
  </sheets>
  <definedNames>
    <definedName name="_xlnm.Print_Area" localSheetId="2">'Работа №1'!$A$1:$M$193</definedName>
    <definedName name="_xlnm.Print_Area" localSheetId="3">'Работа №2'!$A$1:$M$193</definedName>
    <definedName name="_xlnm.Print_Area" localSheetId="4">'Работа №3'!$A$1:$M$193</definedName>
    <definedName name="_xlnm.Print_Area" localSheetId="5">'Работа №4'!$A$1:$M$195</definedName>
    <definedName name="_xlnm.Print_Area" localSheetId="0">'Услуга №1'!$A$1:$M$192</definedName>
    <definedName name="_xlnm.Print_Area" localSheetId="1">'Услуга №2'!$A$1:$M$194</definedName>
  </definedNames>
  <calcPr calcId="124519" refMode="R1C1"/>
</workbook>
</file>

<file path=xl/calcChain.xml><?xml version="1.0" encoding="utf-8"?>
<calcChain xmlns="http://schemas.openxmlformats.org/spreadsheetml/2006/main">
  <c r="K183" i="22"/>
  <c r="Q181"/>
  <c r="J176"/>
  <c r="H176"/>
  <c r="H175"/>
  <c r="J175" s="1"/>
  <c r="J174"/>
  <c r="H174"/>
  <c r="H177" s="1"/>
  <c r="J170"/>
  <c r="H170"/>
  <c r="H171" s="1"/>
  <c r="H169"/>
  <c r="J169" s="1"/>
  <c r="J171" s="1"/>
  <c r="F166"/>
  <c r="F165"/>
  <c r="H165" s="1"/>
  <c r="H166" s="1"/>
  <c r="H162"/>
  <c r="F162"/>
  <c r="H161"/>
  <c r="F161"/>
  <c r="P156"/>
  <c r="J156"/>
  <c r="H156"/>
  <c r="J155"/>
  <c r="M155" s="1"/>
  <c r="M154"/>
  <c r="M153"/>
  <c r="J152"/>
  <c r="I152"/>
  <c r="M152" s="1"/>
  <c r="H152"/>
  <c r="J151"/>
  <c r="I151"/>
  <c r="M151" s="1"/>
  <c r="H151"/>
  <c r="J150"/>
  <c r="I150"/>
  <c r="M150" s="1"/>
  <c r="H150"/>
  <c r="J149"/>
  <c r="I149"/>
  <c r="M149" s="1"/>
  <c r="H149"/>
  <c r="J148"/>
  <c r="I148"/>
  <c r="M148" s="1"/>
  <c r="H148"/>
  <c r="J147"/>
  <c r="I147"/>
  <c r="M147" s="1"/>
  <c r="H147"/>
  <c r="J146"/>
  <c r="I146"/>
  <c r="M146" s="1"/>
  <c r="H146"/>
  <c r="J145"/>
  <c r="I145"/>
  <c r="M145" s="1"/>
  <c r="H145"/>
  <c r="J144"/>
  <c r="I144"/>
  <c r="M144" s="1"/>
  <c r="H144"/>
  <c r="J143"/>
  <c r="I143"/>
  <c r="M143" s="1"/>
  <c r="H143"/>
  <c r="J142"/>
  <c r="I142"/>
  <c r="M142" s="1"/>
  <c r="H142"/>
  <c r="J141"/>
  <c r="I141"/>
  <c r="M141" s="1"/>
  <c r="H141"/>
  <c r="J140"/>
  <c r="I140"/>
  <c r="M140" s="1"/>
  <c r="H140"/>
  <c r="J139"/>
  <c r="I139"/>
  <c r="M139" s="1"/>
  <c r="H139"/>
  <c r="J138"/>
  <c r="I138"/>
  <c r="M138" s="1"/>
  <c r="H138"/>
  <c r="J137"/>
  <c r="I137"/>
  <c r="M137" s="1"/>
  <c r="H137"/>
  <c r="J136"/>
  <c r="I136"/>
  <c r="M136" s="1"/>
  <c r="H136"/>
  <c r="J135"/>
  <c r="I135"/>
  <c r="M135" s="1"/>
  <c r="H135"/>
  <c r="J134"/>
  <c r="I134"/>
  <c r="M134" s="1"/>
  <c r="H134"/>
  <c r="J133"/>
  <c r="I133"/>
  <c r="M133" s="1"/>
  <c r="H133"/>
  <c r="K132"/>
  <c r="J132"/>
  <c r="I132"/>
  <c r="M132" s="1"/>
  <c r="H132"/>
  <c r="M131"/>
  <c r="J131"/>
  <c r="I131"/>
  <c r="H131"/>
  <c r="P130"/>
  <c r="N130"/>
  <c r="K130"/>
  <c r="J130"/>
  <c r="E130"/>
  <c r="P129"/>
  <c r="N129"/>
  <c r="H124"/>
  <c r="F124"/>
  <c r="F123"/>
  <c r="H123" s="1"/>
  <c r="H125" s="1"/>
  <c r="I183" s="1"/>
  <c r="F118"/>
  <c r="H118" s="1"/>
  <c r="H119" s="1"/>
  <c r="J183" s="1"/>
  <c r="F113"/>
  <c r="H113" s="1"/>
  <c r="H114" s="1"/>
  <c r="H183" s="1"/>
  <c r="G108"/>
  <c r="I108" s="1"/>
  <c r="I107"/>
  <c r="G107"/>
  <c r="G106"/>
  <c r="I106" s="1"/>
  <c r="I105"/>
  <c r="G105"/>
  <c r="G104"/>
  <c r="I104" s="1"/>
  <c r="I103"/>
  <c r="G103"/>
  <c r="G109" s="1"/>
  <c r="I98"/>
  <c r="G98"/>
  <c r="G97"/>
  <c r="I97" s="1"/>
  <c r="I96"/>
  <c r="G96"/>
  <c r="G95"/>
  <c r="I95" s="1"/>
  <c r="I94"/>
  <c r="G94"/>
  <c r="G93"/>
  <c r="I93" s="1"/>
  <c r="H88"/>
  <c r="J88" s="1"/>
  <c r="J87"/>
  <c r="H87"/>
  <c r="H86"/>
  <c r="J86" s="1"/>
  <c r="H85"/>
  <c r="J85" s="1"/>
  <c r="F85"/>
  <c r="J84"/>
  <c r="H84"/>
  <c r="F84"/>
  <c r="J83"/>
  <c r="H83"/>
  <c r="H89" s="1"/>
  <c r="H78"/>
  <c r="J77"/>
  <c r="H77"/>
  <c r="H76"/>
  <c r="J76" s="1"/>
  <c r="J78" s="1"/>
  <c r="D183" s="1"/>
  <c r="H70"/>
  <c r="K69"/>
  <c r="J69"/>
  <c r="J70" s="1"/>
  <c r="A183" s="1"/>
  <c r="E69"/>
  <c r="M62"/>
  <c r="M61"/>
  <c r="H61"/>
  <c r="H60"/>
  <c r="M60" s="1"/>
  <c r="M59"/>
  <c r="H59"/>
  <c r="H58"/>
  <c r="M58" s="1"/>
  <c r="M57"/>
  <c r="H57"/>
  <c r="H56"/>
  <c r="M56" s="1"/>
  <c r="M55"/>
  <c r="H55"/>
  <c r="H54"/>
  <c r="M54" s="1"/>
  <c r="M53"/>
  <c r="H53"/>
  <c r="H52"/>
  <c r="M52" s="1"/>
  <c r="M51"/>
  <c r="H51"/>
  <c r="H50"/>
  <c r="M50" s="1"/>
  <c r="M49"/>
  <c r="H49"/>
  <c r="H48"/>
  <c r="M48" s="1"/>
  <c r="M47"/>
  <c r="H47"/>
  <c r="H46"/>
  <c r="M46" s="1"/>
  <c r="M45"/>
  <c r="H45"/>
  <c r="H44"/>
  <c r="M44" s="1"/>
  <c r="E39"/>
  <c r="N38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F19"/>
  <c r="L18"/>
  <c r="F18"/>
  <c r="L17"/>
  <c r="F17"/>
  <c r="J194" i="21"/>
  <c r="H169"/>
  <c r="H176"/>
  <c r="H175"/>
  <c r="H174"/>
  <c r="H170"/>
  <c r="F165"/>
  <c r="F161"/>
  <c r="F124"/>
  <c r="F123"/>
  <c r="F118"/>
  <c r="F113"/>
  <c r="G108"/>
  <c r="G107"/>
  <c r="G106"/>
  <c r="G105"/>
  <c r="G104"/>
  <c r="G103"/>
  <c r="G98"/>
  <c r="G97"/>
  <c r="G96"/>
  <c r="G95"/>
  <c r="G94"/>
  <c r="G93"/>
  <c r="H88"/>
  <c r="H87"/>
  <c r="H86"/>
  <c r="H85"/>
  <c r="H84"/>
  <c r="H83"/>
  <c r="H77"/>
  <c r="H76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F19"/>
  <c r="F18"/>
  <c r="F17"/>
  <c r="P184" i="20"/>
  <c r="J194"/>
  <c r="H176"/>
  <c r="H175"/>
  <c r="H174"/>
  <c r="H170"/>
  <c r="H169"/>
  <c r="F165"/>
  <c r="F161"/>
  <c r="F124"/>
  <c r="F123"/>
  <c r="F118"/>
  <c r="F113"/>
  <c r="G108"/>
  <c r="G107"/>
  <c r="G106"/>
  <c r="G105"/>
  <c r="G104"/>
  <c r="G103"/>
  <c r="G98"/>
  <c r="G97"/>
  <c r="G96"/>
  <c r="G95"/>
  <c r="G94"/>
  <c r="G93"/>
  <c r="H88"/>
  <c r="H87"/>
  <c r="H86"/>
  <c r="H85"/>
  <c r="H84"/>
  <c r="H83"/>
  <c r="H77"/>
  <c r="H76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F19"/>
  <c r="F18"/>
  <c r="F17"/>
  <c r="I109" i="22" l="1"/>
  <c r="G183" s="1"/>
  <c r="M183" s="1"/>
  <c r="P184" s="1"/>
  <c r="J177"/>
  <c r="J89"/>
  <c r="E183" s="1"/>
  <c r="L183"/>
  <c r="M63"/>
  <c r="I99"/>
  <c r="F183" s="1"/>
  <c r="F86"/>
  <c r="F83"/>
  <c r="F114"/>
  <c r="F119"/>
  <c r="G99"/>
  <c r="J185" s="1"/>
  <c r="F125"/>
  <c r="F165" i="19"/>
  <c r="H176"/>
  <c r="H175"/>
  <c r="H174"/>
  <c r="H170"/>
  <c r="H169"/>
  <c r="F161"/>
  <c r="F124"/>
  <c r="F123"/>
  <c r="F118"/>
  <c r="F113"/>
  <c r="G108"/>
  <c r="G107"/>
  <c r="G106"/>
  <c r="G105"/>
  <c r="G104"/>
  <c r="G103"/>
  <c r="G98"/>
  <c r="G97"/>
  <c r="G96"/>
  <c r="G95"/>
  <c r="G94"/>
  <c r="G93"/>
  <c r="H88"/>
  <c r="H87"/>
  <c r="H86"/>
  <c r="H85"/>
  <c r="H84"/>
  <c r="H83"/>
  <c r="H77"/>
  <c r="H76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F19"/>
  <c r="F18"/>
  <c r="F17"/>
  <c r="F123" i="14"/>
  <c r="F124"/>
  <c r="H177"/>
  <c r="H176"/>
  <c r="H175"/>
  <c r="H171"/>
  <c r="H170"/>
  <c r="F165"/>
  <c r="F161"/>
  <c r="F118"/>
  <c r="F113"/>
  <c r="G108"/>
  <c r="G107"/>
  <c r="G106"/>
  <c r="G105"/>
  <c r="G104"/>
  <c r="G103"/>
  <c r="G98"/>
  <c r="G97"/>
  <c r="G96"/>
  <c r="G95"/>
  <c r="G94"/>
  <c r="G93"/>
  <c r="H88"/>
  <c r="H87"/>
  <c r="H86"/>
  <c r="H85"/>
  <c r="H84"/>
  <c r="H83"/>
  <c r="H77"/>
  <c r="H76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F19"/>
  <c r="F18"/>
  <c r="F17"/>
  <c r="N184" i="13"/>
  <c r="M184"/>
  <c r="P185" s="1"/>
  <c r="F124"/>
  <c r="H177"/>
  <c r="H176"/>
  <c r="H175"/>
  <c r="H171"/>
  <c r="H170"/>
  <c r="F166"/>
  <c r="F162"/>
  <c r="F123"/>
  <c r="F118"/>
  <c r="F113"/>
  <c r="G108"/>
  <c r="G107"/>
  <c r="G106"/>
  <c r="G105"/>
  <c r="G104"/>
  <c r="G103"/>
  <c r="G98"/>
  <c r="G97"/>
  <c r="G96"/>
  <c r="G95"/>
  <c r="G94"/>
  <c r="G93"/>
  <c r="H88"/>
  <c r="H87"/>
  <c r="H86"/>
  <c r="H85"/>
  <c r="H84"/>
  <c r="H83"/>
  <c r="H76"/>
  <c r="H7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F19"/>
  <c r="F18"/>
  <c r="F17"/>
  <c r="E69" i="20" l="1"/>
  <c r="O37" i="13" l="1"/>
  <c r="N37"/>
  <c r="H165" i="21"/>
  <c r="H166" s="1"/>
  <c r="F166"/>
  <c r="H165" i="20"/>
  <c r="H166" s="1"/>
  <c r="F166" i="19"/>
  <c r="H165"/>
  <c r="H166" s="1"/>
  <c r="I166" i="14"/>
  <c r="F166"/>
  <c r="F167" i="13"/>
  <c r="F166" i="20" l="1"/>
  <c r="H165" i="14"/>
  <c r="H166" s="1"/>
  <c r="H166" i="13"/>
  <c r="H167" s="1"/>
  <c r="G86" l="1"/>
  <c r="G85"/>
  <c r="K130" i="21" l="1"/>
  <c r="K130" i="20"/>
  <c r="K69"/>
  <c r="K130" i="19"/>
  <c r="K69"/>
  <c r="K130" i="13"/>
  <c r="K69"/>
  <c r="E69" i="21" l="1"/>
  <c r="H161"/>
  <c r="H162" s="1"/>
  <c r="J196" i="22" l="1"/>
  <c r="F162" i="21"/>
  <c r="J170" l="1"/>
  <c r="J176"/>
  <c r="J174"/>
  <c r="F119"/>
  <c r="H124"/>
  <c r="H113"/>
  <c r="H114" s="1"/>
  <c r="H183" s="1"/>
  <c r="I108"/>
  <c r="I107"/>
  <c r="I106"/>
  <c r="I105"/>
  <c r="I104"/>
  <c r="I103"/>
  <c r="I98"/>
  <c r="I96"/>
  <c r="I95"/>
  <c r="I94"/>
  <c r="J88"/>
  <c r="J87"/>
  <c r="F83"/>
  <c r="J77"/>
  <c r="J76"/>
  <c r="Q181"/>
  <c r="J155"/>
  <c r="M155" s="1"/>
  <c r="M154"/>
  <c r="M153"/>
  <c r="J152"/>
  <c r="H152"/>
  <c r="I152" s="1"/>
  <c r="J151"/>
  <c r="H151"/>
  <c r="I151" s="1"/>
  <c r="J150"/>
  <c r="H150"/>
  <c r="I150" s="1"/>
  <c r="J149"/>
  <c r="H149"/>
  <c r="I149" s="1"/>
  <c r="J148"/>
  <c r="H148"/>
  <c r="I148" s="1"/>
  <c r="J147"/>
  <c r="I147"/>
  <c r="H147"/>
  <c r="J146"/>
  <c r="H146"/>
  <c r="I146" s="1"/>
  <c r="J145"/>
  <c r="H145"/>
  <c r="I145" s="1"/>
  <c r="J144"/>
  <c r="H144"/>
  <c r="I144" s="1"/>
  <c r="J143"/>
  <c r="H143"/>
  <c r="I143" s="1"/>
  <c r="J142"/>
  <c r="I142"/>
  <c r="H142"/>
  <c r="J141"/>
  <c r="I141"/>
  <c r="H141"/>
  <c r="J140"/>
  <c r="H140"/>
  <c r="I140" s="1"/>
  <c r="J139"/>
  <c r="I139"/>
  <c r="H139"/>
  <c r="J138"/>
  <c r="I138"/>
  <c r="H138"/>
  <c r="J137"/>
  <c r="H137"/>
  <c r="I137" s="1"/>
  <c r="M137" s="1"/>
  <c r="J136"/>
  <c r="H136"/>
  <c r="I136" s="1"/>
  <c r="J135"/>
  <c r="H135"/>
  <c r="I135" s="1"/>
  <c r="J134"/>
  <c r="H134"/>
  <c r="I134" s="1"/>
  <c r="J133"/>
  <c r="H133"/>
  <c r="I133" s="1"/>
  <c r="J132"/>
  <c r="H132"/>
  <c r="K132" s="1"/>
  <c r="J131"/>
  <c r="H131"/>
  <c r="I131" s="1"/>
  <c r="H156"/>
  <c r="E130"/>
  <c r="N129"/>
  <c r="N130" s="1"/>
  <c r="P130" s="1"/>
  <c r="I97"/>
  <c r="M62"/>
  <c r="H61"/>
  <c r="M61" s="1"/>
  <c r="M60"/>
  <c r="H60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H45"/>
  <c r="M45" s="1"/>
  <c r="H44"/>
  <c r="M44" s="1"/>
  <c r="E39"/>
  <c r="J170" i="20"/>
  <c r="J176"/>
  <c r="J174"/>
  <c r="F162"/>
  <c r="H124"/>
  <c r="F119"/>
  <c r="H113"/>
  <c r="H114" s="1"/>
  <c r="H183" s="1"/>
  <c r="I108"/>
  <c r="I107"/>
  <c r="I106"/>
  <c r="I105"/>
  <c r="I104"/>
  <c r="I103"/>
  <c r="I98"/>
  <c r="I97"/>
  <c r="I96"/>
  <c r="I95"/>
  <c r="J88"/>
  <c r="J87"/>
  <c r="J77"/>
  <c r="J76"/>
  <c r="Q181"/>
  <c r="J155"/>
  <c r="M155" s="1"/>
  <c r="M154"/>
  <c r="M153"/>
  <c r="J152"/>
  <c r="H152"/>
  <c r="I152" s="1"/>
  <c r="J151"/>
  <c r="H151"/>
  <c r="I151" s="1"/>
  <c r="J150"/>
  <c r="H150"/>
  <c r="I150" s="1"/>
  <c r="J149"/>
  <c r="I149"/>
  <c r="H149"/>
  <c r="J148"/>
  <c r="H148"/>
  <c r="I148" s="1"/>
  <c r="J147"/>
  <c r="H147"/>
  <c r="I147" s="1"/>
  <c r="J146"/>
  <c r="I146"/>
  <c r="H146"/>
  <c r="J145"/>
  <c r="H145"/>
  <c r="I145" s="1"/>
  <c r="J144"/>
  <c r="H144"/>
  <c r="I144" s="1"/>
  <c r="J143"/>
  <c r="H143"/>
  <c r="I143" s="1"/>
  <c r="J142"/>
  <c r="H142"/>
  <c r="I142" s="1"/>
  <c r="J141"/>
  <c r="H141"/>
  <c r="I141" s="1"/>
  <c r="J140"/>
  <c r="H140"/>
  <c r="I140" s="1"/>
  <c r="J139"/>
  <c r="I139"/>
  <c r="H139"/>
  <c r="J138"/>
  <c r="H138"/>
  <c r="I138" s="1"/>
  <c r="J137"/>
  <c r="H137"/>
  <c r="I137" s="1"/>
  <c r="J136"/>
  <c r="H136"/>
  <c r="I136" s="1"/>
  <c r="J135"/>
  <c r="H135"/>
  <c r="I135" s="1"/>
  <c r="J134"/>
  <c r="H134"/>
  <c r="I134" s="1"/>
  <c r="J133"/>
  <c r="H133"/>
  <c r="I133" s="1"/>
  <c r="J132"/>
  <c r="H132"/>
  <c r="I132" s="1"/>
  <c r="J131"/>
  <c r="H131"/>
  <c r="I131" s="1"/>
  <c r="E130"/>
  <c r="N129"/>
  <c r="N130" s="1"/>
  <c r="P130" s="1"/>
  <c r="I93"/>
  <c r="J69"/>
  <c r="J70" s="1"/>
  <c r="A183" s="1"/>
  <c r="M62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M48"/>
  <c r="H48"/>
  <c r="H47"/>
  <c r="M47" s="1"/>
  <c r="H46"/>
  <c r="M46" s="1"/>
  <c r="H45"/>
  <c r="M45" s="1"/>
  <c r="H44"/>
  <c r="M44" s="1"/>
  <c r="E39"/>
  <c r="F86" i="19"/>
  <c r="F85"/>
  <c r="F84"/>
  <c r="F83"/>
  <c r="J69" i="21" l="1"/>
  <c r="J70" s="1"/>
  <c r="A183" s="1"/>
  <c r="K69"/>
  <c r="J86"/>
  <c r="F86"/>
  <c r="J85"/>
  <c r="F85"/>
  <c r="J84"/>
  <c r="F84"/>
  <c r="J83" i="20"/>
  <c r="F83"/>
  <c r="J86"/>
  <c r="F86"/>
  <c r="J84"/>
  <c r="F84"/>
  <c r="M148"/>
  <c r="M152"/>
  <c r="J85"/>
  <c r="F85"/>
  <c r="M145"/>
  <c r="M149"/>
  <c r="P156" i="21"/>
  <c r="M140"/>
  <c r="M149"/>
  <c r="M133"/>
  <c r="H156" i="20"/>
  <c r="P156" s="1"/>
  <c r="M141" i="21"/>
  <c r="M145"/>
  <c r="M148"/>
  <c r="M63"/>
  <c r="M136"/>
  <c r="M144"/>
  <c r="M138"/>
  <c r="M142"/>
  <c r="M146"/>
  <c r="M152"/>
  <c r="M139"/>
  <c r="M143"/>
  <c r="M147"/>
  <c r="M134"/>
  <c r="M150"/>
  <c r="M135"/>
  <c r="M134" i="20"/>
  <c r="M137"/>
  <c r="M140"/>
  <c r="M142"/>
  <c r="M138"/>
  <c r="M146"/>
  <c r="M150"/>
  <c r="H118"/>
  <c r="H119" s="1"/>
  <c r="J183" s="1"/>
  <c r="M133"/>
  <c r="M136"/>
  <c r="M141"/>
  <c r="M144"/>
  <c r="M147"/>
  <c r="M151"/>
  <c r="M143"/>
  <c r="M135"/>
  <c r="M139"/>
  <c r="M63"/>
  <c r="H118" i="21"/>
  <c r="H119" s="1"/>
  <c r="J183" s="1"/>
  <c r="M131"/>
  <c r="M151"/>
  <c r="J130"/>
  <c r="J156" s="1"/>
  <c r="K183" s="1"/>
  <c r="H70"/>
  <c r="H177"/>
  <c r="J175"/>
  <c r="J177" s="1"/>
  <c r="H171"/>
  <c r="F125"/>
  <c r="H123"/>
  <c r="H125" s="1"/>
  <c r="I183" s="1"/>
  <c r="F114"/>
  <c r="G99"/>
  <c r="I93"/>
  <c r="I99" s="1"/>
  <c r="F183" s="1"/>
  <c r="H89"/>
  <c r="H78"/>
  <c r="J78"/>
  <c r="D183" s="1"/>
  <c r="I109"/>
  <c r="G183" s="1"/>
  <c r="G109"/>
  <c r="J83"/>
  <c r="P129"/>
  <c r="I132"/>
  <c r="M132" s="1"/>
  <c r="J169"/>
  <c r="J171" s="1"/>
  <c r="H171" i="20"/>
  <c r="J130"/>
  <c r="J156" s="1"/>
  <c r="K183" s="1"/>
  <c r="H70"/>
  <c r="M132"/>
  <c r="M131"/>
  <c r="H177"/>
  <c r="J175"/>
  <c r="J177" s="1"/>
  <c r="F125"/>
  <c r="H123"/>
  <c r="H125" s="1"/>
  <c r="I183" s="1"/>
  <c r="F114"/>
  <c r="G99"/>
  <c r="I94"/>
  <c r="I99" s="1"/>
  <c r="F183" s="1"/>
  <c r="H78"/>
  <c r="J78"/>
  <c r="D183" s="1"/>
  <c r="I109"/>
  <c r="G183" s="1"/>
  <c r="H89"/>
  <c r="G109"/>
  <c r="K132"/>
  <c r="P129"/>
  <c r="H161"/>
  <c r="H162" s="1"/>
  <c r="J169"/>
  <c r="J171" s="1"/>
  <c r="Q181" i="19"/>
  <c r="J176"/>
  <c r="J175"/>
  <c r="J174"/>
  <c r="J170"/>
  <c r="J169"/>
  <c r="F162"/>
  <c r="H161"/>
  <c r="H162" s="1"/>
  <c r="J155"/>
  <c r="M155" s="1"/>
  <c r="M154"/>
  <c r="M153"/>
  <c r="J152"/>
  <c r="H152"/>
  <c r="I152" s="1"/>
  <c r="J151"/>
  <c r="H151"/>
  <c r="I151" s="1"/>
  <c r="J150"/>
  <c r="H150"/>
  <c r="I150" s="1"/>
  <c r="J149"/>
  <c r="H149"/>
  <c r="I149" s="1"/>
  <c r="J148"/>
  <c r="H148"/>
  <c r="I148" s="1"/>
  <c r="J147"/>
  <c r="H147"/>
  <c r="I147" s="1"/>
  <c r="J146"/>
  <c r="H146"/>
  <c r="I146" s="1"/>
  <c r="J145"/>
  <c r="H145"/>
  <c r="I145" s="1"/>
  <c r="J144"/>
  <c r="H144"/>
  <c r="I144" s="1"/>
  <c r="J143"/>
  <c r="H143"/>
  <c r="I143" s="1"/>
  <c r="J142"/>
  <c r="H142"/>
  <c r="I142" s="1"/>
  <c r="J141"/>
  <c r="H141"/>
  <c r="I141" s="1"/>
  <c r="J140"/>
  <c r="H140"/>
  <c r="I140" s="1"/>
  <c r="J139"/>
  <c r="H139"/>
  <c r="I139" s="1"/>
  <c r="J138"/>
  <c r="H138"/>
  <c r="I138" s="1"/>
  <c r="J137"/>
  <c r="H137"/>
  <c r="I137" s="1"/>
  <c r="J136"/>
  <c r="I136"/>
  <c r="H136"/>
  <c r="J135"/>
  <c r="H135"/>
  <c r="I135" s="1"/>
  <c r="J134"/>
  <c r="H134"/>
  <c r="I134" s="1"/>
  <c r="J133"/>
  <c r="H133"/>
  <c r="I133" s="1"/>
  <c r="J132"/>
  <c r="H132"/>
  <c r="K132" s="1"/>
  <c r="J131"/>
  <c r="H131"/>
  <c r="I131" s="1"/>
  <c r="E130"/>
  <c r="N129"/>
  <c r="N130" s="1"/>
  <c r="P130" s="1"/>
  <c r="F125"/>
  <c r="H124"/>
  <c r="H123"/>
  <c r="H118"/>
  <c r="H119" s="1"/>
  <c r="J183" s="1"/>
  <c r="H113"/>
  <c r="H114" s="1"/>
  <c r="H183" s="1"/>
  <c r="I108"/>
  <c r="I107"/>
  <c r="I106"/>
  <c r="I105"/>
  <c r="I104"/>
  <c r="I103"/>
  <c r="G109"/>
  <c r="I98"/>
  <c r="I97"/>
  <c r="I96"/>
  <c r="I95"/>
  <c r="I94"/>
  <c r="I93"/>
  <c r="J88"/>
  <c r="J87"/>
  <c r="J86"/>
  <c r="J85"/>
  <c r="J84"/>
  <c r="J83"/>
  <c r="H89"/>
  <c r="J77"/>
  <c r="J76"/>
  <c r="E69"/>
  <c r="M62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H45"/>
  <c r="M45" s="1"/>
  <c r="H44"/>
  <c r="M44" s="1"/>
  <c r="E39"/>
  <c r="E130" i="14"/>
  <c r="L183" i="21" l="1"/>
  <c r="J89" i="20"/>
  <c r="E183" s="1"/>
  <c r="J185" i="21"/>
  <c r="J89"/>
  <c r="E183" s="1"/>
  <c r="L183" i="20"/>
  <c r="J185"/>
  <c r="J200" s="1"/>
  <c r="M150" i="19"/>
  <c r="H198" i="21"/>
  <c r="H196"/>
  <c r="M135" i="19"/>
  <c r="M151"/>
  <c r="M134"/>
  <c r="M137"/>
  <c r="M139"/>
  <c r="M143"/>
  <c r="M131"/>
  <c r="M142"/>
  <c r="M145"/>
  <c r="M147"/>
  <c r="M133"/>
  <c r="M149"/>
  <c r="M138"/>
  <c r="M141"/>
  <c r="M146"/>
  <c r="I132"/>
  <c r="N38" i="21"/>
  <c r="N38" i="20"/>
  <c r="H156" i="19"/>
  <c r="P156" s="1"/>
  <c r="M132"/>
  <c r="M136"/>
  <c r="M140"/>
  <c r="M144"/>
  <c r="M148"/>
  <c r="M152"/>
  <c r="P129"/>
  <c r="J69"/>
  <c r="J70" s="1"/>
  <c r="A183" s="1"/>
  <c r="J130"/>
  <c r="J156" s="1"/>
  <c r="K183" s="1"/>
  <c r="J78"/>
  <c r="D183" s="1"/>
  <c r="J177"/>
  <c r="L183" s="1"/>
  <c r="H125"/>
  <c r="I183" s="1"/>
  <c r="I99"/>
  <c r="F183" s="1"/>
  <c r="N38"/>
  <c r="M63"/>
  <c r="J89"/>
  <c r="E183" s="1"/>
  <c r="I109"/>
  <c r="G183" s="1"/>
  <c r="J171"/>
  <c r="G99"/>
  <c r="H70"/>
  <c r="F114"/>
  <c r="F119"/>
  <c r="H171"/>
  <c r="H177"/>
  <c r="H78"/>
  <c r="J201" i="21" l="1"/>
  <c r="J195"/>
  <c r="M183"/>
  <c r="P184" s="1"/>
  <c r="M183" i="20"/>
  <c r="J185" i="19"/>
  <c r="M183"/>
  <c r="P184" s="1"/>
  <c r="J198" l="1"/>
  <c r="J194"/>
  <c r="J195" s="1"/>
  <c r="E130" i="13"/>
  <c r="J177" i="14" l="1"/>
  <c r="J176"/>
  <c r="J171"/>
  <c r="J170"/>
  <c r="F125"/>
  <c r="H123"/>
  <c r="F119"/>
  <c r="F114"/>
  <c r="I108"/>
  <c r="I107"/>
  <c r="I106"/>
  <c r="I105"/>
  <c r="I104"/>
  <c r="I98"/>
  <c r="I97"/>
  <c r="I96"/>
  <c r="I95"/>
  <c r="J88"/>
  <c r="J87"/>
  <c r="F85"/>
  <c r="F83"/>
  <c r="H70"/>
  <c r="Q182"/>
  <c r="J175"/>
  <c r="F162"/>
  <c r="H161"/>
  <c r="H162" s="1"/>
  <c r="J155"/>
  <c r="M155" s="1"/>
  <c r="M154"/>
  <c r="M153"/>
  <c r="J152"/>
  <c r="H152"/>
  <c r="I152" s="1"/>
  <c r="M152" s="1"/>
  <c r="J151"/>
  <c r="H151"/>
  <c r="I151" s="1"/>
  <c r="J150"/>
  <c r="H150"/>
  <c r="I150" s="1"/>
  <c r="M150" s="1"/>
  <c r="J149"/>
  <c r="H149"/>
  <c r="I149" s="1"/>
  <c r="J148"/>
  <c r="H148"/>
  <c r="I148" s="1"/>
  <c r="M148" s="1"/>
  <c r="J147"/>
  <c r="H147"/>
  <c r="I147" s="1"/>
  <c r="J146"/>
  <c r="H146"/>
  <c r="I146" s="1"/>
  <c r="M146" s="1"/>
  <c r="J145"/>
  <c r="H145"/>
  <c r="I145" s="1"/>
  <c r="J144"/>
  <c r="H144"/>
  <c r="I144" s="1"/>
  <c r="M144" s="1"/>
  <c r="J143"/>
  <c r="H143"/>
  <c r="I143" s="1"/>
  <c r="J142"/>
  <c r="H142"/>
  <c r="I142" s="1"/>
  <c r="M142" s="1"/>
  <c r="J141"/>
  <c r="H141"/>
  <c r="I141" s="1"/>
  <c r="J140"/>
  <c r="H140"/>
  <c r="I140" s="1"/>
  <c r="M140" s="1"/>
  <c r="J139"/>
  <c r="H139"/>
  <c r="I139" s="1"/>
  <c r="J138"/>
  <c r="H138"/>
  <c r="I138" s="1"/>
  <c r="M138" s="1"/>
  <c r="J137"/>
  <c r="H137"/>
  <c r="I137" s="1"/>
  <c r="J136"/>
  <c r="H136"/>
  <c r="I136" s="1"/>
  <c r="M136" s="1"/>
  <c r="J135"/>
  <c r="H135"/>
  <c r="I135" s="1"/>
  <c r="J134"/>
  <c r="H134"/>
  <c r="I134" s="1"/>
  <c r="M134" s="1"/>
  <c r="J133"/>
  <c r="H133"/>
  <c r="I133" s="1"/>
  <c r="J132"/>
  <c r="H132"/>
  <c r="K132" s="1"/>
  <c r="J131"/>
  <c r="H131"/>
  <c r="I131" s="1"/>
  <c r="K130"/>
  <c r="N129"/>
  <c r="N130" s="1"/>
  <c r="P130" s="1"/>
  <c r="I103"/>
  <c r="I94"/>
  <c r="I93"/>
  <c r="J85"/>
  <c r="J77"/>
  <c r="J76"/>
  <c r="E69"/>
  <c r="M62"/>
  <c r="H61"/>
  <c r="M61" s="1"/>
  <c r="H60"/>
  <c r="M60" s="1"/>
  <c r="H59"/>
  <c r="M59" s="1"/>
  <c r="M58"/>
  <c r="H58"/>
  <c r="H57"/>
  <c r="M57" s="1"/>
  <c r="H56"/>
  <c r="M56" s="1"/>
  <c r="H55"/>
  <c r="M55" s="1"/>
  <c r="M54"/>
  <c r="H54"/>
  <c r="H53"/>
  <c r="M53" s="1"/>
  <c r="H52"/>
  <c r="M52" s="1"/>
  <c r="H51"/>
  <c r="M51" s="1"/>
  <c r="H50"/>
  <c r="M50" s="1"/>
  <c r="H49"/>
  <c r="M49" s="1"/>
  <c r="M48"/>
  <c r="H48"/>
  <c r="H47"/>
  <c r="M47" s="1"/>
  <c r="H46"/>
  <c r="M46" s="1"/>
  <c r="H45"/>
  <c r="M45" s="1"/>
  <c r="H44"/>
  <c r="M44" s="1"/>
  <c r="E39"/>
  <c r="J84" l="1"/>
  <c r="F84"/>
  <c r="J86"/>
  <c r="F86"/>
  <c r="H78"/>
  <c r="N38"/>
  <c r="H124"/>
  <c r="H125" s="1"/>
  <c r="I184" s="1"/>
  <c r="J130"/>
  <c r="J156" s="1"/>
  <c r="K184" s="1"/>
  <c r="M63"/>
  <c r="M133"/>
  <c r="M137"/>
  <c r="M141"/>
  <c r="M147"/>
  <c r="M151"/>
  <c r="P129"/>
  <c r="M131"/>
  <c r="H156"/>
  <c r="P156" s="1"/>
  <c r="M135"/>
  <c r="M139"/>
  <c r="M143"/>
  <c r="M145"/>
  <c r="M149"/>
  <c r="I132"/>
  <c r="M132" s="1"/>
  <c r="H178"/>
  <c r="J178"/>
  <c r="J172"/>
  <c r="L184" s="1"/>
  <c r="H172"/>
  <c r="H118"/>
  <c r="H119" s="1"/>
  <c r="J184" s="1"/>
  <c r="H113"/>
  <c r="H114" s="1"/>
  <c r="H184" s="1"/>
  <c r="G109"/>
  <c r="I109"/>
  <c r="G184" s="1"/>
  <c r="G99"/>
  <c r="I99"/>
  <c r="F184" s="1"/>
  <c r="H89"/>
  <c r="J83"/>
  <c r="J78"/>
  <c r="D184" s="1"/>
  <c r="K69"/>
  <c r="J69"/>
  <c r="J70" s="1"/>
  <c r="A184" s="1"/>
  <c r="J89" l="1"/>
  <c r="E184" s="1"/>
  <c r="M184" s="1"/>
  <c r="P185" s="1"/>
  <c r="J186"/>
  <c r="J199" l="1"/>
  <c r="J195"/>
  <c r="J196" s="1"/>
  <c r="E69" i="13"/>
  <c r="H162" l="1"/>
  <c r="H163" s="1"/>
  <c r="F163" l="1"/>
  <c r="H124" l="1"/>
  <c r="H123"/>
  <c r="F84"/>
  <c r="F83"/>
  <c r="G99" l="1"/>
  <c r="H125"/>
  <c r="I184" s="1"/>
  <c r="F125"/>
  <c r="N129" l="1"/>
  <c r="P129" s="1"/>
  <c r="N130" l="1"/>
  <c r="P130" s="1"/>
  <c r="J76" l="1"/>
  <c r="J87" l="1"/>
  <c r="J88"/>
  <c r="F114" l="1"/>
  <c r="H113"/>
  <c r="H114" s="1"/>
  <c r="H184" s="1"/>
  <c r="J69"/>
  <c r="J177"/>
  <c r="J176"/>
  <c r="J170"/>
  <c r="J155"/>
  <c r="M155" s="1"/>
  <c r="M154"/>
  <c r="M153"/>
  <c r="J152"/>
  <c r="H152"/>
  <c r="I152" s="1"/>
  <c r="J151"/>
  <c r="H151"/>
  <c r="I151" s="1"/>
  <c r="J150"/>
  <c r="H150"/>
  <c r="I150" s="1"/>
  <c r="J149"/>
  <c r="H149"/>
  <c r="I149" s="1"/>
  <c r="J148"/>
  <c r="H148"/>
  <c r="I148" s="1"/>
  <c r="J147"/>
  <c r="H147"/>
  <c r="I147" s="1"/>
  <c r="J146"/>
  <c r="H146"/>
  <c r="I146" s="1"/>
  <c r="J145"/>
  <c r="H145"/>
  <c r="I145" s="1"/>
  <c r="J144"/>
  <c r="H144"/>
  <c r="I144" s="1"/>
  <c r="J143"/>
  <c r="H143"/>
  <c r="I143" s="1"/>
  <c r="J142"/>
  <c r="H142"/>
  <c r="I142" s="1"/>
  <c r="J141"/>
  <c r="H141"/>
  <c r="I141" s="1"/>
  <c r="J140"/>
  <c r="H140"/>
  <c r="I140" s="1"/>
  <c r="J139"/>
  <c r="H139"/>
  <c r="I139" s="1"/>
  <c r="J138"/>
  <c r="H138"/>
  <c r="I138" s="1"/>
  <c r="J137"/>
  <c r="H137"/>
  <c r="I137" s="1"/>
  <c r="J136"/>
  <c r="H136"/>
  <c r="I136" s="1"/>
  <c r="J135"/>
  <c r="H135"/>
  <c r="I135" s="1"/>
  <c r="J134"/>
  <c r="H134"/>
  <c r="I134" s="1"/>
  <c r="J133"/>
  <c r="H133"/>
  <c r="I133" s="1"/>
  <c r="J132"/>
  <c r="H132"/>
  <c r="K132" s="1"/>
  <c r="J131"/>
  <c r="H131"/>
  <c r="I131" s="1"/>
  <c r="F119"/>
  <c r="I108"/>
  <c r="I107"/>
  <c r="I106"/>
  <c r="I105"/>
  <c r="I104"/>
  <c r="I98"/>
  <c r="I97"/>
  <c r="I96"/>
  <c r="I95"/>
  <c r="I94"/>
  <c r="I93"/>
  <c r="J86"/>
  <c r="J84"/>
  <c r="J83"/>
  <c r="J77"/>
  <c r="J78" s="1"/>
  <c r="J85" l="1"/>
  <c r="J89" s="1"/>
  <c r="E184" s="1"/>
  <c r="H89"/>
  <c r="M150"/>
  <c r="M152"/>
  <c r="M134"/>
  <c r="M142"/>
  <c r="M144"/>
  <c r="H78"/>
  <c r="M145"/>
  <c r="M147"/>
  <c r="M149"/>
  <c r="M151"/>
  <c r="M133"/>
  <c r="M137"/>
  <c r="M139"/>
  <c r="M141"/>
  <c r="G109"/>
  <c r="M136"/>
  <c r="M135"/>
  <c r="M140"/>
  <c r="M143"/>
  <c r="M148"/>
  <c r="H178"/>
  <c r="M138"/>
  <c r="M146"/>
  <c r="M131"/>
  <c r="J175"/>
  <c r="J178" s="1"/>
  <c r="I103"/>
  <c r="I109" s="1"/>
  <c r="G184" s="1"/>
  <c r="H118"/>
  <c r="H119" s="1"/>
  <c r="J184" s="1"/>
  <c r="H172"/>
  <c r="D184"/>
  <c r="J171"/>
  <c r="J172" s="1"/>
  <c r="J130"/>
  <c r="J156" s="1"/>
  <c r="K184" s="1"/>
  <c r="H156"/>
  <c r="J70"/>
  <c r="A184" s="1"/>
  <c r="H70"/>
  <c r="I132"/>
  <c r="M132" s="1"/>
  <c r="L184" l="1"/>
  <c r="J186"/>
  <c r="K195"/>
  <c r="K196" s="1"/>
  <c r="K197" s="1"/>
  <c r="G195"/>
  <c r="G196" s="1"/>
  <c r="G197" s="1"/>
  <c r="P156"/>
  <c r="I99"/>
  <c r="F184" s="1"/>
  <c r="A3" i="25" l="1"/>
  <c r="J195" i="13"/>
  <c r="J196" s="1"/>
  <c r="P187"/>
  <c r="N38"/>
  <c r="Q182"/>
  <c r="E39" l="1"/>
  <c r="M62" l="1"/>
  <c r="H61"/>
  <c r="M61" s="1"/>
  <c r="H60"/>
  <c r="M60" s="1"/>
  <c r="H59"/>
  <c r="M59" s="1"/>
  <c r="H58"/>
  <c r="M58" s="1"/>
  <c r="H57"/>
  <c r="M57" s="1"/>
  <c r="H56"/>
  <c r="M56" s="1"/>
  <c r="H55"/>
  <c r="M55" s="1"/>
  <c r="H54"/>
  <c r="M54" s="1"/>
  <c r="H53"/>
  <c r="M53" s="1"/>
  <c r="H52"/>
  <c r="M52" s="1"/>
  <c r="H51"/>
  <c r="M51" s="1"/>
  <c r="H50"/>
  <c r="M50" s="1"/>
  <c r="H49"/>
  <c r="M49" s="1"/>
  <c r="H48"/>
  <c r="M48" s="1"/>
  <c r="H47"/>
  <c r="M47" s="1"/>
  <c r="H46"/>
  <c r="M46" s="1"/>
  <c r="H45"/>
  <c r="M45" s="1"/>
  <c r="H44"/>
  <c r="M44" s="1"/>
  <c r="M63" l="1"/>
</calcChain>
</file>

<file path=xl/sharedStrings.xml><?xml version="1.0" encoding="utf-8"?>
<sst xmlns="http://schemas.openxmlformats.org/spreadsheetml/2006/main" count="1549" uniqueCount="155">
  <si>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</si>
  <si>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</si>
  <si>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</si>
  <si>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</si>
  <si>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</si>
  <si>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</si>
  <si>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</si>
  <si>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</si>
  <si>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</si>
  <si>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</si>
  <si>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</si>
  <si>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</si>
  <si>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</si>
  <si>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</si>
  <si>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</si>
  <si>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</si>
  <si>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</si>
  <si>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</si>
  <si>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</si>
  <si>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</si>
  <si>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</si>
  <si>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</si>
  <si>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</si>
  <si>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</si>
  <si>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</si>
  <si>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</si>
  <si>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</si>
  <si>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</si>
  <si>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</si>
  <si>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</si>
  <si>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</si>
  <si>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</si>
  <si>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</si>
  <si>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</si>
  <si>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</si>
  <si>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Базовый норматив затрат на оказание услуг, руб.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</si>
  <si>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</si>
  <si>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</si>
  <si>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</si>
  <si>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</si>
  <si>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</si>
  <si>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</si>
  <si>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 xml:space="preserve">Тариф (цена), рублей </t>
  </si>
  <si>
    <t>Исполнитель:</t>
  </si>
  <si>
    <t>ФОТ с начислениями на выплаты по оплате труда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</si>
  <si>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</si>
  <si>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</si>
  <si>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</si>
  <si>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</si>
  <si>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</si>
  <si>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</si>
  <si>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</si>
  <si>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</si>
  <si>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</si>
  <si>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</si>
  <si>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</si>
  <si>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 xml:space="preserve">нормативный объем </t>
  </si>
  <si>
    <t>Итого прочие расходы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</si>
  <si>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</si>
  <si>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</si>
  <si>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t>Интернет</t>
  </si>
  <si>
    <t>Затраты на прочие расходы</t>
  </si>
  <si>
    <t>Прочие затраты</t>
  </si>
  <si>
    <t>Количество мероприятий</t>
  </si>
  <si>
    <t>ИТОГО по муниципальной работе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</si>
  <si>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</si>
  <si>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</si>
  <si>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</si>
  <si>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Затраты на оплату труда (с начислениями) работников, непосредственно не связанных с оказанием работ</t>
  </si>
  <si>
    <t>Нормативные затраты на одно мероприятие</t>
  </si>
  <si>
    <t>Инспектор по кадрам</t>
  </si>
  <si>
    <t>Механик</t>
  </si>
  <si>
    <t>Секретарь</t>
  </si>
  <si>
    <t>Услуга №1. Спортивная подготовка по олимпийским видам спорта</t>
  </si>
  <si>
    <t>Количество занимающихся</t>
  </si>
  <si>
    <t>количество, шт</t>
  </si>
  <si>
    <t>Затраты на оплату труда (с начислениями) работников, непосредственно связанных с оказанием работ</t>
  </si>
  <si>
    <t>Кол-во номеров</t>
  </si>
  <si>
    <t>Кубки</t>
  </si>
  <si>
    <t>Грамоты</t>
  </si>
  <si>
    <t>Медали</t>
  </si>
  <si>
    <t>7-45-59</t>
  </si>
  <si>
    <t>Услуга №2. Спортивная подготовка по неолимпийским видам спорта</t>
  </si>
  <si>
    <t>Работа №1. Организация и обеспечение подготовки спортивного резерва</t>
  </si>
  <si>
    <t>Работа №2. Организация мероприятий по подготовке спортивных сборных команд в интересах общества</t>
  </si>
  <si>
    <t>Затраты на услуги связи</t>
  </si>
  <si>
    <t>Старший тренер</t>
  </si>
  <si>
    <t>Тренер</t>
  </si>
  <si>
    <t>Зам.директора</t>
  </si>
  <si>
    <t>Заведующий отделением</t>
  </si>
  <si>
    <t xml:space="preserve">Программист </t>
  </si>
  <si>
    <t>Инструктор по оружию</t>
  </si>
  <si>
    <t>Водитель</t>
  </si>
  <si>
    <t>Рабочий по обслуживанию зданий</t>
  </si>
  <si>
    <t>Дворник</t>
  </si>
  <si>
    <t xml:space="preserve">Рабочий по ремонту электрооборудования </t>
  </si>
  <si>
    <t xml:space="preserve">Рабочий по ремонту сантехоборудования </t>
  </si>
  <si>
    <t>Сторож-вахтер</t>
  </si>
  <si>
    <t>Врач</t>
  </si>
  <si>
    <t>Медсестра</t>
  </si>
  <si>
    <t>Спортсмен-инструктор</t>
  </si>
  <si>
    <t xml:space="preserve">Работа №3. Обеспечение участия в официальных физкультурных (физкультурно-оздоровительных) мероприятиях </t>
  </si>
  <si>
    <t>Наименование показателя объема: 1 мероприятие</t>
  </si>
  <si>
    <t>Работа №4. Организация и проведение официальных спортивных мероприятий</t>
  </si>
  <si>
    <t>Вывоз мусора</t>
  </si>
  <si>
    <t>Обслуживание пожарной сигнализации</t>
  </si>
  <si>
    <t>Обслуживания узла тепловой энергии</t>
  </si>
  <si>
    <t>Обслуживание охранной сигнализации</t>
  </si>
  <si>
    <t>Промывка и опрессовка</t>
  </si>
  <si>
    <t xml:space="preserve">Содержание и текущий ремонт общего имущества многоквартирного жилого дома по ул.Арбузова 89 "б" </t>
  </si>
  <si>
    <t>Предрейсовый медосмотр водителей</t>
  </si>
  <si>
    <t>Периодический медосмотр сотрудников</t>
  </si>
  <si>
    <t>Централизованная охрана оружейной комнаты</t>
  </si>
  <si>
    <t>Абон.обслуживание за инф.услуги системы мониторинга транспорта "Глонасс"</t>
  </si>
  <si>
    <t>Командировочные расходы (проезд, питание, проживание спортсмены)</t>
  </si>
  <si>
    <t>Командировочные расходы (проезд, питание, проживание тренера)</t>
  </si>
  <si>
    <t>Количество, шт</t>
  </si>
  <si>
    <t>Директор МАУ "СШОР"</t>
  </si>
  <si>
    <t>Е.П.Лукьянов</t>
  </si>
  <si>
    <t xml:space="preserve">                     ИСХОДНЫЕ ДАННЫЕ И РЕЗУЛЬТАТЫ РАСЧЕТОВ  МАУ "СШОР"</t>
  </si>
  <si>
    <t>УС</t>
  </si>
  <si>
    <t>КУ</t>
  </si>
  <si>
    <t>СНИ</t>
  </si>
  <si>
    <t>ПР</t>
  </si>
  <si>
    <t>УСМЗ</t>
  </si>
  <si>
    <t>ОТ2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</si>
  <si>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автономное учреждение "Спортивная школа олимпийского резерва" г. Назарово"</t>
    </r>
  </si>
  <si>
    <t>Приложение № 3 к Распоряжению администрации от ___________ № ____</t>
  </si>
  <si>
    <t>БАЗОВОГО НОРМАТИВА ЗАТРАТ НА ОКАЗАНИЕ МУНИЦИПАЛЬНЫХ УСЛУГ НА  2020 год</t>
  </si>
  <si>
    <t>Наименование показателя объема: 341 чел</t>
  </si>
  <si>
    <r>
      <t>Штатное расписание: 62,83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</si>
  <si>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Уборщик служебных помещений</t>
  </si>
  <si>
    <t>Инструктор-методист физкультурно-оздоровительных мероприятий</t>
  </si>
  <si>
    <t>Специалист, ответственный за обеспечение безопасности дорожного движения</t>
  </si>
  <si>
    <t>Контролер технического состояния автотранспортных средств</t>
  </si>
  <si>
    <t>Тех.осмотр (3 автомобиля)</t>
  </si>
  <si>
    <t>Электронно-цифровая подпись</t>
  </si>
  <si>
    <t>Лабораторные исследования</t>
  </si>
  <si>
    <t>Страхование</t>
  </si>
  <si>
    <t>Автострахование транспортных средств</t>
  </si>
  <si>
    <t>Итого страхование</t>
  </si>
  <si>
    <t>Увеличение стоимости горюче-смазочных материалов</t>
  </si>
  <si>
    <t>Бензин АИ-92</t>
  </si>
  <si>
    <t>Шефовалова Е.А.</t>
  </si>
  <si>
    <t>С</t>
  </si>
  <si>
    <t>Наименование показателя объема: 54 чел</t>
  </si>
  <si>
    <t>Наименование показателя объема: 276 чел</t>
  </si>
  <si>
    <t>Карта тахографа</t>
  </si>
  <si>
    <t>Увеличение стоимости прочих материальных запасов</t>
  </si>
  <si>
    <t>Зап.части</t>
  </si>
  <si>
    <t>СПМЗ</t>
  </si>
  <si>
    <t>Выплата по уходу за ребенком до 3 лет</t>
  </si>
  <si>
    <t>БАЗОВОГО НОРМАТИВА ЗАТРАТ НА ОКАЗАНИЕ МУНИЦИПАЛЬНЫХ РАБОТ НА  2020 год</t>
  </si>
  <si>
    <t>Приобретение набора продуктов питания или готовых блюд и их транспортировка в лагеря</t>
  </si>
  <si>
    <t>Наименование показателя объема: 203 чел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</si>
</sst>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#,##0.0"/>
    <numFmt numFmtId="166" formatCode="0.0"/>
  </numFmts>
  <fonts count="19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2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4" fontId="7" fillId="2" borderId="1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165" fontId="11" fillId="0" borderId="1" xfId="0" applyNumberFormat="1" applyFont="1" applyBorder="1"/>
    <xf numFmtId="4" fontId="11" fillId="0" borderId="1" xfId="0" applyNumberFormat="1" applyFont="1" applyBorder="1"/>
    <xf numFmtId="4" fontId="7" fillId="2" borderId="6" xfId="0" applyNumberFormat="1" applyFont="1" applyFill="1" applyBorder="1"/>
    <xf numFmtId="4" fontId="7" fillId="2" borderId="5" xfId="0" applyNumberFormat="1" applyFont="1" applyFill="1" applyBorder="1"/>
    <xf numFmtId="4" fontId="8" fillId="6" borderId="7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165" fontId="11" fillId="2" borderId="1" xfId="0" applyNumberFormat="1" applyFont="1" applyFill="1" applyBorder="1"/>
    <xf numFmtId="0" fontId="7" fillId="0" borderId="9" xfId="0" applyFont="1" applyBorder="1" applyAlignment="1">
      <alignment wrapText="1"/>
    </xf>
    <xf numFmtId="0" fontId="12" fillId="0" borderId="1" xfId="0" applyFont="1" applyBorder="1"/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/>
    <xf numFmtId="3" fontId="11" fillId="2" borderId="1" xfId="0" applyNumberFormat="1" applyFont="1" applyFill="1" applyBorder="1"/>
    <xf numFmtId="0" fontId="11" fillId="0" borderId="0" xfId="0" applyFont="1"/>
    <xf numFmtId="4" fontId="11" fillId="2" borderId="6" xfId="0" applyNumberFormat="1" applyFont="1" applyFill="1" applyBorder="1"/>
    <xf numFmtId="0" fontId="11" fillId="0" borderId="2" xfId="0" applyFont="1" applyBorder="1"/>
    <xf numFmtId="0" fontId="12" fillId="0" borderId="0" xfId="0" applyFont="1"/>
    <xf numFmtId="0" fontId="9" fillId="2" borderId="1" xfId="0" applyFont="1" applyFill="1" applyBorder="1" applyAlignment="1">
      <alignment horizontal="left"/>
    </xf>
    <xf numFmtId="0" fontId="11" fillId="2" borderId="1" xfId="0" applyFont="1" applyFill="1" applyBorder="1"/>
    <xf numFmtId="2" fontId="10" fillId="6" borderId="7" xfId="0" applyNumberFormat="1" applyFont="1" applyFill="1" applyBorder="1"/>
    <xf numFmtId="4" fontId="11" fillId="0" borderId="6" xfId="0" applyNumberFormat="1" applyFont="1" applyBorder="1"/>
    <xf numFmtId="4" fontId="10" fillId="0" borderId="1" xfId="0" applyNumberFormat="1" applyFont="1" applyBorder="1" applyAlignment="1">
      <alignment horizontal="left"/>
    </xf>
    <xf numFmtId="4" fontId="10" fillId="6" borderId="7" xfId="0" applyNumberFormat="1" applyFont="1" applyFill="1" applyBorder="1" applyAlignment="1">
      <alignment horizontal="right"/>
    </xf>
    <xf numFmtId="4" fontId="8" fillId="0" borderId="2" xfId="0" applyNumberFormat="1" applyFont="1" applyBorder="1"/>
    <xf numFmtId="4" fontId="8" fillId="7" borderId="8" xfId="0" applyNumberFormat="1" applyFont="1" applyFill="1" applyBorder="1"/>
    <xf numFmtId="166" fontId="11" fillId="0" borderId="1" xfId="0" applyNumberFormat="1" applyFont="1" applyBorder="1"/>
    <xf numFmtId="3" fontId="11" fillId="5" borderId="1" xfId="0" applyNumberFormat="1" applyFont="1" applyFill="1" applyBorder="1"/>
    <xf numFmtId="0" fontId="11" fillId="0" borderId="1" xfId="0" applyNumberFormat="1" applyFont="1" applyBorder="1"/>
    <xf numFmtId="165" fontId="11" fillId="5" borderId="1" xfId="0" applyNumberFormat="1" applyFont="1" applyFill="1" applyBorder="1"/>
    <xf numFmtId="4" fontId="11" fillId="5" borderId="1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4" fontId="10" fillId="6" borderId="7" xfId="0" applyNumberFormat="1" applyFont="1" applyFill="1" applyBorder="1" applyAlignment="1"/>
    <xf numFmtId="3" fontId="11" fillId="2" borderId="0" xfId="0" applyNumberFormat="1" applyFont="1" applyFill="1" applyBorder="1"/>
    <xf numFmtId="4" fontId="8" fillId="7" borderId="7" xfId="0" applyNumberFormat="1" applyFont="1" applyFill="1" applyBorder="1"/>
    <xf numFmtId="4" fontId="10" fillId="7" borderId="7" xfId="0" applyNumberFormat="1" applyFont="1" applyFill="1" applyBorder="1"/>
    <xf numFmtId="4" fontId="8" fillId="7" borderId="7" xfId="0" applyNumberFormat="1" applyFont="1" applyFill="1" applyBorder="1" applyAlignment="1"/>
    <xf numFmtId="0" fontId="13" fillId="0" borderId="0" xfId="0" applyFont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4" fontId="10" fillId="0" borderId="0" xfId="0" applyNumberFormat="1" applyFont="1" applyFill="1" applyBorder="1"/>
    <xf numFmtId="0" fontId="11" fillId="0" borderId="0" xfId="0" applyFont="1" applyFill="1"/>
    <xf numFmtId="2" fontId="10" fillId="0" borderId="0" xfId="0" applyNumberFormat="1" applyFont="1" applyFill="1" applyBorder="1"/>
    <xf numFmtId="0" fontId="7" fillId="0" borderId="0" xfId="0" applyFont="1" applyFill="1"/>
    <xf numFmtId="0" fontId="8" fillId="0" borderId="0" xfId="0" applyFont="1" applyFill="1" applyBorder="1" applyAlignment="1">
      <alignment horizontal="left"/>
    </xf>
    <xf numFmtId="0" fontId="0" fillId="0" borderId="0" xfId="0" applyFill="1"/>
    <xf numFmtId="0" fontId="10" fillId="0" borderId="0" xfId="0" applyFont="1" applyFill="1" applyBorder="1" applyAlignment="1">
      <alignment horizontal="left"/>
    </xf>
    <xf numFmtId="0" fontId="12" fillId="0" borderId="0" xfId="0" applyFont="1" applyFill="1"/>
    <xf numFmtId="0" fontId="11" fillId="0" borderId="0" xfId="0" applyFont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0" fontId="11" fillId="2" borderId="0" xfId="0" applyFont="1" applyFill="1" applyBorder="1"/>
    <xf numFmtId="2" fontId="11" fillId="2" borderId="0" xfId="0" applyNumberFormat="1" applyFont="1" applyFill="1" applyBorder="1" applyAlignment="1">
      <alignment wrapText="1"/>
    </xf>
    <xf numFmtId="4" fontId="11" fillId="2" borderId="0" xfId="0" applyNumberFormat="1" applyFont="1" applyFill="1" applyBorder="1"/>
    <xf numFmtId="2" fontId="11" fillId="2" borderId="0" xfId="0" applyNumberFormat="1" applyFont="1" applyFill="1" applyBorder="1"/>
    <xf numFmtId="0" fontId="3" fillId="0" borderId="0" xfId="0" applyFont="1"/>
    <xf numFmtId="0" fontId="13" fillId="0" borderId="0" xfId="0" applyFont="1" applyAlignment="1">
      <alignment horizontal="left"/>
    </xf>
    <xf numFmtId="0" fontId="0" fillId="0" borderId="0" xfId="0" applyAlignment="1"/>
    <xf numFmtId="0" fontId="10" fillId="2" borderId="4" xfId="0" applyFont="1" applyFill="1" applyBorder="1" applyAlignment="1">
      <alignment horizontal="left"/>
    </xf>
    <xf numFmtId="4" fontId="7" fillId="6" borderId="7" xfId="0" applyNumberFormat="1" applyFont="1" applyFill="1" applyBorder="1"/>
    <xf numFmtId="2" fontId="7" fillId="0" borderId="1" xfId="0" applyNumberFormat="1" applyFont="1" applyBorder="1" applyAlignment="1">
      <alignment wrapText="1"/>
    </xf>
    <xf numFmtId="2" fontId="7" fillId="0" borderId="6" xfId="0" applyNumberFormat="1" applyFont="1" applyBorder="1" applyAlignment="1">
      <alignment wrapText="1"/>
    </xf>
    <xf numFmtId="2" fontId="7" fillId="0" borderId="2" xfId="0" applyNumberFormat="1" applyFont="1" applyBorder="1" applyAlignment="1">
      <alignment wrapText="1"/>
    </xf>
    <xf numFmtId="4" fontId="7" fillId="0" borderId="1" xfId="0" applyNumberFormat="1" applyFont="1" applyBorder="1" applyAlignment="1"/>
    <xf numFmtId="4" fontId="0" fillId="0" borderId="1" xfId="0" applyNumberFormat="1" applyBorder="1"/>
    <xf numFmtId="0" fontId="7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5" fillId="0" borderId="0" xfId="0" applyFont="1"/>
    <xf numFmtId="0" fontId="13" fillId="0" borderId="0" xfId="0" applyFont="1" applyAlignment="1"/>
    <xf numFmtId="0" fontId="7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wrapText="1"/>
    </xf>
    <xf numFmtId="0" fontId="8" fillId="3" borderId="0" xfId="0" applyFont="1" applyFill="1" applyBorder="1" applyAlignment="1">
      <alignment horizontal="center"/>
    </xf>
    <xf numFmtId="0" fontId="0" fillId="0" borderId="0" xfId="0" applyAlignment="1"/>
    <xf numFmtId="0" fontId="8" fillId="4" borderId="4" xfId="0" applyFont="1" applyFill="1" applyBorder="1" applyAlignment="1">
      <alignment horizontal="left"/>
    </xf>
    <xf numFmtId="2" fontId="11" fillId="0" borderId="1" xfId="0" applyNumberFormat="1" applyFont="1" applyBorder="1" applyAlignment="1">
      <alignment horizontal="center" vertical="center"/>
    </xf>
    <xf numFmtId="1" fontId="7" fillId="0" borderId="0" xfId="0" applyNumberFormat="1" applyFont="1" applyBorder="1"/>
    <xf numFmtId="166" fontId="11" fillId="0" borderId="0" xfId="0" applyNumberFormat="1" applyFont="1" applyBorder="1"/>
    <xf numFmtId="0" fontId="11" fillId="0" borderId="5" xfId="0" applyNumberFormat="1" applyFont="1" applyBorder="1"/>
    <xf numFmtId="0" fontId="7" fillId="0" borderId="0" xfId="0" applyFont="1" applyBorder="1" applyAlignment="1">
      <alignment horizontal="center" wrapText="1"/>
    </xf>
    <xf numFmtId="4" fontId="7" fillId="0" borderId="0" xfId="0" applyNumberFormat="1" applyFont="1" applyBorder="1" applyAlignment="1"/>
    <xf numFmtId="2" fontId="10" fillId="2" borderId="1" xfId="0" applyNumberFormat="1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0" fillId="0" borderId="0" xfId="0" applyNumberFormat="1"/>
    <xf numFmtId="2" fontId="12" fillId="0" borderId="1" xfId="0" applyNumberFormat="1" applyFont="1" applyBorder="1" applyAlignment="1">
      <alignment horizontal="center" vertical="center"/>
    </xf>
    <xf numFmtId="0" fontId="17" fillId="0" borderId="0" xfId="0" applyFont="1"/>
    <xf numFmtId="0" fontId="8" fillId="3" borderId="0" xfId="0" applyFont="1" applyFill="1" applyBorder="1" applyAlignment="1">
      <alignment horizontal="center"/>
    </xf>
    <xf numFmtId="0" fontId="11" fillId="0" borderId="3" xfId="0" applyFont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4" borderId="4" xfId="0" applyFont="1" applyFill="1" applyBorder="1" applyAlignment="1">
      <alignment horizontal="left"/>
    </xf>
    <xf numFmtId="2" fontId="10" fillId="0" borderId="1" xfId="0" applyNumberFormat="1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3" fontId="11" fillId="0" borderId="1" xfId="0" applyNumberFormat="1" applyFont="1" applyBorder="1"/>
    <xf numFmtId="0" fontId="9" fillId="0" borderId="0" xfId="0" applyFont="1" applyFill="1" applyBorder="1" applyAlignment="1">
      <alignment horizontal="left"/>
    </xf>
    <xf numFmtId="4" fontId="0" fillId="0" borderId="0" xfId="0" applyNumberFormat="1"/>
    <xf numFmtId="4" fontId="7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wrapText="1"/>
    </xf>
    <xf numFmtId="4" fontId="11" fillId="0" borderId="1" xfId="0" applyNumberFormat="1" applyFont="1" applyFill="1" applyBorder="1"/>
    <xf numFmtId="4" fontId="11" fillId="0" borderId="1" xfId="0" applyNumberFormat="1" applyFont="1" applyFill="1" applyBorder="1" applyAlignment="1">
      <alignment wrapText="1"/>
    </xf>
    <xf numFmtId="4" fontId="11" fillId="0" borderId="6" xfId="0" applyNumberFormat="1" applyFont="1" applyFill="1" applyBorder="1"/>
    <xf numFmtId="0" fontId="11" fillId="0" borderId="3" xfId="0" applyFont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left"/>
    </xf>
    <xf numFmtId="0" fontId="7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7" fillId="0" borderId="6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4" fontId="7" fillId="8" borderId="1" xfId="0" applyNumberFormat="1" applyFont="1" applyFill="1" applyBorder="1" applyAlignment="1"/>
    <xf numFmtId="0" fontId="7" fillId="0" borderId="2" xfId="0" applyFont="1" applyBorder="1" applyAlignment="1">
      <alignment wrapText="1"/>
    </xf>
    <xf numFmtId="3" fontId="11" fillId="2" borderId="2" xfId="0" applyNumberFormat="1" applyFont="1" applyFill="1" applyBorder="1"/>
    <xf numFmtId="4" fontId="7" fillId="0" borderId="2" xfId="0" applyNumberFormat="1" applyFont="1" applyBorder="1" applyAlignment="1"/>
    <xf numFmtId="4" fontId="7" fillId="9" borderId="7" xfId="0" applyNumberFormat="1" applyFont="1" applyFill="1" applyBorder="1" applyAlignment="1"/>
    <xf numFmtId="0" fontId="8" fillId="3" borderId="0" xfId="0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2" fontId="10" fillId="0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0" borderId="1" xfId="0" applyFont="1" applyBorder="1" applyAlignment="1">
      <alignment horizontal="center"/>
    </xf>
    <xf numFmtId="2" fontId="10" fillId="0" borderId="1" xfId="0" applyNumberFormat="1" applyFont="1" applyFill="1" applyBorder="1" applyAlignment="1">
      <alignment horizontal="center" vertical="center"/>
    </xf>
    <xf numFmtId="4" fontId="11" fillId="0" borderId="1" xfId="0" applyNumberFormat="1" applyFont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11" fillId="2" borderId="4" xfId="0" applyFont="1" applyFill="1" applyBorder="1" applyAlignment="1">
      <alignment horizontal="left" wrapText="1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8" fillId="3" borderId="0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11" fillId="0" borderId="1" xfId="0" applyFont="1" applyBorder="1" applyAlignment="1">
      <alignment horizontal="center"/>
    </xf>
    <xf numFmtId="0" fontId="11" fillId="0" borderId="2" xfId="0" applyFont="1" applyBorder="1" applyAlignment="1">
      <alignment horizontal="left" wrapText="1"/>
    </xf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0" fillId="0" borderId="2" xfId="0" applyBorder="1" applyAlignment="1"/>
    <xf numFmtId="0" fontId="0" fillId="0" borderId="3" xfId="0" applyBorder="1" applyAlignment="1"/>
    <xf numFmtId="0" fontId="0" fillId="0" borderId="4" xfId="0" applyBorder="1" applyAlignment="1"/>
    <xf numFmtId="0" fontId="7" fillId="0" borderId="1" xfId="0" applyFont="1" applyBorder="1" applyAlignment="1">
      <alignment horizontal="center" wrapText="1"/>
    </xf>
    <xf numFmtId="0" fontId="11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 wrapText="1"/>
    </xf>
    <xf numFmtId="0" fontId="18" fillId="0" borderId="4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left" wrapText="1"/>
    </xf>
    <xf numFmtId="0" fontId="12" fillId="0" borderId="1" xfId="0" applyFont="1" applyBorder="1" applyAlignment="1">
      <alignment horizontal="center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11" fillId="0" borderId="2" xfId="0" applyFont="1" applyBorder="1" applyAlignment="1"/>
    <xf numFmtId="0" fontId="11" fillId="0" borderId="3" xfId="0" applyFont="1" applyBorder="1" applyAlignment="1"/>
    <xf numFmtId="0" fontId="11" fillId="0" borderId="4" xfId="0" applyFont="1" applyBorder="1" applyAlignment="1"/>
    <xf numFmtId="4" fontId="10" fillId="0" borderId="2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11" fillId="2" borderId="4" xfId="0" applyFont="1" applyFill="1" applyBorder="1" applyAlignment="1"/>
    <xf numFmtId="0" fontId="11" fillId="2" borderId="2" xfId="0" applyFont="1" applyFill="1" applyBorder="1" applyAlignment="1">
      <alignment wrapText="1"/>
    </xf>
    <xf numFmtId="0" fontId="11" fillId="2" borderId="3" xfId="0" applyFont="1" applyFill="1" applyBorder="1" applyAlignment="1">
      <alignment wrapText="1"/>
    </xf>
    <xf numFmtId="0" fontId="11" fillId="2" borderId="4" xfId="0" applyFont="1" applyFill="1" applyBorder="1" applyAlignment="1">
      <alignment wrapText="1"/>
    </xf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0" fontId="0" fillId="0" borderId="4" xfId="0" applyBorder="1" applyAlignment="1">
      <alignment horizontal="left"/>
    </xf>
    <xf numFmtId="0" fontId="12" fillId="0" borderId="2" xfId="0" applyFont="1" applyBorder="1" applyAlignment="1">
      <alignment horizontal="left"/>
    </xf>
    <xf numFmtId="0" fontId="12" fillId="0" borderId="3" xfId="0" applyFont="1" applyBorder="1" applyAlignment="1">
      <alignment horizontal="left"/>
    </xf>
    <xf numFmtId="0" fontId="17" fillId="0" borderId="4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10" fillId="0" borderId="1" xfId="0" applyFont="1" applyBorder="1" applyAlignment="1">
      <alignment horizontal="center" vertical="center"/>
    </xf>
    <xf numFmtId="0" fontId="6" fillId="3" borderId="0" xfId="0" applyFont="1" applyFill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8" fillId="4" borderId="1" xfId="0" applyFont="1" applyFill="1" applyBorder="1" applyAlignment="1">
      <alignment horizontal="left"/>
    </xf>
    <xf numFmtId="4" fontId="11" fillId="0" borderId="6" xfId="0" applyNumberFormat="1" applyFont="1" applyBorder="1" applyAlignment="1">
      <alignment horizontal="left"/>
    </xf>
    <xf numFmtId="2" fontId="7" fillId="0" borderId="6" xfId="0" applyNumberFormat="1" applyFont="1" applyBorder="1" applyAlignment="1">
      <alignment horizontal="center" wrapText="1"/>
    </xf>
    <xf numFmtId="2" fontId="10" fillId="6" borderId="12" xfId="0" applyNumberFormat="1" applyFont="1" applyFill="1" applyBorder="1" applyAlignment="1">
      <alignment horizontal="center"/>
    </xf>
    <xf numFmtId="2" fontId="10" fillId="6" borderId="13" xfId="0" applyNumberFormat="1" applyFont="1" applyFill="1" applyBorder="1" applyAlignment="1">
      <alignment horizontal="center"/>
    </xf>
    <xf numFmtId="4" fontId="0" fillId="0" borderId="0" xfId="0" applyNumberFormat="1" applyAlignment="1">
      <alignment horizontal="center"/>
    </xf>
    <xf numFmtId="0" fontId="8" fillId="0" borderId="2" xfId="0" applyFont="1" applyBorder="1" applyAlignment="1"/>
    <xf numFmtId="0" fontId="8" fillId="0" borderId="3" xfId="0" applyFont="1" applyBorder="1" applyAlignment="1"/>
    <xf numFmtId="0" fontId="8" fillId="0" borderId="10" xfId="0" applyFont="1" applyBorder="1" applyAlignment="1"/>
    <xf numFmtId="0" fontId="11" fillId="2" borderId="1" xfId="0" applyFont="1" applyFill="1" applyBorder="1" applyAlignment="1">
      <alignment horizontal="left"/>
    </xf>
    <xf numFmtId="4" fontId="7" fillId="0" borderId="0" xfId="0" applyNumberFormat="1" applyFont="1" applyAlignment="1">
      <alignment horizontal="center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5" fillId="0" borderId="0" xfId="0" applyFont="1" applyAlignment="1"/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wrapText="1"/>
    </xf>
    <xf numFmtId="2" fontId="7" fillId="0" borderId="0" xfId="0" applyNumberFormat="1" applyFo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97"/>
  <sheetViews>
    <sheetView view="pageBreakPreview" topLeftCell="A4" zoomScale="60" zoomScaleNormal="70" workbookViewId="0">
      <selection activeCell="P187" sqref="P187"/>
    </sheetView>
  </sheetViews>
  <sheetFormatPr defaultRowHeight="14.4"/>
  <cols>
    <col min="1" max="1" width="10.5546875" customWidth="1"/>
    <col min="2" max="3" width="7" customWidth="1"/>
    <col min="4" max="6" width="11.6640625" customWidth="1"/>
    <col min="7" max="7" width="14" customWidth="1"/>
    <col min="8" max="8" width="14.6640625" customWidth="1"/>
    <col min="9" max="9" width="11.6640625" customWidth="1"/>
    <col min="10" max="10" width="14.6640625" customWidth="1"/>
    <col min="11" max="12" width="11.6640625" customWidth="1"/>
    <col min="13" max="13" width="14.6640625" customWidth="1"/>
    <col min="14" max="14" width="13.44140625" customWidth="1"/>
    <col min="15" max="15" width="14.88671875" customWidth="1"/>
    <col min="16" max="16" width="20" customWidth="1"/>
    <col min="17" max="17" width="12" customWidth="1"/>
  </cols>
  <sheetData>
    <row r="1" spans="1:14" hidden="1"/>
    <row r="2" spans="1:14" ht="15.6" hidden="1">
      <c r="A2" s="183"/>
      <c r="B2" s="183"/>
      <c r="C2" s="183"/>
      <c r="D2" s="183"/>
      <c r="E2" s="183"/>
      <c r="F2" s="183"/>
      <c r="G2" s="183"/>
    </row>
    <row r="3" spans="1:14" ht="15.75" hidden="1" customHeight="1">
      <c r="A3" s="183"/>
      <c r="B3" s="183"/>
      <c r="C3" s="41"/>
      <c r="D3" s="41"/>
      <c r="E3" s="68"/>
      <c r="F3" s="41"/>
      <c r="G3" s="41"/>
    </row>
    <row r="4" spans="1:14" ht="40.5" customHeight="1">
      <c r="A4" s="184"/>
      <c r="B4" s="184"/>
      <c r="C4" s="184"/>
      <c r="D4" s="42"/>
      <c r="E4" s="184"/>
      <c r="F4" s="184"/>
      <c r="G4" s="203" t="s">
        <v>127</v>
      </c>
      <c r="H4" s="203"/>
      <c r="I4" s="203"/>
      <c r="J4" s="203"/>
      <c r="K4" s="203"/>
      <c r="L4" s="203"/>
      <c r="M4" s="203"/>
    </row>
    <row r="5" spans="1:14" ht="15.6">
      <c r="A5" s="3"/>
      <c r="B5" s="3"/>
      <c r="C5" s="3"/>
      <c r="D5" s="4"/>
      <c r="E5" s="3"/>
      <c r="F5" s="3"/>
      <c r="G5" s="4"/>
    </row>
    <row r="6" spans="1:14">
      <c r="A6" s="5"/>
      <c r="B6" s="5"/>
      <c r="C6" s="5"/>
      <c r="D6" s="5"/>
      <c r="E6" s="5"/>
      <c r="F6" s="5"/>
      <c r="G6" s="5"/>
    </row>
    <row r="7" spans="1:14" ht="15.6">
      <c r="A7" s="169" t="s">
        <v>119</v>
      </c>
      <c r="B7" s="170"/>
      <c r="C7" s="170"/>
      <c r="D7" s="170"/>
      <c r="E7" s="170"/>
      <c r="F7" s="170"/>
      <c r="G7" s="171"/>
      <c r="H7" s="171"/>
      <c r="I7" s="171"/>
      <c r="J7" s="171"/>
      <c r="K7" s="171"/>
      <c r="L7" s="171"/>
      <c r="M7" s="171"/>
    </row>
    <row r="8" spans="1:14" ht="15.6">
      <c r="A8" s="169" t="s">
        <v>128</v>
      </c>
      <c r="B8" s="170"/>
      <c r="C8" s="170"/>
      <c r="D8" s="170"/>
      <c r="E8" s="170"/>
      <c r="F8" s="170"/>
      <c r="G8" s="171"/>
      <c r="H8" s="171"/>
      <c r="I8" s="171"/>
      <c r="J8" s="171"/>
      <c r="K8" s="171"/>
      <c r="L8" s="171"/>
      <c r="M8" s="171"/>
    </row>
    <row r="10" spans="1:14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4" ht="15.6">
      <c r="A11" s="7" t="s">
        <v>126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ht="17.25" customHeight="1">
      <c r="A12" s="208" t="s">
        <v>73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</row>
    <row r="13" spans="1:14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4" ht="15.6">
      <c r="A14" s="7" t="s">
        <v>129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4" ht="15.6">
      <c r="A15" s="7" t="s">
        <v>130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4" ht="51.75" customHeight="1">
      <c r="A16" s="195" t="s">
        <v>66</v>
      </c>
      <c r="B16" s="195"/>
      <c r="C16" s="195"/>
      <c r="D16" s="195"/>
      <c r="E16" s="195"/>
      <c r="F16" s="8" t="s">
        <v>65</v>
      </c>
      <c r="G16" s="195" t="s">
        <v>67</v>
      </c>
      <c r="H16" s="195"/>
      <c r="I16" s="195"/>
      <c r="J16" s="195"/>
      <c r="K16" s="195"/>
      <c r="L16" s="8" t="s">
        <v>65</v>
      </c>
      <c r="N16" s="116"/>
    </row>
    <row r="17" spans="1:12">
      <c r="A17" s="196" t="s">
        <v>86</v>
      </c>
      <c r="B17" s="196"/>
      <c r="C17" s="196"/>
      <c r="D17" s="196"/>
      <c r="E17" s="196"/>
      <c r="F17" s="108">
        <f>5*38.9%</f>
        <v>1.9450000000000001</v>
      </c>
      <c r="G17" s="197" t="s">
        <v>1</v>
      </c>
      <c r="H17" s="197"/>
      <c r="I17" s="197"/>
      <c r="J17" s="197"/>
      <c r="K17" s="197"/>
      <c r="L17" s="108">
        <f>1*38.9%</f>
        <v>0.38900000000000001</v>
      </c>
    </row>
    <row r="18" spans="1:12">
      <c r="A18" s="196" t="s">
        <v>87</v>
      </c>
      <c r="B18" s="196"/>
      <c r="C18" s="196"/>
      <c r="D18" s="196"/>
      <c r="E18" s="196"/>
      <c r="F18" s="108">
        <f>10.08*38.9%</f>
        <v>3.9211200000000002</v>
      </c>
      <c r="G18" s="189" t="s">
        <v>88</v>
      </c>
      <c r="H18" s="190"/>
      <c r="I18" s="190"/>
      <c r="J18" s="190"/>
      <c r="K18" s="191"/>
      <c r="L18" s="108">
        <f>3*38.9%</f>
        <v>1.167</v>
      </c>
    </row>
    <row r="19" spans="1:12">
      <c r="A19" s="189" t="s">
        <v>100</v>
      </c>
      <c r="B19" s="190"/>
      <c r="C19" s="190"/>
      <c r="D19" s="190"/>
      <c r="E19" s="198"/>
      <c r="F19" s="108">
        <f>6.5*38.9%</f>
        <v>2.5285000000000002</v>
      </c>
      <c r="G19" s="196" t="s">
        <v>89</v>
      </c>
      <c r="H19" s="196"/>
      <c r="I19" s="196"/>
      <c r="J19" s="196"/>
      <c r="K19" s="196"/>
      <c r="L19" s="108">
        <f>1*38.9%</f>
        <v>0.38900000000000001</v>
      </c>
    </row>
    <row r="20" spans="1:12">
      <c r="A20" s="196"/>
      <c r="B20" s="196"/>
      <c r="C20" s="196"/>
      <c r="D20" s="196"/>
      <c r="E20" s="196"/>
      <c r="F20" s="99"/>
      <c r="G20" s="210" t="s">
        <v>72</v>
      </c>
      <c r="H20" s="211"/>
      <c r="I20" s="211"/>
      <c r="J20" s="211"/>
      <c r="K20" s="212"/>
      <c r="L20" s="108">
        <f>1*38.9%</f>
        <v>0.38900000000000001</v>
      </c>
    </row>
    <row r="21" spans="1:12" ht="15" customHeight="1">
      <c r="A21" s="196"/>
      <c r="B21" s="196"/>
      <c r="C21" s="196"/>
      <c r="D21" s="196"/>
      <c r="E21" s="196"/>
      <c r="F21" s="99"/>
      <c r="G21" s="186" t="s">
        <v>70</v>
      </c>
      <c r="H21" s="187"/>
      <c r="I21" s="187"/>
      <c r="J21" s="187"/>
      <c r="K21" s="188"/>
      <c r="L21" s="108">
        <f>1*38.9%</f>
        <v>0.38900000000000001</v>
      </c>
    </row>
    <row r="22" spans="1:12" ht="15" customHeight="1">
      <c r="A22" s="196"/>
      <c r="B22" s="196"/>
      <c r="C22" s="196"/>
      <c r="D22" s="196"/>
      <c r="E22" s="196"/>
      <c r="F22" s="99"/>
      <c r="G22" s="158" t="s">
        <v>90</v>
      </c>
      <c r="H22" s="159"/>
      <c r="I22" s="159"/>
      <c r="J22" s="159"/>
      <c r="K22" s="172"/>
      <c r="L22" s="108">
        <f>0.5*38.9%</f>
        <v>0.19450000000000001</v>
      </c>
    </row>
    <row r="23" spans="1:12">
      <c r="A23" s="196"/>
      <c r="B23" s="196"/>
      <c r="C23" s="196"/>
      <c r="D23" s="196"/>
      <c r="E23" s="196"/>
      <c r="F23" s="99"/>
      <c r="G23" s="186" t="s">
        <v>91</v>
      </c>
      <c r="H23" s="187"/>
      <c r="I23" s="187"/>
      <c r="J23" s="187"/>
      <c r="K23" s="188"/>
      <c r="L23" s="108">
        <f>1*38.9%</f>
        <v>0.38900000000000001</v>
      </c>
    </row>
    <row r="24" spans="1:12" ht="28.2" customHeight="1">
      <c r="A24" s="189"/>
      <c r="B24" s="190"/>
      <c r="C24" s="190"/>
      <c r="D24" s="190"/>
      <c r="E24" s="191"/>
      <c r="F24" s="99"/>
      <c r="G24" s="186" t="s">
        <v>133</v>
      </c>
      <c r="H24" s="187"/>
      <c r="I24" s="187"/>
      <c r="J24" s="187"/>
      <c r="K24" s="188"/>
      <c r="L24" s="108">
        <f>1*38.9%</f>
        <v>0.38900000000000001</v>
      </c>
    </row>
    <row r="25" spans="1:12">
      <c r="A25" s="189"/>
      <c r="B25" s="190"/>
      <c r="C25" s="190"/>
      <c r="D25" s="190"/>
      <c r="E25" s="191"/>
      <c r="F25" s="100"/>
      <c r="G25" s="186" t="s">
        <v>134</v>
      </c>
      <c r="H25" s="187"/>
      <c r="I25" s="187"/>
      <c r="J25" s="187"/>
      <c r="K25" s="188"/>
      <c r="L25" s="108">
        <f>1*38.9%</f>
        <v>0.38900000000000001</v>
      </c>
    </row>
    <row r="26" spans="1:12" ht="15.75" customHeight="1">
      <c r="A26" s="189"/>
      <c r="B26" s="190"/>
      <c r="C26" s="190"/>
      <c r="D26" s="190"/>
      <c r="E26" s="191"/>
      <c r="F26" s="100"/>
      <c r="G26" s="192" t="s">
        <v>92</v>
      </c>
      <c r="H26" s="193"/>
      <c r="I26" s="193"/>
      <c r="J26" s="193"/>
      <c r="K26" s="194"/>
      <c r="L26" s="108">
        <f>2*38.9%</f>
        <v>0.77800000000000002</v>
      </c>
    </row>
    <row r="27" spans="1:12" ht="15.75" customHeight="1">
      <c r="A27" s="189"/>
      <c r="B27" s="190"/>
      <c r="C27" s="190"/>
      <c r="D27" s="190"/>
      <c r="E27" s="191"/>
      <c r="F27" s="100"/>
      <c r="G27" s="186" t="s">
        <v>71</v>
      </c>
      <c r="H27" s="187"/>
      <c r="I27" s="187"/>
      <c r="J27" s="187"/>
      <c r="K27" s="188"/>
      <c r="L27" s="108">
        <f>1*38.9%</f>
        <v>0.38900000000000001</v>
      </c>
    </row>
    <row r="28" spans="1:12" ht="15" customHeight="1">
      <c r="A28" s="185"/>
      <c r="B28" s="185"/>
      <c r="C28" s="185"/>
      <c r="D28" s="185"/>
      <c r="E28" s="185"/>
      <c r="F28" s="100"/>
      <c r="G28" s="158" t="s">
        <v>93</v>
      </c>
      <c r="H28" s="159"/>
      <c r="I28" s="159"/>
      <c r="J28" s="159"/>
      <c r="K28" s="172"/>
      <c r="L28" s="108">
        <f>4.75*38.9%</f>
        <v>1.84775</v>
      </c>
    </row>
    <row r="29" spans="1:12" ht="15.75" customHeight="1">
      <c r="A29" s="185"/>
      <c r="B29" s="185"/>
      <c r="C29" s="185"/>
      <c r="D29" s="185"/>
      <c r="E29" s="185"/>
      <c r="F29" s="100"/>
      <c r="G29" s="158" t="s">
        <v>131</v>
      </c>
      <c r="H29" s="159"/>
      <c r="I29" s="159"/>
      <c r="J29" s="159"/>
      <c r="K29" s="172"/>
      <c r="L29" s="108">
        <f>3.5*38.9%</f>
        <v>1.3614999999999999</v>
      </c>
    </row>
    <row r="30" spans="1:12">
      <c r="A30" s="207"/>
      <c r="B30" s="207"/>
      <c r="C30" s="207"/>
      <c r="D30" s="207"/>
      <c r="E30" s="207"/>
      <c r="F30" s="40"/>
      <c r="G30" s="158" t="s">
        <v>94</v>
      </c>
      <c r="H30" s="159"/>
      <c r="I30" s="159"/>
      <c r="J30" s="159"/>
      <c r="K30" s="172"/>
      <c r="L30" s="108">
        <f>2*38.9%</f>
        <v>0.77800000000000002</v>
      </c>
    </row>
    <row r="31" spans="1:12" ht="14.4" customHeight="1">
      <c r="A31" s="207"/>
      <c r="B31" s="207"/>
      <c r="C31" s="207"/>
      <c r="D31" s="207"/>
      <c r="E31" s="207"/>
      <c r="F31" s="40"/>
      <c r="G31" s="158" t="s">
        <v>95</v>
      </c>
      <c r="H31" s="159"/>
      <c r="I31" s="159"/>
      <c r="J31" s="159"/>
      <c r="K31" s="172"/>
      <c r="L31" s="108">
        <f>0.5*38.9%</f>
        <v>0.19450000000000001</v>
      </c>
    </row>
    <row r="32" spans="1:12" ht="12.75" customHeight="1">
      <c r="A32" s="207"/>
      <c r="B32" s="207"/>
      <c r="C32" s="207"/>
      <c r="D32" s="207"/>
      <c r="E32" s="207"/>
      <c r="F32" s="40"/>
      <c r="G32" s="158" t="s">
        <v>96</v>
      </c>
      <c r="H32" s="159"/>
      <c r="I32" s="159"/>
      <c r="J32" s="159"/>
      <c r="K32" s="172"/>
      <c r="L32" s="108">
        <f>0.5*38.9%</f>
        <v>0.19450000000000001</v>
      </c>
    </row>
    <row r="33" spans="1:15" ht="15" customHeight="1">
      <c r="A33" s="207"/>
      <c r="B33" s="207"/>
      <c r="C33" s="207"/>
      <c r="D33" s="207"/>
      <c r="E33" s="207"/>
      <c r="F33" s="40"/>
      <c r="G33" s="158" t="s">
        <v>97</v>
      </c>
      <c r="H33" s="159"/>
      <c r="I33" s="159"/>
      <c r="J33" s="159"/>
      <c r="K33" s="172"/>
      <c r="L33" s="108">
        <f>12.5*38.9%</f>
        <v>4.8624999999999998</v>
      </c>
    </row>
    <row r="34" spans="1:15">
      <c r="A34" s="235"/>
      <c r="B34" s="236"/>
      <c r="C34" s="236"/>
      <c r="D34" s="236"/>
      <c r="E34" s="237"/>
      <c r="F34" s="40"/>
      <c r="G34" s="189" t="s">
        <v>132</v>
      </c>
      <c r="H34" s="190"/>
      <c r="I34" s="190"/>
      <c r="J34" s="190"/>
      <c r="K34" s="191"/>
      <c r="L34" s="108">
        <f>2*38.9%</f>
        <v>0.77800000000000002</v>
      </c>
    </row>
    <row r="35" spans="1:15" ht="15" customHeight="1">
      <c r="A35" s="235"/>
      <c r="B35" s="236"/>
      <c r="C35" s="236"/>
      <c r="D35" s="236"/>
      <c r="E35" s="237"/>
      <c r="F35" s="40"/>
      <c r="G35" s="189" t="s">
        <v>98</v>
      </c>
      <c r="H35" s="190"/>
      <c r="I35" s="190"/>
      <c r="J35" s="190"/>
      <c r="K35" s="191"/>
      <c r="L35" s="108">
        <f>1*38.9%</f>
        <v>0.38900000000000001</v>
      </c>
    </row>
    <row r="36" spans="1:15" ht="15" customHeight="1">
      <c r="A36" s="235"/>
      <c r="B36" s="236"/>
      <c r="C36" s="236"/>
      <c r="D36" s="236"/>
      <c r="E36" s="237"/>
      <c r="F36" s="40"/>
      <c r="G36" s="189" t="s">
        <v>99</v>
      </c>
      <c r="H36" s="190"/>
      <c r="I36" s="190"/>
      <c r="J36" s="190"/>
      <c r="K36" s="225"/>
      <c r="L36" s="108">
        <f>1*38.9%</f>
        <v>0.38900000000000001</v>
      </c>
    </row>
    <row r="37" spans="1:15" ht="15" customHeight="1">
      <c r="A37" s="235"/>
      <c r="B37" s="236"/>
      <c r="C37" s="236"/>
      <c r="D37" s="236"/>
      <c r="E37" s="237"/>
      <c r="F37" s="40"/>
      <c r="G37" s="226"/>
      <c r="H37" s="227"/>
      <c r="I37" s="227"/>
      <c r="J37" s="227"/>
      <c r="K37" s="228"/>
      <c r="L37" s="117"/>
      <c r="M37" s="118"/>
      <c r="N37">
        <f>F38/48.5%</f>
        <v>17.319587628865982</v>
      </c>
      <c r="O37">
        <f>L38/48.5%</f>
        <v>33.072164948453604</v>
      </c>
    </row>
    <row r="38" spans="1:15" ht="15" customHeight="1">
      <c r="A38" s="165" t="s">
        <v>2</v>
      </c>
      <c r="B38" s="165"/>
      <c r="C38" s="165"/>
      <c r="D38" s="165"/>
      <c r="E38" s="165"/>
      <c r="F38" s="115">
        <v>8.4</v>
      </c>
      <c r="G38" s="233" t="s">
        <v>2</v>
      </c>
      <c r="H38" s="233"/>
      <c r="I38" s="233"/>
      <c r="J38" s="233"/>
      <c r="K38" s="233"/>
      <c r="L38" s="114">
        <v>16.04</v>
      </c>
      <c r="N38" s="116">
        <f>F38+L38+'Услуга №2'!F38+'Услуга №2'!L38+'Работа №1'!F38+'Работа №1'!L38+'Работа №2'!F38+'Работа №2'!L38+'Работа №3'!F38+'Работа №3'!L38+'Работа №4'!F38+'Работа №4'!L38</f>
        <v>62.83</v>
      </c>
    </row>
    <row r="39" spans="1:15" ht="98.25" hidden="1" customHeight="1">
      <c r="A39" s="165" t="s">
        <v>2</v>
      </c>
      <c r="B39" s="165"/>
      <c r="C39" s="165"/>
      <c r="D39" s="165"/>
      <c r="E39" s="69">
        <f>SUM(E17:E28)</f>
        <v>0</v>
      </c>
      <c r="F39" s="70"/>
      <c r="G39" s="166" t="s">
        <v>2</v>
      </c>
      <c r="H39" s="166"/>
      <c r="I39" s="166"/>
      <c r="J39" s="166"/>
      <c r="K39" s="166"/>
      <c r="L39" s="166"/>
      <c r="M39" s="166"/>
    </row>
    <row r="40" spans="1:15" hidden="1">
      <c r="A40" s="179" t="s">
        <v>15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</row>
    <row r="41" spans="1:15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5" ht="80.25" hidden="1" customHeight="1">
      <c r="A42" s="180" t="s">
        <v>6</v>
      </c>
      <c r="B42" s="180"/>
      <c r="C42" s="180"/>
      <c r="D42" s="180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5" ht="15" hidden="1" customHeight="1">
      <c r="A43" s="181">
        <v>1</v>
      </c>
      <c r="B43" s="182"/>
      <c r="C43" s="182"/>
      <c r="D43" s="182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5" ht="15" hidden="1" customHeight="1">
      <c r="A44" s="168" t="s">
        <v>39</v>
      </c>
      <c r="B44" s="168"/>
      <c r="C44" s="168"/>
      <c r="D44" s="168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5" ht="15" hidden="1" customHeight="1">
      <c r="A45" s="168" t="s">
        <v>40</v>
      </c>
      <c r="B45" s="168"/>
      <c r="C45" s="168"/>
      <c r="D45" s="168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5" ht="15" hidden="1" customHeight="1">
      <c r="A46" s="168" t="s">
        <v>41</v>
      </c>
      <c r="B46" s="168"/>
      <c r="C46" s="168"/>
      <c r="D46" s="168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5" ht="12.75" hidden="1" customHeight="1">
      <c r="A47" s="168"/>
      <c r="B47" s="168"/>
      <c r="C47" s="168"/>
      <c r="D47" s="168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5" ht="15" hidden="1" customHeight="1">
      <c r="A48" s="168"/>
      <c r="B48" s="168"/>
      <c r="C48" s="168"/>
      <c r="D48" s="168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173"/>
      <c r="B49" s="174"/>
      <c r="C49" s="174"/>
      <c r="D49" s="174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173"/>
      <c r="B50" s="174"/>
      <c r="C50" s="174"/>
      <c r="D50" s="174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173"/>
      <c r="B51" s="174"/>
      <c r="C51" s="174"/>
      <c r="D51" s="174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173"/>
      <c r="B52" s="174"/>
      <c r="C52" s="174"/>
      <c r="D52" s="174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173"/>
      <c r="B53" s="174"/>
      <c r="C53" s="174"/>
      <c r="D53" s="174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175"/>
      <c r="B54" s="176"/>
      <c r="C54" s="176"/>
      <c r="D54" s="176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175"/>
      <c r="B55" s="176"/>
      <c r="C55" s="176"/>
      <c r="D55" s="176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175"/>
      <c r="B56" s="176"/>
      <c r="C56" s="176"/>
      <c r="D56" s="176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175"/>
      <c r="B57" s="176"/>
      <c r="C57" s="176"/>
      <c r="D57" s="176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175"/>
      <c r="B58" s="176"/>
      <c r="C58" s="176"/>
      <c r="D58" s="176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175"/>
      <c r="B59" s="176"/>
      <c r="C59" s="176"/>
      <c r="D59" s="176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175"/>
      <c r="B60" s="176"/>
      <c r="C60" s="176"/>
      <c r="D60" s="176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175"/>
      <c r="B61" s="176"/>
      <c r="C61" s="176"/>
      <c r="D61" s="176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38" t="s">
        <v>59</v>
      </c>
      <c r="B62" s="238"/>
      <c r="C62" s="238"/>
      <c r="D62" s="23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30" t="s">
        <v>14</v>
      </c>
      <c r="B63" s="231"/>
      <c r="C63" s="231"/>
      <c r="D63" s="231"/>
      <c r="E63" s="231"/>
      <c r="F63" s="231"/>
      <c r="G63" s="231"/>
      <c r="H63" s="231"/>
      <c r="I63" s="231"/>
      <c r="J63" s="231"/>
      <c r="K63" s="232"/>
      <c r="L63" s="107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34" t="s">
        <v>76</v>
      </c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4"/>
    </row>
    <row r="67" spans="1:14" ht="69.599999999999994">
      <c r="A67" s="229" t="s">
        <v>3</v>
      </c>
      <c r="B67" s="229"/>
      <c r="C67" s="229"/>
      <c r="D67" s="229"/>
      <c r="E67" s="8" t="s">
        <v>4</v>
      </c>
      <c r="F67" s="9" t="s">
        <v>0</v>
      </c>
      <c r="G67" s="34" t="s">
        <v>52</v>
      </c>
      <c r="H67" s="34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04">
        <v>1</v>
      </c>
      <c r="B68" s="205"/>
      <c r="C68" s="205"/>
      <c r="D68" s="205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5">
        <v>7</v>
      </c>
      <c r="K68" s="36">
        <v>8</v>
      </c>
      <c r="L68" s="109"/>
      <c r="M68" s="27"/>
    </row>
    <row r="69" spans="1:14" ht="34.200000000000003" customHeight="1" thickBot="1">
      <c r="A69" s="206" t="s">
        <v>66</v>
      </c>
      <c r="B69" s="206"/>
      <c r="C69" s="206"/>
      <c r="D69" s="206"/>
      <c r="E69" s="37">
        <f>G69/12/F69</f>
        <v>38816.619742063493</v>
      </c>
      <c r="F69" s="37">
        <v>8.4</v>
      </c>
      <c r="G69" s="131">
        <v>3912715.27</v>
      </c>
      <c r="H69" s="37">
        <v>5094355.28</v>
      </c>
      <c r="I69" s="44">
        <v>341</v>
      </c>
      <c r="J69" s="37">
        <f>H69/I69</f>
        <v>14939.458299120235</v>
      </c>
      <c r="K69" s="57">
        <f>H69/13096029*100</f>
        <v>38.899999992364101</v>
      </c>
      <c r="L69" s="110"/>
      <c r="M69" s="15"/>
    </row>
    <row r="70" spans="1:14" ht="15" thickBot="1">
      <c r="A70" s="162" t="s">
        <v>47</v>
      </c>
      <c r="B70" s="162"/>
      <c r="C70" s="162"/>
      <c r="D70" s="162"/>
      <c r="E70" s="62"/>
      <c r="F70" s="96"/>
      <c r="G70" s="96"/>
      <c r="H70" s="66">
        <f>H69</f>
        <v>5094355.28</v>
      </c>
      <c r="I70" s="47"/>
      <c r="J70" s="63">
        <f>J69</f>
        <v>14939.458299120235</v>
      </c>
      <c r="K70" s="45"/>
      <c r="L70" s="45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157" t="s">
        <v>85</v>
      </c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1:14" ht="73.5" customHeight="1">
      <c r="A74" s="229" t="s">
        <v>17</v>
      </c>
      <c r="B74" s="229"/>
      <c r="C74" s="229"/>
      <c r="D74" s="229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6"/>
    </row>
    <row r="75" spans="1:14" ht="18.75" customHeight="1">
      <c r="A75" s="177">
        <v>1</v>
      </c>
      <c r="B75" s="178"/>
      <c r="C75" s="178"/>
      <c r="D75" s="178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167" t="s">
        <v>51</v>
      </c>
      <c r="B76" s="167"/>
      <c r="C76" s="167"/>
      <c r="D76" s="167"/>
      <c r="E76" s="29">
        <v>5</v>
      </c>
      <c r="F76" s="28">
        <v>12</v>
      </c>
      <c r="G76" s="37">
        <v>687.02</v>
      </c>
      <c r="H76" s="131">
        <f>41221.2*38.9%</f>
        <v>16035.0468</v>
      </c>
      <c r="I76" s="44">
        <v>341</v>
      </c>
      <c r="J76" s="37">
        <f>H76/I76</f>
        <v>47.023597653958944</v>
      </c>
      <c r="K76" s="10"/>
      <c r="L76" s="10"/>
      <c r="M76" s="16"/>
    </row>
    <row r="77" spans="1:14" ht="15" thickBot="1">
      <c r="A77" s="167" t="s">
        <v>60</v>
      </c>
      <c r="B77" s="167"/>
      <c r="C77" s="167"/>
      <c r="D77" s="167"/>
      <c r="E77" s="29">
        <v>1</v>
      </c>
      <c r="F77" s="29">
        <v>12</v>
      </c>
      <c r="G77" s="37">
        <v>3743.23</v>
      </c>
      <c r="H77" s="131">
        <f>44918.8*38.9%</f>
        <v>17473.413200000003</v>
      </c>
      <c r="I77" s="44">
        <v>341</v>
      </c>
      <c r="J77" s="37">
        <f>H77/I77</f>
        <v>51.24168093841643</v>
      </c>
      <c r="K77" s="10"/>
      <c r="L77" s="10"/>
      <c r="M77" s="10"/>
    </row>
    <row r="78" spans="1:14" ht="15" thickBot="1">
      <c r="A78" s="213" t="s">
        <v>25</v>
      </c>
      <c r="B78" s="214"/>
      <c r="C78" s="214"/>
      <c r="D78" s="214"/>
      <c r="E78" s="53"/>
      <c r="F78" s="53"/>
      <c r="G78" s="53"/>
      <c r="H78" s="66">
        <f>SUM(H76:H77)</f>
        <v>33508.460000000006</v>
      </c>
      <c r="I78" s="47"/>
      <c r="J78" s="54">
        <f>SUM(J76:J77)</f>
        <v>98.265278592375381</v>
      </c>
      <c r="K78" s="10"/>
      <c r="L78" s="10"/>
      <c r="M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157" t="s">
        <v>16</v>
      </c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</row>
    <row r="81" spans="1:13" ht="73.5" customHeight="1">
      <c r="A81" s="229" t="s">
        <v>17</v>
      </c>
      <c r="B81" s="229"/>
      <c r="C81" s="229"/>
      <c r="D81" s="229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3" ht="18.75" customHeight="1">
      <c r="A82" s="177">
        <v>1</v>
      </c>
      <c r="B82" s="178"/>
      <c r="C82" s="178"/>
      <c r="D82" s="178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3">
      <c r="A83" s="167" t="s">
        <v>19</v>
      </c>
      <c r="B83" s="167"/>
      <c r="C83" s="167"/>
      <c r="D83" s="167"/>
      <c r="E83" s="29" t="s">
        <v>22</v>
      </c>
      <c r="F83" s="28">
        <f>H83/G83</f>
        <v>27.780063372202235</v>
      </c>
      <c r="G83" s="37">
        <v>6441.31</v>
      </c>
      <c r="H83" s="131">
        <f>460000*38.9%</f>
        <v>178940</v>
      </c>
      <c r="I83" s="44">
        <v>341</v>
      </c>
      <c r="J83" s="37">
        <f t="shared" ref="J83:J88" si="2">H83/I83</f>
        <v>524.75073313782991</v>
      </c>
      <c r="K83" s="10"/>
      <c r="L83" s="10"/>
      <c r="M83" s="16"/>
    </row>
    <row r="84" spans="1:13">
      <c r="A84" s="167" t="s">
        <v>20</v>
      </c>
      <c r="B84" s="167"/>
      <c r="C84" s="167"/>
      <c r="D84" s="167"/>
      <c r="E84" s="29" t="s">
        <v>23</v>
      </c>
      <c r="F84" s="29">
        <f>H84/G84</f>
        <v>299.74833760041645</v>
      </c>
      <c r="G84" s="37">
        <v>1690.46</v>
      </c>
      <c r="H84" s="131">
        <f>1302603.02*38.9%</f>
        <v>506712.57478000002</v>
      </c>
      <c r="I84" s="44">
        <v>341</v>
      </c>
      <c r="J84" s="37">
        <f t="shared" si="2"/>
        <v>1485.9606298533724</v>
      </c>
      <c r="K84" s="10"/>
      <c r="L84" s="10"/>
      <c r="M84" s="10"/>
    </row>
    <row r="85" spans="1:13">
      <c r="A85" s="167" t="s">
        <v>49</v>
      </c>
      <c r="B85" s="167"/>
      <c r="C85" s="167"/>
      <c r="D85" s="167"/>
      <c r="E85" s="29" t="s">
        <v>24</v>
      </c>
      <c r="F85" s="29">
        <v>3000</v>
      </c>
      <c r="G85" s="37">
        <f>150000/F85</f>
        <v>50</v>
      </c>
      <c r="H85" s="131">
        <f>150000*38.9%</f>
        <v>58350</v>
      </c>
      <c r="I85" s="44">
        <v>341</v>
      </c>
      <c r="J85" s="37">
        <f t="shared" si="2"/>
        <v>171.11436950146629</v>
      </c>
      <c r="K85" s="10"/>
      <c r="L85" s="10"/>
      <c r="M85" s="10"/>
    </row>
    <row r="86" spans="1:13">
      <c r="A86" s="239" t="s">
        <v>21</v>
      </c>
      <c r="B86" s="239"/>
      <c r="C86" s="239"/>
      <c r="D86" s="239"/>
      <c r="E86" s="52" t="s">
        <v>24</v>
      </c>
      <c r="F86" s="29">
        <v>3500</v>
      </c>
      <c r="G86" s="46">
        <f>165500/F86</f>
        <v>47.285714285714285</v>
      </c>
      <c r="H86" s="133">
        <f>165500*38.9%</f>
        <v>64379.5</v>
      </c>
      <c r="I86" s="44">
        <v>341</v>
      </c>
      <c r="J86" s="46">
        <f t="shared" si="2"/>
        <v>188.79618768328444</v>
      </c>
      <c r="K86" s="10"/>
      <c r="L86" s="10"/>
      <c r="M86" s="10"/>
    </row>
    <row r="87" spans="1:13" ht="43.8" customHeight="1">
      <c r="A87" s="219" t="s">
        <v>109</v>
      </c>
      <c r="B87" s="220"/>
      <c r="C87" s="220"/>
      <c r="D87" s="221"/>
      <c r="E87" s="50" t="s">
        <v>27</v>
      </c>
      <c r="F87" s="126">
        <v>1</v>
      </c>
      <c r="G87" s="46"/>
      <c r="H87" s="130">
        <f>6796.98*38.9%</f>
        <v>2644.02522</v>
      </c>
      <c r="I87" s="44">
        <v>341</v>
      </c>
      <c r="J87" s="46">
        <f t="shared" si="2"/>
        <v>7.7537396480938412</v>
      </c>
      <c r="K87" s="10"/>
      <c r="L87" s="10"/>
      <c r="M87" s="10"/>
    </row>
    <row r="88" spans="1:13" ht="15" thickBot="1">
      <c r="A88" s="219" t="s">
        <v>104</v>
      </c>
      <c r="B88" s="220"/>
      <c r="C88" s="220"/>
      <c r="D88" s="221"/>
      <c r="E88" s="50" t="s">
        <v>27</v>
      </c>
      <c r="F88" s="25">
        <v>1</v>
      </c>
      <c r="G88" s="8"/>
      <c r="H88" s="130">
        <f>27000*38.9%</f>
        <v>10503</v>
      </c>
      <c r="I88" s="44">
        <v>341</v>
      </c>
      <c r="J88" s="46">
        <f t="shared" si="2"/>
        <v>30.80058651026393</v>
      </c>
      <c r="K88" s="10"/>
      <c r="L88" s="10"/>
      <c r="M88" s="10"/>
    </row>
    <row r="89" spans="1:13" ht="15" thickBot="1">
      <c r="A89" s="213" t="s">
        <v>25</v>
      </c>
      <c r="B89" s="214"/>
      <c r="C89" s="214"/>
      <c r="D89" s="214"/>
      <c r="E89" s="53"/>
      <c r="F89" s="53"/>
      <c r="G89" s="53"/>
      <c r="H89" s="66">
        <f>SUM(H83:H88)</f>
        <v>821529.1</v>
      </c>
      <c r="I89" s="47"/>
      <c r="J89" s="54">
        <f>SUM(J83:J88)</f>
        <v>2409.1762463343111</v>
      </c>
      <c r="K89" s="10"/>
      <c r="L89" s="10"/>
      <c r="M89" s="10"/>
    </row>
    <row r="90" spans="1:13" ht="15.75" customHeight="1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10"/>
      <c r="L90" s="10"/>
      <c r="M90" s="10"/>
    </row>
    <row r="91" spans="1:13">
      <c r="A91" s="157" t="s">
        <v>26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</row>
    <row r="92" spans="1:13" ht="69.599999999999994">
      <c r="A92" s="215" t="s">
        <v>28</v>
      </c>
      <c r="B92" s="215"/>
      <c r="C92" s="215"/>
      <c r="D92" s="215"/>
      <c r="E92" s="25" t="s">
        <v>7</v>
      </c>
      <c r="F92" s="25" t="s">
        <v>18</v>
      </c>
      <c r="G92" s="8" t="s">
        <v>48</v>
      </c>
      <c r="H92" s="8" t="s">
        <v>74</v>
      </c>
      <c r="I92" s="8" t="s">
        <v>69</v>
      </c>
      <c r="J92" s="10"/>
      <c r="K92" s="10"/>
      <c r="L92" s="10"/>
    </row>
    <row r="93" spans="1:13" ht="15" customHeight="1">
      <c r="A93" s="219" t="s">
        <v>105</v>
      </c>
      <c r="B93" s="220"/>
      <c r="C93" s="220"/>
      <c r="D93" s="221"/>
      <c r="E93" s="50" t="s">
        <v>27</v>
      </c>
      <c r="F93" s="50">
        <v>1</v>
      </c>
      <c r="G93" s="130">
        <f>136560*38.9%</f>
        <v>53121.840000000004</v>
      </c>
      <c r="H93" s="44">
        <v>341</v>
      </c>
      <c r="I93" s="90">
        <f>G93/H93</f>
        <v>155.7825219941349</v>
      </c>
      <c r="J93" s="10"/>
      <c r="K93" s="10"/>
      <c r="L93" s="10"/>
    </row>
    <row r="94" spans="1:13" ht="15" customHeight="1">
      <c r="A94" s="219" t="s">
        <v>106</v>
      </c>
      <c r="B94" s="220"/>
      <c r="C94" s="220"/>
      <c r="D94" s="221"/>
      <c r="E94" s="50" t="s">
        <v>27</v>
      </c>
      <c r="F94" s="50">
        <v>1</v>
      </c>
      <c r="G94" s="130">
        <f>99000*38.9%</f>
        <v>38511</v>
      </c>
      <c r="H94" s="44">
        <v>341</v>
      </c>
      <c r="I94" s="90">
        <f t="shared" ref="I94:I98" si="3">G94/H94</f>
        <v>112.93548387096774</v>
      </c>
      <c r="J94" s="10"/>
      <c r="K94" s="10"/>
      <c r="L94" s="10"/>
    </row>
    <row r="95" spans="1:13" ht="15" customHeight="1">
      <c r="A95" s="219" t="s">
        <v>107</v>
      </c>
      <c r="B95" s="220"/>
      <c r="C95" s="220"/>
      <c r="D95" s="221"/>
      <c r="E95" s="50" t="s">
        <v>27</v>
      </c>
      <c r="F95" s="50">
        <v>1</v>
      </c>
      <c r="G95" s="130">
        <f>9600*38.9%</f>
        <v>3734.4</v>
      </c>
      <c r="H95" s="44">
        <v>341</v>
      </c>
      <c r="I95" s="90">
        <f t="shared" si="3"/>
        <v>10.951319648093842</v>
      </c>
      <c r="J95" s="10"/>
      <c r="K95" s="10"/>
      <c r="L95" s="10"/>
    </row>
    <row r="96" spans="1:13" ht="15" customHeight="1">
      <c r="A96" s="216" t="s">
        <v>108</v>
      </c>
      <c r="B96" s="217"/>
      <c r="C96" s="217"/>
      <c r="D96" s="218"/>
      <c r="E96" s="50" t="s">
        <v>27</v>
      </c>
      <c r="F96" s="50">
        <v>1</v>
      </c>
      <c r="G96" s="131">
        <f>40000*38.9%</f>
        <v>15560</v>
      </c>
      <c r="H96" s="44">
        <v>341</v>
      </c>
      <c r="I96" s="90">
        <f t="shared" si="3"/>
        <v>45.630498533724342</v>
      </c>
      <c r="J96" s="10"/>
      <c r="K96" s="10"/>
      <c r="L96" s="10"/>
    </row>
    <row r="97" spans="1:13" ht="28.5" customHeight="1">
      <c r="A97" s="219" t="s">
        <v>109</v>
      </c>
      <c r="B97" s="220"/>
      <c r="C97" s="220"/>
      <c r="D97" s="221"/>
      <c r="E97" s="50" t="s">
        <v>27</v>
      </c>
      <c r="F97" s="50">
        <v>1</v>
      </c>
      <c r="G97" s="132">
        <f>57196.86*38.9%</f>
        <v>22249.578540000002</v>
      </c>
      <c r="H97" s="44">
        <v>341</v>
      </c>
      <c r="I97" s="90">
        <f>G97/H97</f>
        <v>65.248030909090915</v>
      </c>
      <c r="J97" s="10"/>
      <c r="K97" s="15"/>
      <c r="L97" s="15"/>
    </row>
    <row r="98" spans="1:13" ht="16.5" customHeight="1" thickBot="1">
      <c r="A98" s="222" t="s">
        <v>135</v>
      </c>
      <c r="B98" s="223"/>
      <c r="C98" s="223"/>
      <c r="D98" s="224"/>
      <c r="E98" s="50" t="s">
        <v>27</v>
      </c>
      <c r="F98" s="50">
        <v>1</v>
      </c>
      <c r="G98" s="131">
        <f>3072*38.9%+0.0679</f>
        <v>1195.0759</v>
      </c>
      <c r="H98" s="44">
        <v>341</v>
      </c>
      <c r="I98" s="90">
        <f t="shared" si="3"/>
        <v>3.5046214076246334</v>
      </c>
      <c r="J98" s="10"/>
      <c r="K98" s="10"/>
      <c r="L98" s="10"/>
    </row>
    <row r="99" spans="1:13" ht="15" customHeight="1" thickBot="1">
      <c r="A99" s="97" t="s">
        <v>54</v>
      </c>
      <c r="B99" s="98"/>
      <c r="C99" s="98"/>
      <c r="D99" s="98"/>
      <c r="E99" s="98"/>
      <c r="F99" s="98"/>
      <c r="G99" s="67">
        <f>SUM(G93:G98)</f>
        <v>134371.89444</v>
      </c>
      <c r="I99" s="32">
        <f>SUM(I93:I98)</f>
        <v>394.0524763636364</v>
      </c>
      <c r="K99" s="10"/>
      <c r="L99" s="10"/>
      <c r="M99" s="10"/>
    </row>
    <row r="100" spans="1:13" ht="37.200000000000003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1:13" ht="15" customHeight="1">
      <c r="A101" s="157" t="s">
        <v>50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</row>
    <row r="102" spans="1:13" ht="69.599999999999994">
      <c r="A102" s="160" t="s">
        <v>28</v>
      </c>
      <c r="B102" s="161"/>
      <c r="C102" s="161"/>
      <c r="D102" s="161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3" ht="44.4" customHeight="1">
      <c r="A103" s="158" t="s">
        <v>136</v>
      </c>
      <c r="B103" s="159"/>
      <c r="C103" s="159"/>
      <c r="D103" s="159"/>
      <c r="E103" s="50" t="s">
        <v>27</v>
      </c>
      <c r="F103" s="50">
        <v>1</v>
      </c>
      <c r="G103" s="130">
        <f>6000*38.9%</f>
        <v>2334</v>
      </c>
      <c r="H103" s="44">
        <v>341</v>
      </c>
      <c r="I103" s="91">
        <f>G103/H103</f>
        <v>6.8445747800586512</v>
      </c>
      <c r="J103" s="10"/>
      <c r="K103" s="10"/>
      <c r="L103" s="10"/>
      <c r="M103" s="10"/>
    </row>
    <row r="104" spans="1:13" ht="15" customHeight="1">
      <c r="A104" s="158" t="s">
        <v>110</v>
      </c>
      <c r="B104" s="159"/>
      <c r="C104" s="159"/>
      <c r="D104" s="159"/>
      <c r="E104" s="50" t="s">
        <v>27</v>
      </c>
      <c r="F104" s="50">
        <v>1</v>
      </c>
      <c r="G104" s="130">
        <f>34580*38.9%-0.1</f>
        <v>13451.52</v>
      </c>
      <c r="H104" s="44">
        <v>341</v>
      </c>
      <c r="I104" s="91">
        <f t="shared" ref="I104:I108" si="4">G104/H104</f>
        <v>39.447272727272725</v>
      </c>
      <c r="J104" s="10"/>
      <c r="K104" s="10"/>
      <c r="L104" s="10"/>
      <c r="M104" s="10"/>
    </row>
    <row r="105" spans="1:13" ht="29.4" customHeight="1">
      <c r="A105" s="158" t="s">
        <v>111</v>
      </c>
      <c r="B105" s="159"/>
      <c r="C105" s="159"/>
      <c r="D105" s="159"/>
      <c r="E105" s="50" t="s">
        <v>27</v>
      </c>
      <c r="F105" s="50">
        <v>1</v>
      </c>
      <c r="G105" s="130">
        <f>117715*38.9%</f>
        <v>45791.135000000002</v>
      </c>
      <c r="H105" s="44">
        <v>341</v>
      </c>
      <c r="I105" s="91">
        <f t="shared" si="4"/>
        <v>134.28485337243401</v>
      </c>
      <c r="J105" s="10"/>
      <c r="K105" s="10"/>
      <c r="L105" s="10"/>
      <c r="M105" s="10"/>
    </row>
    <row r="106" spans="1:13" ht="27" customHeight="1">
      <c r="A106" s="158" t="s">
        <v>112</v>
      </c>
      <c r="B106" s="159"/>
      <c r="C106" s="159"/>
      <c r="D106" s="159"/>
      <c r="E106" s="50" t="s">
        <v>27</v>
      </c>
      <c r="F106" s="50">
        <v>1</v>
      </c>
      <c r="G106" s="130">
        <f>190481.13*38.9%</f>
        <v>74097.159570000003</v>
      </c>
      <c r="H106" s="44">
        <v>341</v>
      </c>
      <c r="I106" s="91">
        <f t="shared" si="4"/>
        <v>217.2937230791789</v>
      </c>
      <c r="J106" s="10"/>
      <c r="K106" s="10"/>
      <c r="L106" s="10"/>
      <c r="M106" s="10"/>
    </row>
    <row r="107" spans="1:13" ht="18" customHeight="1">
      <c r="A107" s="158" t="s">
        <v>137</v>
      </c>
      <c r="B107" s="159"/>
      <c r="C107" s="159"/>
      <c r="D107" s="159"/>
      <c r="E107" s="50" t="s">
        <v>27</v>
      </c>
      <c r="F107" s="50">
        <v>1</v>
      </c>
      <c r="G107" s="132">
        <f>17512.01*38.9%</f>
        <v>6812.1718899999996</v>
      </c>
      <c r="H107" s="44">
        <v>341</v>
      </c>
      <c r="I107" s="91">
        <f t="shared" si="4"/>
        <v>19.977043665689148</v>
      </c>
      <c r="J107" s="10"/>
      <c r="K107" s="10"/>
      <c r="L107" s="10"/>
      <c r="M107" s="10"/>
    </row>
    <row r="108" spans="1:13" ht="42" customHeight="1" thickBot="1">
      <c r="A108" s="158" t="s">
        <v>113</v>
      </c>
      <c r="B108" s="159"/>
      <c r="C108" s="159"/>
      <c r="D108" s="159"/>
      <c r="E108" s="50" t="s">
        <v>27</v>
      </c>
      <c r="F108" s="50">
        <v>1</v>
      </c>
      <c r="G108" s="132">
        <f>6720*38.9%+0.0321</f>
        <v>2614.1120999999998</v>
      </c>
      <c r="H108" s="44">
        <v>341</v>
      </c>
      <c r="I108" s="91">
        <f t="shared" si="4"/>
        <v>7.666017888563049</v>
      </c>
      <c r="J108" s="10"/>
      <c r="K108" s="10"/>
      <c r="L108" s="10"/>
      <c r="M108" s="10"/>
    </row>
    <row r="109" spans="1:13" ht="20.25" customHeight="1" thickBot="1">
      <c r="A109" s="163" t="s">
        <v>53</v>
      </c>
      <c r="B109" s="164"/>
      <c r="C109" s="164"/>
      <c r="D109" s="164"/>
      <c r="E109" s="88"/>
      <c r="F109" s="49"/>
      <c r="G109" s="66">
        <f>SUM(G103:G108)</f>
        <v>145100.09855999998</v>
      </c>
      <c r="H109" s="45"/>
      <c r="I109" s="32">
        <f>SUM(I103:I108)</f>
        <v>425.51348551319649</v>
      </c>
      <c r="J109" s="10"/>
      <c r="K109" s="33"/>
      <c r="L109" s="33"/>
      <c r="M109" s="10"/>
    </row>
    <row r="110" spans="1:13" s="76" customFormat="1" ht="20.25" customHeight="1">
      <c r="A110" s="77"/>
      <c r="B110" s="77"/>
      <c r="C110" s="77"/>
      <c r="D110" s="77"/>
      <c r="E110" s="77"/>
      <c r="F110" s="77"/>
      <c r="G110" s="77"/>
      <c r="H110" s="77"/>
      <c r="I110" s="71"/>
      <c r="J110" s="72"/>
      <c r="K110" s="73"/>
      <c r="L110" s="73"/>
      <c r="M110" s="78"/>
    </row>
    <row r="111" spans="1:13" ht="15" customHeight="1">
      <c r="A111" s="157" t="s">
        <v>138</v>
      </c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</row>
    <row r="112" spans="1:13" ht="55.8" customHeight="1">
      <c r="A112" s="160" t="s">
        <v>28</v>
      </c>
      <c r="B112" s="161"/>
      <c r="C112" s="161"/>
      <c r="D112" s="161"/>
      <c r="E112" s="8" t="s">
        <v>75</v>
      </c>
      <c r="F112" s="8" t="s">
        <v>48</v>
      </c>
      <c r="G112" s="148" t="s">
        <v>74</v>
      </c>
      <c r="H112" s="195" t="s">
        <v>69</v>
      </c>
      <c r="I112" s="195"/>
      <c r="J112" s="10"/>
      <c r="K112" s="10"/>
      <c r="L112" s="10"/>
    </row>
    <row r="113" spans="1:15" ht="43.8" customHeight="1" thickBot="1">
      <c r="A113" s="158" t="s">
        <v>139</v>
      </c>
      <c r="B113" s="159"/>
      <c r="C113" s="159"/>
      <c r="D113" s="159"/>
      <c r="E113" s="50" t="s">
        <v>27</v>
      </c>
      <c r="F113" s="130">
        <f>7870*38.9%</f>
        <v>3061.4300000000003</v>
      </c>
      <c r="G113" s="149">
        <v>341</v>
      </c>
      <c r="H113" s="240">
        <f t="shared" ref="H113" si="5">F113/G113</f>
        <v>8.9778005865102646</v>
      </c>
      <c r="I113" s="240"/>
      <c r="J113" s="10"/>
      <c r="K113" s="10"/>
      <c r="L113" s="10"/>
    </row>
    <row r="114" spans="1:15" ht="20.25" customHeight="1" thickBot="1">
      <c r="A114" s="163" t="s">
        <v>140</v>
      </c>
      <c r="B114" s="164"/>
      <c r="C114" s="164"/>
      <c r="D114" s="164"/>
      <c r="E114" s="49"/>
      <c r="F114" s="66">
        <f>SUM(F113:F113)</f>
        <v>3061.4300000000003</v>
      </c>
      <c r="G114" s="45"/>
      <c r="H114" s="241">
        <f>SUM(H113:H113)</f>
        <v>8.9778005865102646</v>
      </c>
      <c r="I114" s="242"/>
      <c r="J114" s="33"/>
      <c r="K114" s="10"/>
      <c r="L114" s="10"/>
    </row>
    <row r="115" spans="1:15" s="76" customFormat="1" ht="20.25" customHeight="1">
      <c r="A115" s="77"/>
      <c r="B115" s="77"/>
      <c r="C115" s="77"/>
      <c r="D115" s="77"/>
      <c r="E115" s="127"/>
      <c r="F115" s="71"/>
      <c r="G115" s="72"/>
      <c r="H115" s="73"/>
      <c r="I115" s="74"/>
      <c r="J115" s="75"/>
      <c r="K115" s="74"/>
      <c r="L115" s="74"/>
    </row>
    <row r="116" spans="1:15" ht="15" customHeight="1">
      <c r="A116" s="157" t="s">
        <v>141</v>
      </c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</row>
    <row r="117" spans="1:15" ht="55.8">
      <c r="A117" s="160" t="s">
        <v>28</v>
      </c>
      <c r="B117" s="161"/>
      <c r="C117" s="161"/>
      <c r="D117" s="161"/>
      <c r="E117" s="8" t="s">
        <v>75</v>
      </c>
      <c r="F117" s="8" t="s">
        <v>48</v>
      </c>
      <c r="G117" s="8" t="s">
        <v>74</v>
      </c>
      <c r="H117" s="8" t="s">
        <v>69</v>
      </c>
      <c r="I117" s="10"/>
      <c r="J117" s="10"/>
      <c r="K117" s="10"/>
      <c r="L117" s="10"/>
    </row>
    <row r="118" spans="1:15" ht="15" thickBot="1">
      <c r="A118" s="158" t="s">
        <v>142</v>
      </c>
      <c r="B118" s="159"/>
      <c r="C118" s="159"/>
      <c r="D118" s="159"/>
      <c r="E118" s="50" t="s">
        <v>27</v>
      </c>
      <c r="F118" s="130">
        <f>29750*38.9%</f>
        <v>11572.75</v>
      </c>
      <c r="G118" s="44">
        <v>341</v>
      </c>
      <c r="H118" s="91">
        <f t="shared" ref="H118" si="6">F118/G118</f>
        <v>33.937683284457478</v>
      </c>
      <c r="I118" s="10"/>
      <c r="J118" s="10"/>
      <c r="K118" s="10"/>
      <c r="L118" s="10"/>
    </row>
    <row r="119" spans="1:15" ht="20.25" customHeight="1" thickBot="1">
      <c r="A119" s="163" t="s">
        <v>53</v>
      </c>
      <c r="B119" s="164"/>
      <c r="C119" s="164"/>
      <c r="D119" s="164"/>
      <c r="E119" s="49"/>
      <c r="F119" s="66">
        <f>SUM(F118:F118)</f>
        <v>11572.75</v>
      </c>
      <c r="G119" s="45"/>
      <c r="H119" s="51">
        <f>SUM(H118:H118)</f>
        <v>33.937683284457478</v>
      </c>
      <c r="I119" s="10"/>
      <c r="J119" s="33"/>
      <c r="K119" s="10"/>
      <c r="L119" s="10"/>
    </row>
    <row r="120" spans="1:15" ht="25.2" customHeight="1">
      <c r="A120" s="79"/>
      <c r="B120" s="79"/>
      <c r="C120" s="79"/>
      <c r="D120" s="79"/>
      <c r="E120" s="80"/>
      <c r="F120" s="81"/>
      <c r="G120" s="82"/>
      <c r="H120" s="81"/>
      <c r="I120" s="83"/>
      <c r="J120" s="64"/>
      <c r="K120" s="84"/>
      <c r="L120" s="84"/>
      <c r="M120" s="48"/>
    </row>
    <row r="121" spans="1:15" ht="15" customHeight="1">
      <c r="A121" s="157" t="s">
        <v>148</v>
      </c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</row>
    <row r="122" spans="1:15" ht="55.8">
      <c r="A122" s="160" t="s">
        <v>28</v>
      </c>
      <c r="B122" s="161"/>
      <c r="C122" s="161"/>
      <c r="D122" s="161"/>
      <c r="E122" s="8" t="s">
        <v>75</v>
      </c>
      <c r="F122" s="8" t="s">
        <v>48</v>
      </c>
      <c r="G122" s="8" t="s">
        <v>74</v>
      </c>
      <c r="H122" s="8" t="s">
        <v>69</v>
      </c>
      <c r="I122" s="10"/>
      <c r="J122" s="10"/>
      <c r="K122" s="10"/>
      <c r="L122" s="10"/>
    </row>
    <row r="123" spans="1:15">
      <c r="A123" s="158" t="s">
        <v>147</v>
      </c>
      <c r="B123" s="159"/>
      <c r="C123" s="159"/>
      <c r="D123" s="159"/>
      <c r="E123" s="50" t="s">
        <v>27</v>
      </c>
      <c r="F123" s="130">
        <f>4500*38.9%-0.1</f>
        <v>1750.4</v>
      </c>
      <c r="G123" s="44">
        <v>341</v>
      </c>
      <c r="H123" s="91">
        <f t="shared" ref="H123:H124" si="7">F123/G123</f>
        <v>5.1331378299120241</v>
      </c>
      <c r="I123" s="10"/>
      <c r="J123" s="10"/>
      <c r="K123" s="10"/>
      <c r="L123" s="10"/>
    </row>
    <row r="124" spans="1:15" ht="15.75" customHeight="1" thickBot="1">
      <c r="A124" s="158" t="s">
        <v>149</v>
      </c>
      <c r="B124" s="159"/>
      <c r="C124" s="159"/>
      <c r="D124" s="159"/>
      <c r="E124" s="50" t="s">
        <v>27</v>
      </c>
      <c r="F124" s="130">
        <f>17483*38.9%+0.1-0.01</f>
        <v>6800.9770000000008</v>
      </c>
      <c r="G124" s="8">
        <v>341</v>
      </c>
      <c r="H124" s="91">
        <f t="shared" si="7"/>
        <v>19.944214076246336</v>
      </c>
      <c r="I124" s="10"/>
      <c r="J124" s="10"/>
      <c r="K124" s="10"/>
      <c r="L124" s="10"/>
    </row>
    <row r="125" spans="1:15" ht="20.25" customHeight="1" thickBot="1">
      <c r="A125" s="163" t="s">
        <v>53</v>
      </c>
      <c r="B125" s="164"/>
      <c r="C125" s="164"/>
      <c r="D125" s="164"/>
      <c r="E125" s="49"/>
      <c r="F125" s="66">
        <f>SUM(F123:F124)</f>
        <v>8551.3770000000004</v>
      </c>
      <c r="G125" s="45"/>
      <c r="H125" s="51">
        <f>SUM(H123:H124)</f>
        <v>25.077351906158359</v>
      </c>
      <c r="I125" s="10"/>
      <c r="J125" s="33"/>
      <c r="K125" s="10"/>
      <c r="L125" s="10"/>
    </row>
    <row r="126" spans="1:15" ht="25.2" customHeight="1">
      <c r="A126" s="79"/>
      <c r="B126" s="79"/>
      <c r="C126" s="79"/>
      <c r="D126" s="79"/>
      <c r="E126" s="80"/>
      <c r="F126" s="81"/>
      <c r="G126" s="82"/>
      <c r="H126" s="81"/>
      <c r="I126" s="83"/>
      <c r="J126" s="64"/>
      <c r="K126" s="84"/>
      <c r="L126" s="84"/>
      <c r="M126" s="48"/>
    </row>
    <row r="127" spans="1:15" ht="15.6">
      <c r="A127" s="234" t="s">
        <v>68</v>
      </c>
      <c r="B127" s="234"/>
      <c r="C127" s="234"/>
      <c r="D127" s="234"/>
      <c r="E127" s="234"/>
      <c r="F127" s="234"/>
      <c r="G127" s="234"/>
      <c r="H127" s="234"/>
      <c r="I127" s="234"/>
      <c r="J127" s="234"/>
      <c r="K127" s="234"/>
      <c r="L127" s="234"/>
      <c r="M127" s="234"/>
    </row>
    <row r="128" spans="1:15" ht="69.599999999999994">
      <c r="A128" s="229" t="s">
        <v>3</v>
      </c>
      <c r="B128" s="229"/>
      <c r="C128" s="229"/>
      <c r="D128" s="229"/>
      <c r="E128" s="8" t="s">
        <v>4</v>
      </c>
      <c r="F128" s="9" t="s">
        <v>0</v>
      </c>
      <c r="G128" s="34" t="s">
        <v>52</v>
      </c>
      <c r="H128" s="34" t="s">
        <v>44</v>
      </c>
      <c r="I128" s="8" t="s">
        <v>63</v>
      </c>
      <c r="J128" s="8" t="s">
        <v>69</v>
      </c>
      <c r="K128" s="8" t="s">
        <v>46</v>
      </c>
      <c r="L128" s="27"/>
      <c r="M128" s="27"/>
      <c r="N128" s="128">
        <v>21290323</v>
      </c>
      <c r="O128">
        <v>62.83</v>
      </c>
    </row>
    <row r="129" spans="1:16">
      <c r="A129" s="204">
        <v>1</v>
      </c>
      <c r="B129" s="205"/>
      <c r="C129" s="205"/>
      <c r="D129" s="205"/>
      <c r="E129" s="25">
        <v>2</v>
      </c>
      <c r="F129" s="11">
        <v>3</v>
      </c>
      <c r="G129" s="25">
        <v>4</v>
      </c>
      <c r="H129" s="25">
        <v>5</v>
      </c>
      <c r="I129" s="26">
        <v>6</v>
      </c>
      <c r="J129" s="35">
        <v>7</v>
      </c>
      <c r="K129" s="36">
        <v>8</v>
      </c>
      <c r="L129" s="109"/>
      <c r="M129" s="27"/>
      <c r="N129">
        <f>11540394-1482000</f>
        <v>10058394</v>
      </c>
      <c r="O129">
        <v>21.58</v>
      </c>
      <c r="P129">
        <f>N129*1.302</f>
        <v>13096028.988</v>
      </c>
    </row>
    <row r="130" spans="1:16" ht="31.2" customHeight="1" thickBot="1">
      <c r="A130" s="206" t="s">
        <v>67</v>
      </c>
      <c r="B130" s="206"/>
      <c r="C130" s="206"/>
      <c r="D130" s="206"/>
      <c r="E130" s="37">
        <f>G130/12/F130</f>
        <v>23444.13949501247</v>
      </c>
      <c r="F130" s="37">
        <v>16.04</v>
      </c>
      <c r="G130" s="131">
        <v>4512527.97</v>
      </c>
      <c r="H130" s="37">
        <v>5875328.0300000003</v>
      </c>
      <c r="I130" s="44">
        <v>341</v>
      </c>
      <c r="J130" s="37">
        <f>H130/I130</f>
        <v>17229.700967741937</v>
      </c>
      <c r="K130" s="57">
        <f>H130/15103671*100</f>
        <v>38.900000072829975</v>
      </c>
      <c r="L130" s="110"/>
      <c r="M130" s="15"/>
      <c r="N130" s="128">
        <f>N128-N129</f>
        <v>11231929</v>
      </c>
      <c r="O130">
        <v>41.25</v>
      </c>
      <c r="P130">
        <f>N130*1.302</f>
        <v>14623971.558</v>
      </c>
    </row>
    <row r="131" spans="1:16" ht="15" hidden="1" thickBot="1">
      <c r="A131" s="249"/>
      <c r="B131" s="250"/>
      <c r="C131" s="250"/>
      <c r="D131" s="250"/>
      <c r="E131" s="37">
        <v>17865.98</v>
      </c>
      <c r="F131" s="58">
        <v>4</v>
      </c>
      <c r="G131" s="44"/>
      <c r="H131" s="38">
        <f>H37</f>
        <v>0</v>
      </c>
      <c r="I131" s="37" t="e">
        <f t="shared" ref="I131:I152" si="8">F131/G131*H131</f>
        <v>#DIV/0!</v>
      </c>
      <c r="J131" s="37">
        <f t="shared" ref="J131:J152" si="9">E131*F131*12*1.302</f>
        <v>1116552.28608</v>
      </c>
      <c r="K131" s="59" t="s">
        <v>38</v>
      </c>
      <c r="L131" s="111"/>
      <c r="M131" s="31" t="e">
        <f t="shared" ref="M131:M155" si="10">I131*J131</f>
        <v>#DIV/0!</v>
      </c>
    </row>
    <row r="132" spans="1:16" ht="15" hidden="1" thickBot="1">
      <c r="A132" s="247"/>
      <c r="B132" s="247"/>
      <c r="C132" s="247"/>
      <c r="D132" s="247"/>
      <c r="E132" s="37">
        <v>9544</v>
      </c>
      <c r="F132" s="58">
        <v>1</v>
      </c>
      <c r="G132" s="44"/>
      <c r="H132" s="38">
        <f>H37</f>
        <v>0</v>
      </c>
      <c r="I132" s="37" t="e">
        <f t="shared" si="8"/>
        <v>#DIV/0!</v>
      </c>
      <c r="J132" s="37">
        <f t="shared" si="9"/>
        <v>149115.45600000001</v>
      </c>
      <c r="K132" s="38">
        <f>H132/11277167.39*100</f>
        <v>0</v>
      </c>
      <c r="L132" s="38"/>
      <c r="M132" s="14" t="e">
        <f t="shared" si="10"/>
        <v>#DIV/0!</v>
      </c>
    </row>
    <row r="133" spans="1:16" ht="15" hidden="1" customHeight="1">
      <c r="A133" s="216"/>
      <c r="B133" s="217"/>
      <c r="C133" s="217"/>
      <c r="D133" s="217"/>
      <c r="E133" s="37">
        <v>11560</v>
      </c>
      <c r="F133" s="58">
        <v>1</v>
      </c>
      <c r="G133" s="44"/>
      <c r="H133" s="38">
        <f>H37</f>
        <v>0</v>
      </c>
      <c r="I133" s="37" t="e">
        <f t="shared" si="8"/>
        <v>#DIV/0!</v>
      </c>
      <c r="J133" s="37">
        <f t="shared" si="9"/>
        <v>180613.44</v>
      </c>
      <c r="K133" s="29"/>
      <c r="L133" s="29"/>
      <c r="M133" s="14" t="e">
        <f t="shared" si="10"/>
        <v>#DIV/0!</v>
      </c>
    </row>
    <row r="134" spans="1:16" ht="15" hidden="1" thickBot="1">
      <c r="A134" s="206"/>
      <c r="B134" s="206"/>
      <c r="C134" s="206"/>
      <c r="D134" s="206"/>
      <c r="E134" s="37">
        <v>9544</v>
      </c>
      <c r="F134" s="60">
        <v>0.5</v>
      </c>
      <c r="G134" s="44"/>
      <c r="H134" s="38">
        <f>H37</f>
        <v>0</v>
      </c>
      <c r="I134" s="37" t="e">
        <f t="shared" si="8"/>
        <v>#DIV/0!</v>
      </c>
      <c r="J134" s="37">
        <f t="shared" si="9"/>
        <v>74557.728000000003</v>
      </c>
      <c r="K134" s="29"/>
      <c r="L134" s="29"/>
      <c r="M134" s="14" t="e">
        <f t="shared" si="10"/>
        <v>#DIV/0!</v>
      </c>
    </row>
    <row r="135" spans="1:16" ht="15" hidden="1" thickBot="1">
      <c r="A135" s="206"/>
      <c r="B135" s="206"/>
      <c r="C135" s="206"/>
      <c r="D135" s="206"/>
      <c r="E135" s="37">
        <v>9544</v>
      </c>
      <c r="F135" s="58">
        <v>1</v>
      </c>
      <c r="G135" s="44"/>
      <c r="H135" s="38">
        <f>H37</f>
        <v>0</v>
      </c>
      <c r="I135" s="37" t="e">
        <f t="shared" si="8"/>
        <v>#DIV/0!</v>
      </c>
      <c r="J135" s="37">
        <f t="shared" si="9"/>
        <v>149115.45600000001</v>
      </c>
      <c r="K135" s="37"/>
      <c r="L135" s="37"/>
      <c r="M135" s="14" t="e">
        <f t="shared" si="10"/>
        <v>#DIV/0!</v>
      </c>
    </row>
    <row r="136" spans="1:16" ht="14.25" hidden="1" customHeight="1">
      <c r="A136" s="206"/>
      <c r="B136" s="206"/>
      <c r="C136" s="206"/>
      <c r="D136" s="206"/>
      <c r="E136" s="37">
        <v>9544</v>
      </c>
      <c r="F136" s="58">
        <v>1</v>
      </c>
      <c r="G136" s="44"/>
      <c r="H136" s="38">
        <f>H37</f>
        <v>0</v>
      </c>
      <c r="I136" s="37" t="e">
        <f t="shared" si="8"/>
        <v>#DIV/0!</v>
      </c>
      <c r="J136" s="37">
        <f t="shared" si="9"/>
        <v>149115.45600000001</v>
      </c>
      <c r="K136" s="45"/>
      <c r="L136" s="45"/>
      <c r="M136" s="14" t="e">
        <f t="shared" si="10"/>
        <v>#DIV/0!</v>
      </c>
    </row>
    <row r="137" spans="1:16" ht="15" hidden="1" thickBot="1">
      <c r="A137" s="158"/>
      <c r="B137" s="159"/>
      <c r="C137" s="159"/>
      <c r="D137" s="159"/>
      <c r="E137" s="37">
        <v>9544</v>
      </c>
      <c r="F137" s="37"/>
      <c r="G137" s="44"/>
      <c r="H137" s="38">
        <f>H37</f>
        <v>0</v>
      </c>
      <c r="I137" s="37" t="e">
        <f t="shared" si="8"/>
        <v>#DIV/0!</v>
      </c>
      <c r="J137" s="37">
        <f t="shared" si="9"/>
        <v>0</v>
      </c>
      <c r="K137" s="45"/>
      <c r="L137" s="45"/>
      <c r="M137" s="14" t="e">
        <f t="shared" si="10"/>
        <v>#DIV/0!</v>
      </c>
    </row>
    <row r="138" spans="1:16" ht="15" hidden="1" thickBot="1">
      <c r="A138" s="158"/>
      <c r="B138" s="159"/>
      <c r="C138" s="159"/>
      <c r="D138" s="159"/>
      <c r="E138" s="37">
        <v>9544</v>
      </c>
      <c r="F138" s="61">
        <v>0.25</v>
      </c>
      <c r="G138" s="44"/>
      <c r="H138" s="38">
        <f>H37</f>
        <v>0</v>
      </c>
      <c r="I138" s="37" t="e">
        <f t="shared" si="8"/>
        <v>#DIV/0!</v>
      </c>
      <c r="J138" s="37">
        <f t="shared" si="9"/>
        <v>37278.864000000001</v>
      </c>
      <c r="K138" s="45"/>
      <c r="L138" s="45"/>
      <c r="M138" s="14" t="e">
        <f t="shared" si="10"/>
        <v>#DIV/0!</v>
      </c>
    </row>
    <row r="139" spans="1:16" ht="15" hidden="1" thickBot="1">
      <c r="A139" s="158"/>
      <c r="B139" s="159"/>
      <c r="C139" s="159"/>
      <c r="D139" s="159"/>
      <c r="E139" s="37">
        <v>9544</v>
      </c>
      <c r="F139" s="37"/>
      <c r="G139" s="44"/>
      <c r="H139" s="38">
        <f>H37</f>
        <v>0</v>
      </c>
      <c r="I139" s="37" t="e">
        <f t="shared" si="8"/>
        <v>#DIV/0!</v>
      </c>
      <c r="J139" s="37">
        <f t="shared" si="9"/>
        <v>0</v>
      </c>
      <c r="K139" s="45"/>
      <c r="L139" s="45"/>
      <c r="M139" s="14" t="e">
        <f t="shared" si="10"/>
        <v>#DIV/0!</v>
      </c>
    </row>
    <row r="140" spans="1:16" ht="15" hidden="1" thickBot="1">
      <c r="A140" s="158"/>
      <c r="B140" s="159"/>
      <c r="C140" s="159"/>
      <c r="D140" s="159"/>
      <c r="E140" s="37">
        <v>9544</v>
      </c>
      <c r="F140" s="60">
        <v>0.5</v>
      </c>
      <c r="G140" s="44"/>
      <c r="H140" s="38">
        <f>H37</f>
        <v>0</v>
      </c>
      <c r="I140" s="37" t="e">
        <f t="shared" si="8"/>
        <v>#DIV/0!</v>
      </c>
      <c r="J140" s="37">
        <f t="shared" si="9"/>
        <v>74557.728000000003</v>
      </c>
      <c r="K140" s="45"/>
      <c r="L140" s="45"/>
      <c r="M140" s="14" t="e">
        <f t="shared" si="10"/>
        <v>#DIV/0!</v>
      </c>
    </row>
    <row r="141" spans="1:16" ht="15.75" hidden="1" customHeight="1">
      <c r="A141" s="158"/>
      <c r="B141" s="159"/>
      <c r="C141" s="159"/>
      <c r="D141" s="159"/>
      <c r="E141" s="37">
        <v>9544</v>
      </c>
      <c r="F141" s="58">
        <v>1</v>
      </c>
      <c r="G141" s="44"/>
      <c r="H141" s="38">
        <f>H37</f>
        <v>0</v>
      </c>
      <c r="I141" s="37" t="e">
        <f t="shared" si="8"/>
        <v>#DIV/0!</v>
      </c>
      <c r="J141" s="37">
        <f t="shared" si="9"/>
        <v>149115.45600000001</v>
      </c>
      <c r="K141" s="45"/>
      <c r="L141" s="45"/>
      <c r="M141" s="14" t="e">
        <f t="shared" si="10"/>
        <v>#DIV/0!</v>
      </c>
    </row>
    <row r="142" spans="1:16" ht="15" hidden="1" customHeight="1">
      <c r="A142" s="206"/>
      <c r="B142" s="206"/>
      <c r="C142" s="206"/>
      <c r="D142" s="206"/>
      <c r="E142" s="37">
        <v>9544</v>
      </c>
      <c r="F142" s="58">
        <v>1</v>
      </c>
      <c r="G142" s="44"/>
      <c r="H142" s="38">
        <f>H37</f>
        <v>0</v>
      </c>
      <c r="I142" s="37" t="e">
        <f t="shared" si="8"/>
        <v>#DIV/0!</v>
      </c>
      <c r="J142" s="37">
        <f t="shared" si="9"/>
        <v>149115.45600000001</v>
      </c>
      <c r="K142" s="45"/>
      <c r="L142" s="45"/>
      <c r="M142" s="14" t="e">
        <f t="shared" si="10"/>
        <v>#DIV/0!</v>
      </c>
    </row>
    <row r="143" spans="1:16" ht="15" hidden="1" customHeight="1" thickBot="1">
      <c r="A143" s="206"/>
      <c r="B143" s="206"/>
      <c r="C143" s="206"/>
      <c r="D143" s="206"/>
      <c r="E143" s="37">
        <v>9544</v>
      </c>
      <c r="F143" s="60">
        <v>5.5</v>
      </c>
      <c r="G143" s="44"/>
      <c r="H143" s="38">
        <f>H37</f>
        <v>0</v>
      </c>
      <c r="I143" s="37" t="e">
        <f t="shared" si="8"/>
        <v>#DIV/0!</v>
      </c>
      <c r="J143" s="37">
        <f t="shared" si="9"/>
        <v>820135.00800000003</v>
      </c>
      <c r="K143" s="45"/>
      <c r="L143" s="45"/>
      <c r="M143" s="14" t="e">
        <f t="shared" si="10"/>
        <v>#DIV/0!</v>
      </c>
    </row>
    <row r="144" spans="1:16" ht="15" hidden="1" customHeight="1">
      <c r="A144" s="206"/>
      <c r="B144" s="206"/>
      <c r="C144" s="206"/>
      <c r="D144" s="206"/>
      <c r="E144" s="37">
        <v>9544</v>
      </c>
      <c r="F144" s="58">
        <v>1</v>
      </c>
      <c r="G144" s="44"/>
      <c r="H144" s="38">
        <f>H37</f>
        <v>0</v>
      </c>
      <c r="I144" s="37" t="e">
        <f t="shared" si="8"/>
        <v>#DIV/0!</v>
      </c>
      <c r="J144" s="37">
        <f t="shared" si="9"/>
        <v>149115.45600000001</v>
      </c>
      <c r="K144" s="45"/>
      <c r="L144" s="45"/>
      <c r="M144" s="14" t="e">
        <f t="shared" si="10"/>
        <v>#DIV/0!</v>
      </c>
    </row>
    <row r="145" spans="1:16" ht="15" hidden="1" customHeight="1">
      <c r="A145" s="206"/>
      <c r="B145" s="206"/>
      <c r="C145" s="206"/>
      <c r="D145" s="206"/>
      <c r="E145" s="37">
        <v>9544</v>
      </c>
      <c r="F145" s="60">
        <v>0.5</v>
      </c>
      <c r="G145" s="44"/>
      <c r="H145" s="38">
        <f>H37</f>
        <v>0</v>
      </c>
      <c r="I145" s="37" t="e">
        <f t="shared" si="8"/>
        <v>#DIV/0!</v>
      </c>
      <c r="J145" s="37">
        <f t="shared" si="9"/>
        <v>74557.728000000003</v>
      </c>
      <c r="K145" s="45"/>
      <c r="L145" s="45"/>
      <c r="M145" s="14" t="e">
        <f t="shared" si="10"/>
        <v>#DIV/0!</v>
      </c>
    </row>
    <row r="146" spans="1:16" ht="15" hidden="1" customHeight="1">
      <c r="A146" s="206"/>
      <c r="B146" s="206"/>
      <c r="C146" s="206"/>
      <c r="D146" s="206"/>
      <c r="E146" s="37">
        <v>9544</v>
      </c>
      <c r="F146" s="60">
        <v>0.5</v>
      </c>
      <c r="G146" s="44"/>
      <c r="H146" s="38">
        <f>H37</f>
        <v>0</v>
      </c>
      <c r="I146" s="37" t="e">
        <f t="shared" si="8"/>
        <v>#DIV/0!</v>
      </c>
      <c r="J146" s="37">
        <f t="shared" si="9"/>
        <v>74557.728000000003</v>
      </c>
      <c r="K146" s="45"/>
      <c r="L146" s="45"/>
      <c r="M146" s="14" t="e">
        <f t="shared" si="10"/>
        <v>#DIV/0!</v>
      </c>
    </row>
    <row r="147" spans="1:16" ht="15" hidden="1" thickBot="1">
      <c r="A147" s="206"/>
      <c r="B147" s="206"/>
      <c r="C147" s="206"/>
      <c r="D147" s="206"/>
      <c r="E147" s="37">
        <v>9544</v>
      </c>
      <c r="F147" s="58">
        <v>1</v>
      </c>
      <c r="G147" s="44"/>
      <c r="H147" s="38">
        <f>H37</f>
        <v>0</v>
      </c>
      <c r="I147" s="37" t="e">
        <f t="shared" si="8"/>
        <v>#DIV/0!</v>
      </c>
      <c r="J147" s="37">
        <f t="shared" si="9"/>
        <v>149115.45600000001</v>
      </c>
      <c r="K147" s="45"/>
      <c r="L147" s="45"/>
      <c r="M147" s="14" t="e">
        <f t="shared" si="10"/>
        <v>#DIV/0!</v>
      </c>
    </row>
    <row r="148" spans="1:16" ht="15.75" hidden="1" customHeight="1">
      <c r="A148" s="206"/>
      <c r="B148" s="206"/>
      <c r="C148" s="206"/>
      <c r="D148" s="206"/>
      <c r="E148" s="37">
        <v>9544</v>
      </c>
      <c r="F148" s="58">
        <v>4</v>
      </c>
      <c r="G148" s="44"/>
      <c r="H148" s="38">
        <f>H37</f>
        <v>0</v>
      </c>
      <c r="I148" s="37" t="e">
        <f t="shared" si="8"/>
        <v>#DIV/0!</v>
      </c>
      <c r="J148" s="37">
        <f t="shared" si="9"/>
        <v>596461.82400000002</v>
      </c>
      <c r="K148" s="45"/>
      <c r="L148" s="45"/>
      <c r="M148" s="14" t="e">
        <f t="shared" si="10"/>
        <v>#DIV/0!</v>
      </c>
    </row>
    <row r="149" spans="1:16" ht="16.5" hidden="1" customHeight="1">
      <c r="A149" s="158"/>
      <c r="B149" s="159"/>
      <c r="C149" s="159"/>
      <c r="D149" s="159"/>
      <c r="E149" s="37">
        <v>9544</v>
      </c>
      <c r="F149" s="58">
        <v>1</v>
      </c>
      <c r="G149" s="44"/>
      <c r="H149" s="38">
        <f>H37</f>
        <v>0</v>
      </c>
      <c r="I149" s="37" t="e">
        <f t="shared" si="8"/>
        <v>#DIV/0!</v>
      </c>
      <c r="J149" s="37">
        <f t="shared" si="9"/>
        <v>149115.45600000001</v>
      </c>
      <c r="K149" s="45"/>
      <c r="L149" s="45"/>
      <c r="M149" s="14" t="e">
        <f t="shared" si="10"/>
        <v>#DIV/0!</v>
      </c>
    </row>
    <row r="150" spans="1:16" ht="16.5" hidden="1" customHeight="1" thickBot="1">
      <c r="A150" s="158"/>
      <c r="B150" s="159"/>
      <c r="C150" s="159"/>
      <c r="D150" s="159"/>
      <c r="E150" s="37">
        <v>9544</v>
      </c>
      <c r="F150" s="61">
        <v>1.75</v>
      </c>
      <c r="G150" s="44"/>
      <c r="H150" s="38">
        <f>H37</f>
        <v>0</v>
      </c>
      <c r="I150" s="37" t="e">
        <f t="shared" si="8"/>
        <v>#DIV/0!</v>
      </c>
      <c r="J150" s="37">
        <f t="shared" si="9"/>
        <v>260952.04800000001</v>
      </c>
      <c r="K150" s="45"/>
      <c r="L150" s="45"/>
      <c r="M150" s="14" t="e">
        <f t="shared" si="10"/>
        <v>#DIV/0!</v>
      </c>
    </row>
    <row r="151" spans="1:16" ht="16.5" hidden="1" customHeight="1" thickBot="1">
      <c r="A151" s="158"/>
      <c r="B151" s="159"/>
      <c r="C151" s="159"/>
      <c r="D151" s="159"/>
      <c r="E151" s="37">
        <v>9544</v>
      </c>
      <c r="F151" s="38"/>
      <c r="G151" s="44"/>
      <c r="H151" s="38">
        <f>H37</f>
        <v>0</v>
      </c>
      <c r="I151" s="37" t="e">
        <f t="shared" si="8"/>
        <v>#DIV/0!</v>
      </c>
      <c r="J151" s="37">
        <f t="shared" si="9"/>
        <v>0</v>
      </c>
      <c r="K151" s="45"/>
      <c r="L151" s="45"/>
      <c r="M151" s="14" t="e">
        <f t="shared" si="10"/>
        <v>#DIV/0!</v>
      </c>
    </row>
    <row r="152" spans="1:16" ht="16.5" hidden="1" customHeight="1" thickBot="1">
      <c r="A152" s="158"/>
      <c r="B152" s="159"/>
      <c r="C152" s="159"/>
      <c r="D152" s="159"/>
      <c r="E152" s="37">
        <v>9544</v>
      </c>
      <c r="F152" s="60">
        <v>0.5</v>
      </c>
      <c r="G152" s="44"/>
      <c r="H152" s="38">
        <f>H37</f>
        <v>0</v>
      </c>
      <c r="I152" s="37" t="e">
        <f t="shared" si="8"/>
        <v>#DIV/0!</v>
      </c>
      <c r="J152" s="37">
        <f t="shared" si="9"/>
        <v>74557.728000000003</v>
      </c>
      <c r="K152" s="45"/>
      <c r="L152" s="45"/>
      <c r="M152" s="14" t="e">
        <f t="shared" si="10"/>
        <v>#DIV/0!</v>
      </c>
    </row>
    <row r="153" spans="1:16" ht="15" hidden="1" customHeight="1">
      <c r="A153" s="158"/>
      <c r="B153" s="159"/>
      <c r="C153" s="159"/>
      <c r="D153" s="159"/>
      <c r="E153" s="37"/>
      <c r="F153" s="37"/>
      <c r="G153" s="37"/>
      <c r="H153" s="37"/>
      <c r="I153" s="37"/>
      <c r="J153" s="37"/>
      <c r="K153" s="45"/>
      <c r="L153" s="45"/>
      <c r="M153" s="14">
        <f t="shared" si="10"/>
        <v>0</v>
      </c>
    </row>
    <row r="154" spans="1:16" ht="15.75" hidden="1" customHeight="1" thickBot="1">
      <c r="A154" s="158"/>
      <c r="B154" s="159"/>
      <c r="C154" s="159"/>
      <c r="D154" s="159"/>
      <c r="E154" s="37"/>
      <c r="F154" s="37"/>
      <c r="G154" s="37"/>
      <c r="H154" s="37"/>
      <c r="I154" s="37"/>
      <c r="J154" s="37"/>
      <c r="K154" s="45"/>
      <c r="L154" s="45"/>
      <c r="M154" s="14">
        <f t="shared" si="10"/>
        <v>0</v>
      </c>
    </row>
    <row r="155" spans="1:16" ht="14.25" hidden="1" customHeight="1" thickBot="1">
      <c r="A155" s="158"/>
      <c r="B155" s="159"/>
      <c r="C155" s="159"/>
      <c r="D155" s="159"/>
      <c r="E155" s="37"/>
      <c r="F155" s="37"/>
      <c r="G155" s="37"/>
      <c r="H155" s="37"/>
      <c r="I155" s="44">
        <v>105</v>
      </c>
      <c r="J155" s="46">
        <f>H155/I155</f>
        <v>0</v>
      </c>
      <c r="K155" s="45"/>
      <c r="L155" s="45"/>
      <c r="M155" s="30">
        <f t="shared" si="10"/>
        <v>0</v>
      </c>
    </row>
    <row r="156" spans="1:16" ht="15" thickBot="1">
      <c r="A156" s="162" t="s">
        <v>47</v>
      </c>
      <c r="B156" s="162"/>
      <c r="C156" s="162"/>
      <c r="D156" s="162"/>
      <c r="E156" s="62"/>
      <c r="F156" s="96"/>
      <c r="G156" s="96"/>
      <c r="H156" s="66">
        <f>H130</f>
        <v>5875328.0300000003</v>
      </c>
      <c r="I156" s="47"/>
      <c r="J156" s="63">
        <f>J130</f>
        <v>17229.700967741937</v>
      </c>
      <c r="K156" s="45"/>
      <c r="L156" s="45"/>
      <c r="M156" s="15"/>
      <c r="P156">
        <f>H156/48.5%</f>
        <v>12114078.412371134</v>
      </c>
    </row>
    <row r="157" spans="1:16" ht="22.2" customHeight="1">
      <c r="A157" s="10"/>
      <c r="B157" s="10"/>
      <c r="C157" s="10"/>
      <c r="D157" s="10"/>
      <c r="E157" s="10"/>
      <c r="F157" s="10"/>
      <c r="G157" s="10"/>
      <c r="H157" s="12"/>
      <c r="I157" s="12"/>
      <c r="J157" s="12"/>
      <c r="K157" s="10"/>
      <c r="L157" s="10"/>
      <c r="M157" s="10"/>
    </row>
    <row r="158" spans="1:16" ht="22.2" customHeight="1">
      <c r="A158" s="10"/>
      <c r="B158" s="10"/>
      <c r="C158" s="10"/>
      <c r="D158" s="10"/>
      <c r="E158" s="10"/>
      <c r="F158" s="10"/>
      <c r="G158" s="10"/>
      <c r="H158" s="12"/>
      <c r="I158" s="12"/>
      <c r="J158" s="12"/>
      <c r="K158" s="10"/>
      <c r="L158" s="10"/>
      <c r="M158" s="10"/>
    </row>
    <row r="159" spans="1:16">
      <c r="A159" s="179" t="s">
        <v>61</v>
      </c>
      <c r="B159" s="179"/>
      <c r="C159" s="179"/>
      <c r="D159" s="179"/>
      <c r="E159" s="179"/>
      <c r="F159" s="179"/>
      <c r="G159" s="179"/>
      <c r="H159" s="179"/>
      <c r="I159" s="179"/>
      <c r="J159" s="179"/>
      <c r="K159" s="179"/>
      <c r="L159" s="105"/>
      <c r="M159" s="10"/>
    </row>
    <row r="160" spans="1:16" s="76" customFormat="1">
      <c r="A160" s="146"/>
      <c r="B160" s="146"/>
      <c r="C160" s="146"/>
      <c r="D160" s="146"/>
      <c r="E160" s="146"/>
      <c r="F160" s="146"/>
      <c r="G160" s="146"/>
      <c r="H160" s="146"/>
      <c r="I160" s="146"/>
      <c r="J160" s="146"/>
      <c r="K160" s="146"/>
      <c r="L160" s="146"/>
      <c r="M160" s="74"/>
    </row>
    <row r="161" spans="1:13" ht="55.8">
      <c r="A161" s="160" t="s">
        <v>28</v>
      </c>
      <c r="B161" s="161"/>
      <c r="C161" s="161"/>
      <c r="D161" s="161"/>
      <c r="E161" s="8" t="s">
        <v>75</v>
      </c>
      <c r="F161" s="8" t="s">
        <v>48</v>
      </c>
      <c r="G161" s="8" t="s">
        <v>74</v>
      </c>
      <c r="H161" s="8" t="s">
        <v>69</v>
      </c>
      <c r="I161" s="10"/>
      <c r="J161" s="10"/>
      <c r="K161" s="10"/>
      <c r="L161" s="10"/>
    </row>
    <row r="162" spans="1:13" ht="15" thickBot="1">
      <c r="A162" s="158" t="s">
        <v>151</v>
      </c>
      <c r="B162" s="159"/>
      <c r="C162" s="159"/>
      <c r="D162" s="159"/>
      <c r="E162" s="50" t="s">
        <v>27</v>
      </c>
      <c r="F162" s="130">
        <f>720*38.9%</f>
        <v>280.08</v>
      </c>
      <c r="G162" s="44">
        <v>341</v>
      </c>
      <c r="H162" s="91">
        <f t="shared" ref="H162" si="11">F162/G162</f>
        <v>0.82134897360703807</v>
      </c>
      <c r="I162" s="10"/>
      <c r="J162" s="10"/>
      <c r="K162" s="10"/>
      <c r="L162" s="10"/>
    </row>
    <row r="163" spans="1:13" ht="20.25" customHeight="1" thickBot="1">
      <c r="A163" s="163" t="s">
        <v>53</v>
      </c>
      <c r="B163" s="164"/>
      <c r="C163" s="164"/>
      <c r="D163" s="164"/>
      <c r="E163" s="49"/>
      <c r="F163" s="66">
        <f>SUM(F162:F162)</f>
        <v>280.08</v>
      </c>
      <c r="G163" s="45"/>
      <c r="H163" s="51">
        <f>SUM(H162:H162)</f>
        <v>0.82134897360703807</v>
      </c>
      <c r="I163" s="10"/>
      <c r="J163" s="33"/>
      <c r="K163" s="10"/>
      <c r="L163" s="10"/>
    </row>
    <row r="164" spans="1:13" s="76" customFormat="1">
      <c r="A164" s="146"/>
      <c r="B164" s="146"/>
      <c r="C164" s="146"/>
      <c r="D164" s="146"/>
      <c r="E164" s="146"/>
      <c r="F164" s="146"/>
      <c r="G164" s="146"/>
      <c r="H164" s="146"/>
      <c r="I164" s="146"/>
      <c r="J164" s="146"/>
      <c r="K164" s="146"/>
      <c r="L164" s="146"/>
      <c r="M164" s="74"/>
    </row>
    <row r="165" spans="1:13" ht="55.8">
      <c r="A165" s="160" t="s">
        <v>28</v>
      </c>
      <c r="B165" s="161"/>
      <c r="C165" s="161"/>
      <c r="D165" s="161"/>
      <c r="E165" s="8" t="s">
        <v>75</v>
      </c>
      <c r="F165" s="8" t="s">
        <v>48</v>
      </c>
      <c r="G165" s="8" t="s">
        <v>74</v>
      </c>
      <c r="H165" s="8" t="s">
        <v>69</v>
      </c>
      <c r="I165" s="10"/>
      <c r="J165" s="10"/>
      <c r="K165" s="10"/>
      <c r="L165" s="10"/>
    </row>
    <row r="166" spans="1:13" ht="51" customHeight="1" thickBot="1">
      <c r="A166" s="158" t="s">
        <v>153</v>
      </c>
      <c r="B166" s="159"/>
      <c r="C166" s="159"/>
      <c r="D166" s="159"/>
      <c r="E166" s="50" t="s">
        <v>27</v>
      </c>
      <c r="F166" s="130">
        <f>505800*38.9%</f>
        <v>196756.2</v>
      </c>
      <c r="G166" s="44">
        <v>341</v>
      </c>
      <c r="H166" s="91">
        <f t="shared" ref="H166" si="12">F166/G166</f>
        <v>576.99765395894428</v>
      </c>
      <c r="I166" s="10"/>
      <c r="J166" s="10"/>
      <c r="K166" s="10"/>
      <c r="L166" s="10"/>
    </row>
    <row r="167" spans="1:13" ht="20.25" customHeight="1" thickBot="1">
      <c r="A167" s="163" t="s">
        <v>53</v>
      </c>
      <c r="B167" s="164"/>
      <c r="C167" s="164"/>
      <c r="D167" s="164"/>
      <c r="E167" s="49"/>
      <c r="F167" s="66">
        <f>SUM(F166:F166)</f>
        <v>196756.2</v>
      </c>
      <c r="G167" s="45"/>
      <c r="H167" s="51">
        <f>SUM(H166:H166)</f>
        <v>576.99765395894428</v>
      </c>
      <c r="I167" s="10"/>
      <c r="J167" s="33"/>
      <c r="K167" s="10"/>
      <c r="L167" s="10"/>
    </row>
    <row r="168" spans="1:13" s="76" customFormat="1">
      <c r="A168" s="146"/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  <c r="M168" s="74"/>
    </row>
    <row r="169" spans="1:13" ht="55.8">
      <c r="A169" s="160" t="s">
        <v>62</v>
      </c>
      <c r="B169" s="161"/>
      <c r="C169" s="161"/>
      <c r="D169" s="202"/>
      <c r="E169" s="95" t="s">
        <v>7</v>
      </c>
      <c r="F169" s="95" t="s">
        <v>55</v>
      </c>
      <c r="G169" s="95" t="s">
        <v>42</v>
      </c>
      <c r="H169" s="95" t="s">
        <v>48</v>
      </c>
      <c r="I169" s="8" t="s">
        <v>63</v>
      </c>
      <c r="J169" s="8" t="s">
        <v>69</v>
      </c>
      <c r="K169" s="39"/>
      <c r="L169" s="27"/>
      <c r="M169" s="10"/>
    </row>
    <row r="170" spans="1:13" ht="36.75" customHeight="1">
      <c r="A170" s="158" t="s">
        <v>114</v>
      </c>
      <c r="B170" s="159"/>
      <c r="C170" s="159"/>
      <c r="D170" s="172"/>
      <c r="E170" s="95"/>
      <c r="F170" s="95"/>
      <c r="G170" s="95"/>
      <c r="H170" s="129">
        <f>450000*38.9%</f>
        <v>175050</v>
      </c>
      <c r="I170" s="44">
        <v>341</v>
      </c>
      <c r="J170" s="92">
        <f>H170/I170</f>
        <v>513.34310850439886</v>
      </c>
      <c r="K170" s="39"/>
      <c r="L170" s="27"/>
      <c r="M170" s="10"/>
    </row>
    <row r="171" spans="1:13" ht="34.5" customHeight="1" thickBot="1">
      <c r="A171" s="158" t="s">
        <v>115</v>
      </c>
      <c r="B171" s="159"/>
      <c r="C171" s="159"/>
      <c r="D171" s="172"/>
      <c r="E171" s="95"/>
      <c r="F171" s="95"/>
      <c r="G171" s="95"/>
      <c r="H171" s="129">
        <f>250000*38.9%</f>
        <v>97250</v>
      </c>
      <c r="I171" s="44">
        <v>341</v>
      </c>
      <c r="J171" s="92">
        <f t="shared" ref="J171" si="13">H171/I171</f>
        <v>285.19061583577712</v>
      </c>
      <c r="K171" s="39"/>
      <c r="L171" s="27"/>
      <c r="M171" s="10"/>
    </row>
    <row r="172" spans="1:13" ht="15" thickBot="1">
      <c r="A172" s="244" t="s">
        <v>57</v>
      </c>
      <c r="B172" s="245"/>
      <c r="C172" s="245"/>
      <c r="D172" s="245"/>
      <c r="E172" s="245"/>
      <c r="F172" s="245"/>
      <c r="G172" s="246"/>
      <c r="H172" s="56">
        <f>H171+H170</f>
        <v>272300</v>
      </c>
      <c r="I172" s="55"/>
      <c r="J172" s="32">
        <f>SUM(J170:J171)</f>
        <v>798.53372434017592</v>
      </c>
      <c r="K172" s="10"/>
      <c r="L172" s="10"/>
      <c r="M172" s="10"/>
    </row>
    <row r="173" spans="1:13" ht="32.4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</row>
    <row r="174" spans="1:13" ht="55.8">
      <c r="A174" s="160" t="s">
        <v>62</v>
      </c>
      <c r="B174" s="161"/>
      <c r="C174" s="161"/>
      <c r="D174" s="202"/>
      <c r="E174" s="95" t="s">
        <v>116</v>
      </c>
      <c r="F174" s="95" t="s">
        <v>55</v>
      </c>
      <c r="G174" s="95" t="s">
        <v>42</v>
      </c>
      <c r="H174" s="95" t="s">
        <v>48</v>
      </c>
      <c r="I174" s="8" t="s">
        <v>63</v>
      </c>
      <c r="J174" s="8" t="s">
        <v>69</v>
      </c>
      <c r="K174" s="39"/>
      <c r="L174" s="27"/>
      <c r="M174" s="10"/>
    </row>
    <row r="175" spans="1:13">
      <c r="A175" s="158" t="s">
        <v>78</v>
      </c>
      <c r="B175" s="159"/>
      <c r="C175" s="159"/>
      <c r="D175" s="172"/>
      <c r="E175" s="95">
        <v>120</v>
      </c>
      <c r="F175" s="95"/>
      <c r="G175" s="95"/>
      <c r="H175" s="129">
        <f>50000*38.9%</f>
        <v>19450</v>
      </c>
      <c r="I175" s="44">
        <v>341</v>
      </c>
      <c r="J175" s="92">
        <f>H175/I175</f>
        <v>57.038123167155426</v>
      </c>
      <c r="K175" s="39"/>
      <c r="L175" s="27"/>
      <c r="M175" s="10"/>
    </row>
    <row r="176" spans="1:13">
      <c r="A176" s="158" t="s">
        <v>79</v>
      </c>
      <c r="B176" s="159"/>
      <c r="C176" s="159"/>
      <c r="D176" s="172"/>
      <c r="E176" s="95">
        <v>640</v>
      </c>
      <c r="F176" s="95"/>
      <c r="G176" s="95"/>
      <c r="H176" s="129">
        <f>50000*38.9%</f>
        <v>19450</v>
      </c>
      <c r="I176" s="44">
        <v>341</v>
      </c>
      <c r="J176" s="92">
        <f t="shared" ref="J176:J177" si="14">H176/I176</f>
        <v>57.038123167155426</v>
      </c>
      <c r="K176" s="39"/>
      <c r="L176" s="27"/>
      <c r="M176" s="10"/>
    </row>
    <row r="177" spans="1:17" ht="18" customHeight="1" thickBot="1">
      <c r="A177" s="158" t="s">
        <v>80</v>
      </c>
      <c r="B177" s="159"/>
      <c r="C177" s="159"/>
      <c r="D177" s="172"/>
      <c r="E177" s="95">
        <v>200</v>
      </c>
      <c r="F177" s="95"/>
      <c r="G177" s="95"/>
      <c r="H177" s="129">
        <f>50000*38.9%</f>
        <v>19450</v>
      </c>
      <c r="I177" s="44">
        <v>341</v>
      </c>
      <c r="J177" s="92">
        <f t="shared" si="14"/>
        <v>57.038123167155426</v>
      </c>
      <c r="K177" s="39"/>
      <c r="L177" s="27"/>
      <c r="M177" s="10"/>
    </row>
    <row r="178" spans="1:17" ht="15" thickBot="1">
      <c r="A178" s="244" t="s">
        <v>57</v>
      </c>
      <c r="B178" s="245"/>
      <c r="C178" s="245"/>
      <c r="D178" s="245"/>
      <c r="E178" s="245"/>
      <c r="F178" s="245"/>
      <c r="G178" s="246"/>
      <c r="H178" s="56">
        <f>SUM(H175:H177)</f>
        <v>58350</v>
      </c>
      <c r="I178" s="55"/>
      <c r="J178" s="32">
        <f>SUM(J175:J177)</f>
        <v>171.11436950146629</v>
      </c>
      <c r="K178" s="10"/>
      <c r="L178" s="10"/>
      <c r="M178" s="10"/>
    </row>
    <row r="179" spans="1:17" ht="25.2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</row>
    <row r="180" spans="1:17">
      <c r="A180" s="157" t="s">
        <v>29</v>
      </c>
      <c r="B180" s="157"/>
      <c r="C180" s="157"/>
      <c r="D180" s="157"/>
      <c r="E180" s="157"/>
      <c r="F180" s="157"/>
      <c r="G180" s="157"/>
      <c r="H180" s="157"/>
      <c r="I180" s="157"/>
      <c r="J180" s="157"/>
      <c r="K180" s="157"/>
      <c r="L180" s="157"/>
      <c r="M180" s="157"/>
    </row>
    <row r="181" spans="1:17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1:17" ht="47.25" customHeight="1">
      <c r="A182" s="199" t="s">
        <v>30</v>
      </c>
      <c r="B182" s="200"/>
      <c r="C182" s="201"/>
      <c r="D182" s="160" t="s">
        <v>31</v>
      </c>
      <c r="E182" s="161"/>
      <c r="F182" s="161"/>
      <c r="G182" s="161"/>
      <c r="H182" s="161"/>
      <c r="I182" s="161"/>
      <c r="J182" s="161"/>
      <c r="K182" s="161"/>
      <c r="L182" s="202"/>
      <c r="M182" s="142" t="s">
        <v>35</v>
      </c>
      <c r="N182" s="112"/>
      <c r="Q182" s="128">
        <f>H179+H173+H157+F126+F120+F115+G110+G100+H90+H79+H71</f>
        <v>0</v>
      </c>
    </row>
    <row r="183" spans="1:17" ht="24" customHeight="1">
      <c r="A183" s="9" t="s">
        <v>32</v>
      </c>
      <c r="B183" s="104" t="s">
        <v>33</v>
      </c>
      <c r="C183" s="9" t="s">
        <v>34</v>
      </c>
      <c r="D183" s="8" t="s">
        <v>120</v>
      </c>
      <c r="E183" s="8" t="s">
        <v>121</v>
      </c>
      <c r="F183" s="8" t="s">
        <v>122</v>
      </c>
      <c r="G183" s="8" t="s">
        <v>123</v>
      </c>
      <c r="H183" s="8" t="s">
        <v>144</v>
      </c>
      <c r="I183" s="8" t="s">
        <v>150</v>
      </c>
      <c r="J183" s="8" t="s">
        <v>124</v>
      </c>
      <c r="K183" s="34" t="s">
        <v>125</v>
      </c>
      <c r="L183" s="103" t="s">
        <v>123</v>
      </c>
      <c r="M183" s="143"/>
      <c r="N183" s="112"/>
    </row>
    <row r="184" spans="1:17" ht="15" thickBot="1">
      <c r="A184" s="14">
        <f>J70</f>
        <v>14939.458299120235</v>
      </c>
      <c r="B184" s="14"/>
      <c r="C184" s="14"/>
      <c r="D184" s="14">
        <f>J78</f>
        <v>98.265278592375381</v>
      </c>
      <c r="E184" s="14">
        <f>J89</f>
        <v>2409.1762463343111</v>
      </c>
      <c r="F184" s="14">
        <f>I99</f>
        <v>394.0524763636364</v>
      </c>
      <c r="G184" s="14">
        <f>I109</f>
        <v>425.51348551319649</v>
      </c>
      <c r="H184" s="14">
        <f>H114</f>
        <v>8.9778005865102646</v>
      </c>
      <c r="I184" s="14">
        <f>H125</f>
        <v>25.077351906158359</v>
      </c>
      <c r="J184" s="14">
        <f>H119</f>
        <v>33.937683284457478</v>
      </c>
      <c r="K184" s="94">
        <f>J156</f>
        <v>17229.700967741937</v>
      </c>
      <c r="L184" s="93">
        <f>J172+J178+H163+H167</f>
        <v>1547.4670967741936</v>
      </c>
      <c r="M184" s="147">
        <f>SUM(D184:L184)+A184</f>
        <v>37111.626686217016</v>
      </c>
      <c r="N184" s="113">
        <f>J178+J172+H167+H163+J156+H125+H119+H114+I109+I99+J89+J78+J70</f>
        <v>37111.626686217016</v>
      </c>
    </row>
    <row r="185" spans="1:17" ht="15" thickBo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P185" s="89">
        <f>M184*341</f>
        <v>12655064.700000003</v>
      </c>
    </row>
    <row r="186" spans="1:17" ht="15" thickBot="1">
      <c r="A186" s="13" t="s">
        <v>64</v>
      </c>
      <c r="B186" s="13"/>
      <c r="C186" s="13"/>
      <c r="D186" s="10"/>
      <c r="E186" s="10"/>
      <c r="F186" s="10"/>
      <c r="G186" s="10"/>
      <c r="H186" s="10"/>
      <c r="I186" s="10"/>
      <c r="J186" s="65">
        <f>H78+H89+G99+G109+F119+H70+H156+H172+H178+F114+F125+F163+F167</f>
        <v>12655064.700000001</v>
      </c>
      <c r="K186" s="10"/>
      <c r="L186" s="10"/>
      <c r="M186" s="10"/>
    </row>
    <row r="187" spans="1:17" ht="26.25" customHeight="1">
      <c r="A187" s="10"/>
      <c r="B187" s="10"/>
      <c r="C187" s="10"/>
      <c r="D187" s="10"/>
      <c r="E187" s="10"/>
      <c r="F187" s="10"/>
      <c r="G187" s="10"/>
      <c r="H187" s="10"/>
      <c r="I187" s="10"/>
      <c r="K187" s="10"/>
      <c r="L187" s="10"/>
      <c r="N187" s="248"/>
      <c r="O187" s="248"/>
      <c r="P187" s="128">
        <f>J186+'Услуга №2'!J186+'Работа №1'!J185+'Работа №2'!J185+'Работа №3'!J185+'Работа №4'!J185</f>
        <v>32532300</v>
      </c>
    </row>
    <row r="188" spans="1:17" ht="17.25" customHeight="1">
      <c r="A188" s="2" t="s">
        <v>117</v>
      </c>
      <c r="B188" s="2"/>
      <c r="C188" s="2"/>
      <c r="I188" s="2" t="s">
        <v>118</v>
      </c>
    </row>
    <row r="189" spans="1:17" ht="9.75" customHeight="1"/>
    <row r="190" spans="1:17" ht="15.6">
      <c r="A190" s="101" t="s">
        <v>43</v>
      </c>
      <c r="B190" s="6"/>
    </row>
    <row r="191" spans="1:17" ht="15.6">
      <c r="A191" s="101" t="s">
        <v>143</v>
      </c>
      <c r="B191" s="6"/>
    </row>
    <row r="192" spans="1:17" ht="15.6">
      <c r="A192" s="101" t="s">
        <v>81</v>
      </c>
      <c r="C192" s="6"/>
    </row>
    <row r="193" spans="1:12" ht="15.6">
      <c r="A193" s="1"/>
      <c r="B193" s="1"/>
      <c r="C193" s="1"/>
    </row>
    <row r="194" spans="1:12">
      <c r="K194">
        <v>28199700</v>
      </c>
    </row>
    <row r="195" spans="1:12">
      <c r="G195" s="128">
        <f>H178+H172+F163+F125+F119+F114+G109+G99+H89+H78</f>
        <v>1488625.19</v>
      </c>
      <c r="J195" s="10">
        <f>J186/38.9%</f>
        <v>32532300</v>
      </c>
      <c r="K195" s="243">
        <f>H156+H70</f>
        <v>10969683.310000001</v>
      </c>
      <c r="L195" s="243"/>
    </row>
    <row r="196" spans="1:12">
      <c r="G196">
        <f>G195/48.5%</f>
        <v>3069330.2886597938</v>
      </c>
      <c r="J196">
        <f>J195-31996700</f>
        <v>535600</v>
      </c>
      <c r="K196">
        <f>K195/48.5%</f>
        <v>22617903.731958766</v>
      </c>
    </row>
    <row r="197" spans="1:12">
      <c r="G197">
        <f>G196-3797000</f>
        <v>-727669.71134020621</v>
      </c>
      <c r="K197">
        <f>K194-K196</f>
        <v>5581796.2680412345</v>
      </c>
    </row>
  </sheetData>
  <mergeCells count="185">
    <mergeCell ref="N187:O187"/>
    <mergeCell ref="A121:M121"/>
    <mergeCell ref="A122:D122"/>
    <mergeCell ref="A123:D123"/>
    <mergeCell ref="A125:D125"/>
    <mergeCell ref="A124:D124"/>
    <mergeCell ref="A161:D161"/>
    <mergeCell ref="A162:D162"/>
    <mergeCell ref="A163:D163"/>
    <mergeCell ref="A138:D138"/>
    <mergeCell ref="A139:D139"/>
    <mergeCell ref="A140:D140"/>
    <mergeCell ref="A128:D128"/>
    <mergeCell ref="A129:D129"/>
    <mergeCell ref="A130:D130"/>
    <mergeCell ref="A131:D131"/>
    <mergeCell ref="A159:K159"/>
    <mergeCell ref="A144:D144"/>
    <mergeCell ref="A145:D145"/>
    <mergeCell ref="A146:D146"/>
    <mergeCell ref="A165:D165"/>
    <mergeCell ref="A166:D166"/>
    <mergeCell ref="A167:D167"/>
    <mergeCell ref="A133:D133"/>
    <mergeCell ref="A127:M127"/>
    <mergeCell ref="A141:D141"/>
    <mergeCell ref="A142:D142"/>
    <mergeCell ref="A143:D143"/>
    <mergeCell ref="A132:D132"/>
    <mergeCell ref="A134:D134"/>
    <mergeCell ref="A169:D169"/>
    <mergeCell ref="A170:D170"/>
    <mergeCell ref="A172:G172"/>
    <mergeCell ref="K195:L195"/>
    <mergeCell ref="A176:D176"/>
    <mergeCell ref="A177:D177"/>
    <mergeCell ref="A178:G178"/>
    <mergeCell ref="A180:M180"/>
    <mergeCell ref="A171:D171"/>
    <mergeCell ref="A135:D135"/>
    <mergeCell ref="A136:D136"/>
    <mergeCell ref="A137:D137"/>
    <mergeCell ref="A174:D174"/>
    <mergeCell ref="A118:D118"/>
    <mergeCell ref="A88:D88"/>
    <mergeCell ref="A24:E24"/>
    <mergeCell ref="G38:K38"/>
    <mergeCell ref="A119:D119"/>
    <mergeCell ref="A66:M66"/>
    <mergeCell ref="A84:D84"/>
    <mergeCell ref="A85:D85"/>
    <mergeCell ref="A93:D93"/>
    <mergeCell ref="A94:D94"/>
    <mergeCell ref="A95:D95"/>
    <mergeCell ref="A30:E30"/>
    <mergeCell ref="A33:E33"/>
    <mergeCell ref="A34:E34"/>
    <mergeCell ref="A35:E35"/>
    <mergeCell ref="A36:E36"/>
    <mergeCell ref="A37:E37"/>
    <mergeCell ref="A62:D62"/>
    <mergeCell ref="A51:D51"/>
    <mergeCell ref="A86:D86"/>
    <mergeCell ref="A89:D89"/>
    <mergeCell ref="H112:I112"/>
    <mergeCell ref="H113:I113"/>
    <mergeCell ref="H114:I114"/>
    <mergeCell ref="A175:D175"/>
    <mergeCell ref="A31:E31"/>
    <mergeCell ref="G31:K31"/>
    <mergeCell ref="G30:K30"/>
    <mergeCell ref="A87:D87"/>
    <mergeCell ref="A98:D98"/>
    <mergeCell ref="A111:M111"/>
    <mergeCell ref="A113:D113"/>
    <mergeCell ref="A114:D114"/>
    <mergeCell ref="G34:K34"/>
    <mergeCell ref="G35:K35"/>
    <mergeCell ref="G36:K36"/>
    <mergeCell ref="G37:K37"/>
    <mergeCell ref="A73:M73"/>
    <mergeCell ref="A74:D74"/>
    <mergeCell ref="A61:D61"/>
    <mergeCell ref="A49:D49"/>
    <mergeCell ref="A70:D70"/>
    <mergeCell ref="A81:D81"/>
    <mergeCell ref="A82:D82"/>
    <mergeCell ref="A63:K63"/>
    <mergeCell ref="A80:M80"/>
    <mergeCell ref="A38:E38"/>
    <mergeCell ref="A50:D50"/>
    <mergeCell ref="A182:C182"/>
    <mergeCell ref="D182:L182"/>
    <mergeCell ref="G4:M4"/>
    <mergeCell ref="A56:D56"/>
    <mergeCell ref="A57:D57"/>
    <mergeCell ref="A58:D58"/>
    <mergeCell ref="A59:D59"/>
    <mergeCell ref="A60:D60"/>
    <mergeCell ref="A68:D68"/>
    <mergeCell ref="A69:D69"/>
    <mergeCell ref="A32:E32"/>
    <mergeCell ref="A12:M12"/>
    <mergeCell ref="A21:E21"/>
    <mergeCell ref="G21:K21"/>
    <mergeCell ref="A22:E22"/>
    <mergeCell ref="G22:K22"/>
    <mergeCell ref="A23:E23"/>
    <mergeCell ref="G23:K23"/>
    <mergeCell ref="A20:E20"/>
    <mergeCell ref="G20:K20"/>
    <mergeCell ref="A78:D78"/>
    <mergeCell ref="A92:D92"/>
    <mergeCell ref="A96:D96"/>
    <mergeCell ref="A83:D83"/>
    <mergeCell ref="A2:D2"/>
    <mergeCell ref="E2:G2"/>
    <mergeCell ref="A3:B3"/>
    <mergeCell ref="A4:C4"/>
    <mergeCell ref="E4:F4"/>
    <mergeCell ref="A28:E28"/>
    <mergeCell ref="G28:K28"/>
    <mergeCell ref="A29:E29"/>
    <mergeCell ref="G29:K29"/>
    <mergeCell ref="G24:K24"/>
    <mergeCell ref="A25:E25"/>
    <mergeCell ref="G25:K25"/>
    <mergeCell ref="A26:E26"/>
    <mergeCell ref="G26:K26"/>
    <mergeCell ref="A27:E27"/>
    <mergeCell ref="G27:K27"/>
    <mergeCell ref="A16:E16"/>
    <mergeCell ref="G16:K16"/>
    <mergeCell ref="A17:E17"/>
    <mergeCell ref="G17:K17"/>
    <mergeCell ref="A18:E18"/>
    <mergeCell ref="G18:K18"/>
    <mergeCell ref="A19:E19"/>
    <mergeCell ref="G19:K19"/>
    <mergeCell ref="A39:D39"/>
    <mergeCell ref="G39:M39"/>
    <mergeCell ref="A77:D77"/>
    <mergeCell ref="A44:D44"/>
    <mergeCell ref="A45:D45"/>
    <mergeCell ref="A46:D46"/>
    <mergeCell ref="A47:D47"/>
    <mergeCell ref="A48:D48"/>
    <mergeCell ref="A7:M7"/>
    <mergeCell ref="A8:M8"/>
    <mergeCell ref="G32:K32"/>
    <mergeCell ref="G33:K33"/>
    <mergeCell ref="A52:D52"/>
    <mergeCell ref="A53:D53"/>
    <mergeCell ref="A54:D54"/>
    <mergeCell ref="A55:D55"/>
    <mergeCell ref="A75:D75"/>
    <mergeCell ref="A76:D76"/>
    <mergeCell ref="A40:M40"/>
    <mergeCell ref="A42:D42"/>
    <mergeCell ref="A43:D43"/>
    <mergeCell ref="A67:D67"/>
    <mergeCell ref="A91:M91"/>
    <mergeCell ref="A103:D103"/>
    <mergeCell ref="A104:D104"/>
    <mergeCell ref="A105:D105"/>
    <mergeCell ref="A102:D102"/>
    <mergeCell ref="A155:D155"/>
    <mergeCell ref="A156:D156"/>
    <mergeCell ref="A149:D149"/>
    <mergeCell ref="A150:D150"/>
    <mergeCell ref="A151:D151"/>
    <mergeCell ref="A152:D152"/>
    <mergeCell ref="A153:D153"/>
    <mergeCell ref="A154:D154"/>
    <mergeCell ref="A109:D109"/>
    <mergeCell ref="A112:D112"/>
    <mergeCell ref="A106:D106"/>
    <mergeCell ref="A107:D107"/>
    <mergeCell ref="A108:D108"/>
    <mergeCell ref="A117:D117"/>
    <mergeCell ref="A116:M116"/>
    <mergeCell ref="A101:M101"/>
    <mergeCell ref="A97:D97"/>
    <mergeCell ref="A147:D147"/>
    <mergeCell ref="A148:D148"/>
  </mergeCells>
  <pageMargins left="0.70866141732283472" right="0.70866141732283472" top="0.55118110236220474" bottom="0.59055118110236227" header="0.15748031496062992" footer="0.15748031496062992"/>
  <pageSetup paperSize="9" scale="55" orientation="portrait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199"/>
  <sheetViews>
    <sheetView view="pageBreakPreview" topLeftCell="A4" zoomScale="60" zoomScaleNormal="60" workbookViewId="0">
      <selection activeCell="F124" sqref="F124"/>
    </sheetView>
  </sheetViews>
  <sheetFormatPr defaultRowHeight="14.4"/>
  <cols>
    <col min="1" max="1" width="10.77734375" customWidth="1"/>
    <col min="2" max="3" width="5.6640625" customWidth="1"/>
    <col min="4" max="4" width="15.5546875" customWidth="1"/>
    <col min="5" max="5" width="13" customWidth="1"/>
    <col min="6" max="7" width="14.88671875" customWidth="1"/>
    <col min="8" max="8" width="16" customWidth="1"/>
    <col min="9" max="9" width="13.21875" customWidth="1"/>
    <col min="10" max="10" width="13.6640625" customWidth="1"/>
    <col min="11" max="11" width="10.33203125" customWidth="1"/>
    <col min="12" max="12" width="9.44140625" customWidth="1"/>
    <col min="13" max="13" width="11.109375" customWidth="1"/>
    <col min="14" max="14" width="14.44140625" customWidth="1"/>
    <col min="16" max="16" width="21.88671875" customWidth="1"/>
    <col min="17" max="17" width="15.6640625" customWidth="1"/>
  </cols>
  <sheetData>
    <row r="1" spans="1:14" hidden="1"/>
    <row r="2" spans="1:14" ht="15.6" hidden="1">
      <c r="A2" s="183"/>
      <c r="B2" s="183"/>
      <c r="C2" s="183"/>
      <c r="D2" s="183"/>
      <c r="E2" s="183"/>
      <c r="F2" s="183"/>
      <c r="G2" s="183"/>
    </row>
    <row r="3" spans="1:14" ht="15.75" hidden="1" customHeight="1">
      <c r="A3" s="183"/>
      <c r="B3" s="183"/>
      <c r="C3" s="41"/>
      <c r="D3" s="41"/>
      <c r="E3" s="86"/>
      <c r="F3" s="41"/>
      <c r="G3" s="41"/>
    </row>
    <row r="4" spans="1:14" ht="27.75" customHeight="1">
      <c r="A4" s="184"/>
      <c r="B4" s="184"/>
      <c r="C4" s="184"/>
      <c r="D4" s="102"/>
      <c r="E4" s="184"/>
      <c r="F4" s="184"/>
      <c r="G4" s="43"/>
      <c r="H4" s="256"/>
      <c r="I4" s="171"/>
      <c r="J4" s="171"/>
      <c r="K4" s="171"/>
      <c r="L4" s="106"/>
    </row>
    <row r="5" spans="1:14" ht="15.6">
      <c r="A5" s="3"/>
      <c r="B5" s="3"/>
      <c r="C5" s="3"/>
      <c r="D5" s="85"/>
      <c r="E5" s="3"/>
      <c r="F5" s="3"/>
      <c r="G5" s="85"/>
    </row>
    <row r="6" spans="1:14">
      <c r="A6" s="87"/>
      <c r="B6" s="87"/>
      <c r="C6" s="87"/>
      <c r="D6" s="87"/>
      <c r="E6" s="87"/>
      <c r="F6" s="87"/>
      <c r="G6" s="87"/>
    </row>
    <row r="7" spans="1:14" ht="15.6">
      <c r="A7" s="169" t="s">
        <v>119</v>
      </c>
      <c r="B7" s="170"/>
      <c r="C7" s="170"/>
      <c r="D7" s="170"/>
      <c r="E7" s="170"/>
      <c r="F7" s="170"/>
      <c r="G7" s="171"/>
      <c r="H7" s="171"/>
      <c r="I7" s="171"/>
      <c r="J7" s="171"/>
      <c r="K7" s="171"/>
      <c r="L7" s="171"/>
      <c r="M7" s="171"/>
    </row>
    <row r="8" spans="1:14" ht="15.6">
      <c r="A8" s="169" t="s">
        <v>128</v>
      </c>
      <c r="B8" s="170"/>
      <c r="C8" s="170"/>
      <c r="D8" s="170"/>
      <c r="E8" s="170"/>
      <c r="F8" s="170"/>
      <c r="G8" s="171"/>
      <c r="H8" s="171"/>
      <c r="I8" s="171"/>
      <c r="J8" s="171"/>
      <c r="K8" s="171"/>
      <c r="L8" s="171"/>
      <c r="M8" s="171"/>
    </row>
    <row r="10" spans="1:14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4" ht="15.6">
      <c r="A11" s="7" t="s">
        <v>126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ht="17.25" customHeight="1">
      <c r="A12" s="208" t="s">
        <v>82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</row>
    <row r="13" spans="1:14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4" ht="15.6">
      <c r="A14" s="7" t="s">
        <v>145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4" ht="15.6">
      <c r="A15" s="7" t="s">
        <v>130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4" ht="51.75" customHeight="1">
      <c r="A16" s="195" t="s">
        <v>66</v>
      </c>
      <c r="B16" s="195"/>
      <c r="C16" s="195"/>
      <c r="D16" s="195"/>
      <c r="E16" s="195"/>
      <c r="F16" s="8" t="s">
        <v>65</v>
      </c>
      <c r="G16" s="195" t="s">
        <v>67</v>
      </c>
      <c r="H16" s="195"/>
      <c r="I16" s="195"/>
      <c r="J16" s="195"/>
      <c r="K16" s="195"/>
      <c r="L16" s="8" t="s">
        <v>65</v>
      </c>
      <c r="N16" s="116"/>
    </row>
    <row r="17" spans="1:12">
      <c r="A17" s="196" t="s">
        <v>86</v>
      </c>
      <c r="B17" s="196"/>
      <c r="C17" s="196"/>
      <c r="D17" s="196"/>
      <c r="E17" s="196"/>
      <c r="F17" s="108">
        <f>5*6.2%</f>
        <v>0.31</v>
      </c>
      <c r="G17" s="197" t="s">
        <v>1</v>
      </c>
      <c r="H17" s="197"/>
      <c r="I17" s="197"/>
      <c r="J17" s="197"/>
      <c r="K17" s="197"/>
      <c r="L17" s="108">
        <f>1*6.2%</f>
        <v>6.2E-2</v>
      </c>
    </row>
    <row r="18" spans="1:12">
      <c r="A18" s="196" t="s">
        <v>87</v>
      </c>
      <c r="B18" s="196"/>
      <c r="C18" s="196"/>
      <c r="D18" s="196"/>
      <c r="E18" s="196"/>
      <c r="F18" s="108">
        <f>10.08*6.2%</f>
        <v>0.62495999999999996</v>
      </c>
      <c r="G18" s="189" t="s">
        <v>88</v>
      </c>
      <c r="H18" s="190"/>
      <c r="I18" s="190"/>
      <c r="J18" s="190"/>
      <c r="K18" s="191"/>
      <c r="L18" s="108">
        <f>3*6.2%</f>
        <v>0.186</v>
      </c>
    </row>
    <row r="19" spans="1:12">
      <c r="A19" s="189" t="s">
        <v>100</v>
      </c>
      <c r="B19" s="190"/>
      <c r="C19" s="190"/>
      <c r="D19" s="190"/>
      <c r="E19" s="198"/>
      <c r="F19" s="108">
        <f>6.5*6.2%</f>
        <v>0.40300000000000002</v>
      </c>
      <c r="G19" s="196" t="s">
        <v>89</v>
      </c>
      <c r="H19" s="196"/>
      <c r="I19" s="196"/>
      <c r="J19" s="196"/>
      <c r="K19" s="196"/>
      <c r="L19" s="108">
        <f>1*6.2%</f>
        <v>6.2E-2</v>
      </c>
    </row>
    <row r="20" spans="1:12">
      <c r="A20" s="196"/>
      <c r="B20" s="196"/>
      <c r="C20" s="196"/>
      <c r="D20" s="196"/>
      <c r="E20" s="196"/>
      <c r="F20" s="99"/>
      <c r="G20" s="210" t="s">
        <v>72</v>
      </c>
      <c r="H20" s="211"/>
      <c r="I20" s="211"/>
      <c r="J20" s="211"/>
      <c r="K20" s="212"/>
      <c r="L20" s="108">
        <f>1*6.2%</f>
        <v>6.2E-2</v>
      </c>
    </row>
    <row r="21" spans="1:12" ht="15" customHeight="1">
      <c r="A21" s="196"/>
      <c r="B21" s="196"/>
      <c r="C21" s="196"/>
      <c r="D21" s="196"/>
      <c r="E21" s="196"/>
      <c r="F21" s="99"/>
      <c r="G21" s="186" t="s">
        <v>70</v>
      </c>
      <c r="H21" s="187"/>
      <c r="I21" s="187"/>
      <c r="J21" s="187"/>
      <c r="K21" s="188"/>
      <c r="L21" s="108">
        <f>1*6.2%</f>
        <v>6.2E-2</v>
      </c>
    </row>
    <row r="22" spans="1:12" ht="15" customHeight="1">
      <c r="A22" s="196"/>
      <c r="B22" s="196"/>
      <c r="C22" s="196"/>
      <c r="D22" s="196"/>
      <c r="E22" s="196"/>
      <c r="F22" s="99"/>
      <c r="G22" s="158" t="s">
        <v>90</v>
      </c>
      <c r="H22" s="159"/>
      <c r="I22" s="159"/>
      <c r="J22" s="159"/>
      <c r="K22" s="172"/>
      <c r="L22" s="108">
        <f>0.5*6.2%</f>
        <v>3.1E-2</v>
      </c>
    </row>
    <row r="23" spans="1:12">
      <c r="A23" s="196"/>
      <c r="B23" s="196"/>
      <c r="C23" s="196"/>
      <c r="D23" s="196"/>
      <c r="E23" s="196"/>
      <c r="F23" s="99"/>
      <c r="G23" s="186" t="s">
        <v>91</v>
      </c>
      <c r="H23" s="187"/>
      <c r="I23" s="187"/>
      <c r="J23" s="187"/>
      <c r="K23" s="188"/>
      <c r="L23" s="108">
        <f>1*6.2%</f>
        <v>6.2E-2</v>
      </c>
    </row>
    <row r="24" spans="1:12" ht="28.2" customHeight="1">
      <c r="A24" s="189"/>
      <c r="B24" s="190"/>
      <c r="C24" s="190"/>
      <c r="D24" s="190"/>
      <c r="E24" s="191"/>
      <c r="F24" s="99"/>
      <c r="G24" s="186" t="s">
        <v>133</v>
      </c>
      <c r="H24" s="187"/>
      <c r="I24" s="187"/>
      <c r="J24" s="187"/>
      <c r="K24" s="188"/>
      <c r="L24" s="108">
        <f>1*6.2%</f>
        <v>6.2E-2</v>
      </c>
    </row>
    <row r="25" spans="1:12">
      <c r="A25" s="189"/>
      <c r="B25" s="190"/>
      <c r="C25" s="190"/>
      <c r="D25" s="190"/>
      <c r="E25" s="191"/>
      <c r="F25" s="100"/>
      <c r="G25" s="186" t="s">
        <v>134</v>
      </c>
      <c r="H25" s="187"/>
      <c r="I25" s="187"/>
      <c r="J25" s="187"/>
      <c r="K25" s="188"/>
      <c r="L25" s="108">
        <f>1*6.2%</f>
        <v>6.2E-2</v>
      </c>
    </row>
    <row r="26" spans="1:12" ht="15.75" customHeight="1">
      <c r="A26" s="189"/>
      <c r="B26" s="190"/>
      <c r="C26" s="190"/>
      <c r="D26" s="190"/>
      <c r="E26" s="191"/>
      <c r="F26" s="100"/>
      <c r="G26" s="192" t="s">
        <v>92</v>
      </c>
      <c r="H26" s="193"/>
      <c r="I26" s="193"/>
      <c r="J26" s="193"/>
      <c r="K26" s="194"/>
      <c r="L26" s="108">
        <f>2*6.2%</f>
        <v>0.124</v>
      </c>
    </row>
    <row r="27" spans="1:12" ht="15.75" customHeight="1">
      <c r="A27" s="189"/>
      <c r="B27" s="190"/>
      <c r="C27" s="190"/>
      <c r="D27" s="190"/>
      <c r="E27" s="191"/>
      <c r="F27" s="100"/>
      <c r="G27" s="186" t="s">
        <v>71</v>
      </c>
      <c r="H27" s="187"/>
      <c r="I27" s="187"/>
      <c r="J27" s="187"/>
      <c r="K27" s="188"/>
      <c r="L27" s="108">
        <f>1*6.2%</f>
        <v>6.2E-2</v>
      </c>
    </row>
    <row r="28" spans="1:12" ht="15" customHeight="1">
      <c r="A28" s="185"/>
      <c r="B28" s="185"/>
      <c r="C28" s="185"/>
      <c r="D28" s="185"/>
      <c r="E28" s="185"/>
      <c r="F28" s="100"/>
      <c r="G28" s="158" t="s">
        <v>93</v>
      </c>
      <c r="H28" s="159"/>
      <c r="I28" s="159"/>
      <c r="J28" s="159"/>
      <c r="K28" s="172"/>
      <c r="L28" s="108">
        <f>4.75*6.2%</f>
        <v>0.29449999999999998</v>
      </c>
    </row>
    <row r="29" spans="1:12" ht="15.75" customHeight="1">
      <c r="A29" s="185"/>
      <c r="B29" s="185"/>
      <c r="C29" s="185"/>
      <c r="D29" s="185"/>
      <c r="E29" s="185"/>
      <c r="F29" s="100"/>
      <c r="G29" s="158" t="s">
        <v>131</v>
      </c>
      <c r="H29" s="159"/>
      <c r="I29" s="159"/>
      <c r="J29" s="159"/>
      <c r="K29" s="172"/>
      <c r="L29" s="108">
        <f>3.5*6.2%</f>
        <v>0.217</v>
      </c>
    </row>
    <row r="30" spans="1:12">
      <c r="A30" s="207"/>
      <c r="B30" s="207"/>
      <c r="C30" s="207"/>
      <c r="D30" s="207"/>
      <c r="E30" s="207"/>
      <c r="F30" s="40"/>
      <c r="G30" s="158" t="s">
        <v>94</v>
      </c>
      <c r="H30" s="159"/>
      <c r="I30" s="159"/>
      <c r="J30" s="159"/>
      <c r="K30" s="172"/>
      <c r="L30" s="108">
        <f>2*6.2%</f>
        <v>0.124</v>
      </c>
    </row>
    <row r="31" spans="1:12" ht="14.4" customHeight="1">
      <c r="A31" s="207"/>
      <c r="B31" s="207"/>
      <c r="C31" s="207"/>
      <c r="D31" s="207"/>
      <c r="E31" s="207"/>
      <c r="F31" s="40"/>
      <c r="G31" s="158" t="s">
        <v>95</v>
      </c>
      <c r="H31" s="159"/>
      <c r="I31" s="159"/>
      <c r="J31" s="159"/>
      <c r="K31" s="172"/>
      <c r="L31" s="108">
        <f>0.5*6.2%</f>
        <v>3.1E-2</v>
      </c>
    </row>
    <row r="32" spans="1:12" ht="12.75" customHeight="1">
      <c r="A32" s="207"/>
      <c r="B32" s="207"/>
      <c r="C32" s="207"/>
      <c r="D32" s="207"/>
      <c r="E32" s="207"/>
      <c r="F32" s="40"/>
      <c r="G32" s="158" t="s">
        <v>96</v>
      </c>
      <c r="H32" s="159"/>
      <c r="I32" s="159"/>
      <c r="J32" s="159"/>
      <c r="K32" s="172"/>
      <c r="L32" s="108">
        <f>0.5*6.2%</f>
        <v>3.1E-2</v>
      </c>
    </row>
    <row r="33" spans="1:14" ht="15" customHeight="1">
      <c r="A33" s="207"/>
      <c r="B33" s="207"/>
      <c r="C33" s="207"/>
      <c r="D33" s="207"/>
      <c r="E33" s="207"/>
      <c r="F33" s="40"/>
      <c r="G33" s="158" t="s">
        <v>97</v>
      </c>
      <c r="H33" s="159"/>
      <c r="I33" s="159"/>
      <c r="J33" s="159"/>
      <c r="K33" s="172"/>
      <c r="L33" s="108">
        <f>12.5*6.2%</f>
        <v>0.77500000000000002</v>
      </c>
    </row>
    <row r="34" spans="1:14">
      <c r="A34" s="235"/>
      <c r="B34" s="236"/>
      <c r="C34" s="236"/>
      <c r="D34" s="236"/>
      <c r="E34" s="237"/>
      <c r="F34" s="40"/>
      <c r="G34" s="189" t="s">
        <v>132</v>
      </c>
      <c r="H34" s="190"/>
      <c r="I34" s="190"/>
      <c r="J34" s="190"/>
      <c r="K34" s="191"/>
      <c r="L34" s="108">
        <f>2*6.2%</f>
        <v>0.124</v>
      </c>
    </row>
    <row r="35" spans="1:14" ht="15" customHeight="1">
      <c r="A35" s="235"/>
      <c r="B35" s="236"/>
      <c r="C35" s="236"/>
      <c r="D35" s="236"/>
      <c r="E35" s="237"/>
      <c r="F35" s="40"/>
      <c r="G35" s="189" t="s">
        <v>98</v>
      </c>
      <c r="H35" s="190"/>
      <c r="I35" s="190"/>
      <c r="J35" s="190"/>
      <c r="K35" s="191"/>
      <c r="L35" s="108">
        <f>1*6.2%</f>
        <v>6.2E-2</v>
      </c>
    </row>
    <row r="36" spans="1:14" ht="15" customHeight="1">
      <c r="A36" s="235"/>
      <c r="B36" s="236"/>
      <c r="C36" s="236"/>
      <c r="D36" s="236"/>
      <c r="E36" s="237"/>
      <c r="F36" s="40"/>
      <c r="G36" s="189" t="s">
        <v>99</v>
      </c>
      <c r="H36" s="190"/>
      <c r="I36" s="190"/>
      <c r="J36" s="190"/>
      <c r="K36" s="225"/>
      <c r="L36" s="108">
        <f>1*6.2%</f>
        <v>6.2E-2</v>
      </c>
    </row>
    <row r="37" spans="1:14" ht="15" customHeight="1">
      <c r="A37" s="235"/>
      <c r="B37" s="236"/>
      <c r="C37" s="236"/>
      <c r="D37" s="236"/>
      <c r="E37" s="237"/>
      <c r="F37" s="40"/>
      <c r="G37" s="226"/>
      <c r="H37" s="227"/>
      <c r="I37" s="227"/>
      <c r="J37" s="227"/>
      <c r="K37" s="228"/>
      <c r="L37" s="117"/>
      <c r="M37" s="118"/>
    </row>
    <row r="38" spans="1:14" ht="15" customHeight="1">
      <c r="A38" s="165" t="s">
        <v>2</v>
      </c>
      <c r="B38" s="165"/>
      <c r="C38" s="165"/>
      <c r="D38" s="165"/>
      <c r="E38" s="165"/>
      <c r="F38" s="115">
        <v>1.34</v>
      </c>
      <c r="G38" s="233" t="s">
        <v>2</v>
      </c>
      <c r="H38" s="233"/>
      <c r="I38" s="233"/>
      <c r="J38" s="233"/>
      <c r="K38" s="233"/>
      <c r="L38" s="114">
        <v>2.56</v>
      </c>
      <c r="N38" s="116">
        <f>L38+F38+'Услуга №2'!F40+'Услуга №2'!M40+'Работа №1'!F40+'Работа №1'!M40+'Работа №2'!F40+'Работа №2'!M40+'Работа №3'!F40+'Работа №3'!M40+'Работа №4'!F40+'Работа №4'!M40</f>
        <v>3.9000000000000004</v>
      </c>
    </row>
    <row r="39" spans="1:14" ht="98.25" hidden="1" customHeight="1">
      <c r="A39" s="165" t="s">
        <v>2</v>
      </c>
      <c r="B39" s="165"/>
      <c r="C39" s="165"/>
      <c r="D39" s="165"/>
      <c r="E39" s="69">
        <f>SUM(E17:E28)</f>
        <v>0</v>
      </c>
      <c r="F39" s="123"/>
      <c r="G39" s="166" t="s">
        <v>2</v>
      </c>
      <c r="H39" s="166"/>
      <c r="I39" s="166"/>
      <c r="J39" s="166"/>
      <c r="K39" s="166"/>
      <c r="L39" s="166"/>
      <c r="M39" s="166"/>
    </row>
    <row r="40" spans="1:14" hidden="1">
      <c r="A40" s="179" t="s">
        <v>15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</row>
    <row r="41" spans="1:14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4" ht="80.25" hidden="1" customHeight="1">
      <c r="A42" s="180" t="s">
        <v>6</v>
      </c>
      <c r="B42" s="180"/>
      <c r="C42" s="180"/>
      <c r="D42" s="180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181">
        <v>1</v>
      </c>
      <c r="B43" s="182"/>
      <c r="C43" s="182"/>
      <c r="D43" s="182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4" ht="15" hidden="1" customHeight="1">
      <c r="A44" s="168" t="s">
        <v>39</v>
      </c>
      <c r="B44" s="168"/>
      <c r="C44" s="168"/>
      <c r="D44" s="168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168" t="s">
        <v>40</v>
      </c>
      <c r="B45" s="168"/>
      <c r="C45" s="168"/>
      <c r="D45" s="168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168" t="s">
        <v>41</v>
      </c>
      <c r="B46" s="168"/>
      <c r="C46" s="168"/>
      <c r="D46" s="168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168"/>
      <c r="B47" s="168"/>
      <c r="C47" s="168"/>
      <c r="D47" s="168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4" ht="15" hidden="1" customHeight="1">
      <c r="A48" s="168"/>
      <c r="B48" s="168"/>
      <c r="C48" s="168"/>
      <c r="D48" s="168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173"/>
      <c r="B49" s="174"/>
      <c r="C49" s="174"/>
      <c r="D49" s="174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173"/>
      <c r="B50" s="174"/>
      <c r="C50" s="174"/>
      <c r="D50" s="174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173"/>
      <c r="B51" s="174"/>
      <c r="C51" s="174"/>
      <c r="D51" s="174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173"/>
      <c r="B52" s="174"/>
      <c r="C52" s="174"/>
      <c r="D52" s="174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173"/>
      <c r="B53" s="174"/>
      <c r="C53" s="174"/>
      <c r="D53" s="174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175"/>
      <c r="B54" s="176"/>
      <c r="C54" s="176"/>
      <c r="D54" s="176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175"/>
      <c r="B55" s="176"/>
      <c r="C55" s="176"/>
      <c r="D55" s="176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175"/>
      <c r="B56" s="176"/>
      <c r="C56" s="176"/>
      <c r="D56" s="176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175"/>
      <c r="B57" s="176"/>
      <c r="C57" s="176"/>
      <c r="D57" s="176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175"/>
      <c r="B58" s="176"/>
      <c r="C58" s="176"/>
      <c r="D58" s="176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175"/>
      <c r="B59" s="176"/>
      <c r="C59" s="176"/>
      <c r="D59" s="176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175"/>
      <c r="B60" s="176"/>
      <c r="C60" s="176"/>
      <c r="D60" s="176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175"/>
      <c r="B61" s="176"/>
      <c r="C61" s="176"/>
      <c r="D61" s="176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38" t="s">
        <v>59</v>
      </c>
      <c r="B62" s="238"/>
      <c r="C62" s="238"/>
      <c r="D62" s="23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30" t="s">
        <v>14</v>
      </c>
      <c r="B63" s="231"/>
      <c r="C63" s="231"/>
      <c r="D63" s="231"/>
      <c r="E63" s="231"/>
      <c r="F63" s="231"/>
      <c r="G63" s="231"/>
      <c r="H63" s="231"/>
      <c r="I63" s="231"/>
      <c r="J63" s="231"/>
      <c r="K63" s="232"/>
      <c r="L63" s="122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34" t="s">
        <v>76</v>
      </c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4"/>
    </row>
    <row r="67" spans="1:14" ht="69.599999999999994">
      <c r="A67" s="229" t="s">
        <v>3</v>
      </c>
      <c r="B67" s="229"/>
      <c r="C67" s="229"/>
      <c r="D67" s="229"/>
      <c r="E67" s="8" t="s">
        <v>4</v>
      </c>
      <c r="F67" s="9" t="s">
        <v>0</v>
      </c>
      <c r="G67" s="34" t="s">
        <v>52</v>
      </c>
      <c r="H67" s="34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04">
        <v>1</v>
      </c>
      <c r="B68" s="205"/>
      <c r="C68" s="205"/>
      <c r="D68" s="205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5">
        <v>7</v>
      </c>
      <c r="K68" s="36">
        <v>8</v>
      </c>
      <c r="L68" s="109"/>
      <c r="M68" s="27"/>
    </row>
    <row r="69" spans="1:14" ht="40.200000000000003" customHeight="1" thickBot="1">
      <c r="A69" s="206" t="s">
        <v>66</v>
      </c>
      <c r="B69" s="206"/>
      <c r="C69" s="206"/>
      <c r="D69" s="206"/>
      <c r="E69" s="37">
        <f>G69/12/F69</f>
        <v>38782.365049751243</v>
      </c>
      <c r="F69" s="37">
        <v>1.34</v>
      </c>
      <c r="G69" s="131">
        <v>623620.43000000005</v>
      </c>
      <c r="H69" s="37">
        <v>811953.8</v>
      </c>
      <c r="I69" s="44">
        <v>54</v>
      </c>
      <c r="J69" s="37">
        <f>H69/I69</f>
        <v>15036.181481481482</v>
      </c>
      <c r="K69" s="57">
        <f>H69/13096028.99*100</f>
        <v>6.2000000200060645</v>
      </c>
      <c r="L69" s="110"/>
      <c r="M69" s="15"/>
    </row>
    <row r="70" spans="1:14" ht="15" thickBot="1">
      <c r="A70" s="162" t="s">
        <v>47</v>
      </c>
      <c r="B70" s="162"/>
      <c r="C70" s="162"/>
      <c r="D70" s="162"/>
      <c r="E70" s="62"/>
      <c r="F70" s="120"/>
      <c r="G70" s="120"/>
      <c r="H70" s="66">
        <f>H69</f>
        <v>811953.8</v>
      </c>
      <c r="I70" s="47"/>
      <c r="J70" s="63">
        <f>J69</f>
        <v>15036.181481481482</v>
      </c>
      <c r="K70" s="45"/>
      <c r="L70" s="45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157" t="s">
        <v>85</v>
      </c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1:14" ht="73.5" customHeight="1">
      <c r="A74" s="229" t="s">
        <v>17</v>
      </c>
      <c r="B74" s="229"/>
      <c r="C74" s="229"/>
      <c r="D74" s="229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6"/>
    </row>
    <row r="75" spans="1:14" ht="18.75" customHeight="1">
      <c r="A75" s="177">
        <v>1</v>
      </c>
      <c r="B75" s="178"/>
      <c r="C75" s="178"/>
      <c r="D75" s="178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167" t="s">
        <v>51</v>
      </c>
      <c r="B76" s="167"/>
      <c r="C76" s="167"/>
      <c r="D76" s="167"/>
      <c r="E76" s="126">
        <v>5</v>
      </c>
      <c r="F76" s="126">
        <v>12</v>
      </c>
      <c r="G76" s="37">
        <v>687.02</v>
      </c>
      <c r="H76" s="131">
        <f>41221.2*6.2%</f>
        <v>2555.7143999999998</v>
      </c>
      <c r="I76" s="44">
        <v>54</v>
      </c>
      <c r="J76" s="37">
        <f>H76/I76</f>
        <v>47.328044444444444</v>
      </c>
      <c r="K76" s="10"/>
      <c r="L76" s="10"/>
      <c r="M76" s="16"/>
    </row>
    <row r="77" spans="1:14" ht="15" thickBot="1">
      <c r="A77" s="167" t="s">
        <v>60</v>
      </c>
      <c r="B77" s="167"/>
      <c r="C77" s="167"/>
      <c r="D77" s="167"/>
      <c r="E77" s="126">
        <v>1</v>
      </c>
      <c r="F77" s="126">
        <v>12</v>
      </c>
      <c r="G77" s="37">
        <v>3743.23</v>
      </c>
      <c r="H77" s="131">
        <f>44918.8*6.2%</f>
        <v>2784.9656</v>
      </c>
      <c r="I77" s="44">
        <v>54</v>
      </c>
      <c r="J77" s="37">
        <f>H77/I77</f>
        <v>51.573437037037039</v>
      </c>
      <c r="K77" s="10"/>
      <c r="L77" s="10"/>
      <c r="M77" s="10"/>
    </row>
    <row r="78" spans="1:14" ht="15" thickBot="1">
      <c r="A78" s="213" t="s">
        <v>25</v>
      </c>
      <c r="B78" s="214"/>
      <c r="C78" s="214"/>
      <c r="D78" s="214"/>
      <c r="E78" s="53"/>
      <c r="F78" s="53"/>
      <c r="G78" s="53"/>
      <c r="H78" s="66">
        <f>SUM(H76:H77)</f>
        <v>5340.68</v>
      </c>
      <c r="I78" s="47"/>
      <c r="J78" s="54">
        <f>SUM(J76:J77)</f>
        <v>98.901481481481483</v>
      </c>
      <c r="K78" s="10"/>
      <c r="L78" s="10"/>
      <c r="M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157" t="s">
        <v>16</v>
      </c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</row>
    <row r="81" spans="1:13" ht="73.5" customHeight="1">
      <c r="A81" s="229" t="s">
        <v>17</v>
      </c>
      <c r="B81" s="229"/>
      <c r="C81" s="229"/>
      <c r="D81" s="229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3" ht="18.75" customHeight="1">
      <c r="A82" s="177">
        <v>1</v>
      </c>
      <c r="B82" s="178"/>
      <c r="C82" s="178"/>
      <c r="D82" s="178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3">
      <c r="A83" s="167" t="s">
        <v>19</v>
      </c>
      <c r="B83" s="167"/>
      <c r="C83" s="167"/>
      <c r="D83" s="167"/>
      <c r="E83" s="29" t="s">
        <v>22</v>
      </c>
      <c r="F83" s="28">
        <f>H83/G83</f>
        <v>4.4276707688342896</v>
      </c>
      <c r="G83" s="37">
        <v>6441.31</v>
      </c>
      <c r="H83" s="131">
        <f>460000*6.2%</f>
        <v>28520</v>
      </c>
      <c r="I83" s="44">
        <v>54</v>
      </c>
      <c r="J83" s="37">
        <f t="shared" ref="J83:J88" si="2">H83/I83</f>
        <v>528.14814814814815</v>
      </c>
      <c r="K83" s="10"/>
      <c r="L83" s="10"/>
      <c r="M83" s="16"/>
    </row>
    <row r="84" spans="1:13">
      <c r="A84" s="167" t="s">
        <v>20</v>
      </c>
      <c r="B84" s="167"/>
      <c r="C84" s="167"/>
      <c r="D84" s="167"/>
      <c r="E84" s="29" t="s">
        <v>23</v>
      </c>
      <c r="F84" s="29">
        <f>H84/G84</f>
        <v>47.774799309063802</v>
      </c>
      <c r="G84" s="37">
        <v>1690.46</v>
      </c>
      <c r="H84" s="131">
        <f>1302603.02*6.2%</f>
        <v>80761.387239999996</v>
      </c>
      <c r="I84" s="44">
        <v>54</v>
      </c>
      <c r="J84" s="37">
        <f t="shared" si="2"/>
        <v>1495.581245185185</v>
      </c>
      <c r="K84" s="10"/>
      <c r="L84" s="10"/>
      <c r="M84" s="10"/>
    </row>
    <row r="85" spans="1:13">
      <c r="A85" s="167" t="s">
        <v>49</v>
      </c>
      <c r="B85" s="167"/>
      <c r="C85" s="167"/>
      <c r="D85" s="167"/>
      <c r="E85" s="29" t="s">
        <v>24</v>
      </c>
      <c r="F85" s="29">
        <f t="shared" ref="F85:F86" si="3">H85/G85</f>
        <v>227.05078125</v>
      </c>
      <c r="G85" s="37">
        <v>40.96</v>
      </c>
      <c r="H85" s="131">
        <f>150000*6.2%</f>
        <v>9300</v>
      </c>
      <c r="I85" s="44">
        <v>54</v>
      </c>
      <c r="J85" s="37">
        <f t="shared" si="2"/>
        <v>172.22222222222223</v>
      </c>
      <c r="K85" s="10"/>
      <c r="L85" s="10"/>
      <c r="M85" s="10"/>
    </row>
    <row r="86" spans="1:13">
      <c r="A86" s="239" t="s">
        <v>21</v>
      </c>
      <c r="B86" s="239"/>
      <c r="C86" s="239"/>
      <c r="D86" s="239"/>
      <c r="E86" s="52" t="s">
        <v>24</v>
      </c>
      <c r="F86" s="29">
        <f t="shared" si="3"/>
        <v>172.02011735121542</v>
      </c>
      <c r="G86" s="46">
        <v>59.65</v>
      </c>
      <c r="H86" s="133">
        <f>165500*6.2%</f>
        <v>10261</v>
      </c>
      <c r="I86" s="44">
        <v>54</v>
      </c>
      <c r="J86" s="46">
        <f t="shared" si="2"/>
        <v>190.0185185185185</v>
      </c>
      <c r="K86" s="10"/>
      <c r="L86" s="10"/>
      <c r="M86" s="10"/>
    </row>
    <row r="87" spans="1:13" ht="43.8" customHeight="1">
      <c r="A87" s="219" t="s">
        <v>109</v>
      </c>
      <c r="B87" s="220"/>
      <c r="C87" s="220"/>
      <c r="D87" s="221"/>
      <c r="E87" s="50" t="s">
        <v>27</v>
      </c>
      <c r="F87" s="126">
        <v>1</v>
      </c>
      <c r="G87" s="46"/>
      <c r="H87" s="130">
        <f>6796.98*6.2%</f>
        <v>421.41275999999999</v>
      </c>
      <c r="I87" s="44">
        <v>54</v>
      </c>
      <c r="J87" s="46">
        <f t="shared" si="2"/>
        <v>7.8039399999999999</v>
      </c>
      <c r="K87" s="10"/>
      <c r="L87" s="10"/>
      <c r="M87" s="10"/>
    </row>
    <row r="88" spans="1:13" ht="15" thickBot="1">
      <c r="A88" s="219" t="s">
        <v>104</v>
      </c>
      <c r="B88" s="220"/>
      <c r="C88" s="220"/>
      <c r="D88" s="221"/>
      <c r="E88" s="50" t="s">
        <v>27</v>
      </c>
      <c r="F88" s="25">
        <v>1</v>
      </c>
      <c r="G88" s="8"/>
      <c r="H88" s="130">
        <f>27000*6.2%</f>
        <v>1674</v>
      </c>
      <c r="I88" s="44">
        <v>54</v>
      </c>
      <c r="J88" s="46">
        <f t="shared" si="2"/>
        <v>31</v>
      </c>
      <c r="K88" s="10"/>
      <c r="L88" s="10"/>
      <c r="M88" s="10"/>
    </row>
    <row r="89" spans="1:13" ht="15" thickBot="1">
      <c r="A89" s="213" t="s">
        <v>25</v>
      </c>
      <c r="B89" s="214"/>
      <c r="C89" s="214"/>
      <c r="D89" s="214"/>
      <c r="E89" s="53"/>
      <c r="F89" s="53"/>
      <c r="G89" s="53"/>
      <c r="H89" s="66">
        <f>SUM(H83:H88)</f>
        <v>130937.8</v>
      </c>
      <c r="I89" s="47"/>
      <c r="J89" s="54">
        <f>SUM(J83:J88)</f>
        <v>2424.7740740740737</v>
      </c>
      <c r="K89" s="10"/>
      <c r="L89" s="10"/>
      <c r="M89" s="10"/>
    </row>
    <row r="90" spans="1:13" ht="15.75" customHeight="1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10"/>
      <c r="L90" s="10"/>
      <c r="M90" s="10"/>
    </row>
    <row r="91" spans="1:13">
      <c r="A91" s="157" t="s">
        <v>26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</row>
    <row r="92" spans="1:13" ht="55.8">
      <c r="A92" s="215" t="s">
        <v>28</v>
      </c>
      <c r="B92" s="215"/>
      <c r="C92" s="215"/>
      <c r="D92" s="215"/>
      <c r="E92" s="25" t="s">
        <v>7</v>
      </c>
      <c r="F92" s="25" t="s">
        <v>18</v>
      </c>
      <c r="G92" s="8" t="s">
        <v>48</v>
      </c>
      <c r="H92" s="8" t="s">
        <v>74</v>
      </c>
      <c r="I92" s="8" t="s">
        <v>69</v>
      </c>
      <c r="J92" s="10"/>
      <c r="K92" s="10"/>
      <c r="L92" s="10"/>
    </row>
    <row r="93" spans="1:13" ht="15" customHeight="1">
      <c r="A93" s="219" t="s">
        <v>105</v>
      </c>
      <c r="B93" s="220"/>
      <c r="C93" s="220"/>
      <c r="D93" s="221"/>
      <c r="E93" s="50" t="s">
        <v>27</v>
      </c>
      <c r="F93" s="50">
        <v>1</v>
      </c>
      <c r="G93" s="130">
        <f>136560*6.2%</f>
        <v>8466.7199999999993</v>
      </c>
      <c r="H93" s="44">
        <v>54</v>
      </c>
      <c r="I93" s="90">
        <f>G93/H93</f>
        <v>156.79111111111109</v>
      </c>
      <c r="J93" s="10"/>
      <c r="K93" s="10"/>
      <c r="L93" s="10"/>
    </row>
    <row r="94" spans="1:13" ht="15" customHeight="1">
      <c r="A94" s="219" t="s">
        <v>106</v>
      </c>
      <c r="B94" s="220"/>
      <c r="C94" s="220"/>
      <c r="D94" s="221"/>
      <c r="E94" s="50" t="s">
        <v>27</v>
      </c>
      <c r="F94" s="50">
        <v>1</v>
      </c>
      <c r="G94" s="130">
        <f>99000*6.2%</f>
        <v>6138</v>
      </c>
      <c r="H94" s="44">
        <v>54</v>
      </c>
      <c r="I94" s="90">
        <f t="shared" ref="I94:I98" si="4">G94/H94</f>
        <v>113.66666666666667</v>
      </c>
      <c r="J94" s="10"/>
      <c r="K94" s="10"/>
      <c r="L94" s="10"/>
    </row>
    <row r="95" spans="1:13" ht="15" customHeight="1">
      <c r="A95" s="219" t="s">
        <v>107</v>
      </c>
      <c r="B95" s="220"/>
      <c r="C95" s="220"/>
      <c r="D95" s="221"/>
      <c r="E95" s="50" t="s">
        <v>27</v>
      </c>
      <c r="F95" s="50">
        <v>1</v>
      </c>
      <c r="G95" s="130">
        <f>9600*6.2%</f>
        <v>595.20000000000005</v>
      </c>
      <c r="H95" s="44">
        <v>54</v>
      </c>
      <c r="I95" s="90">
        <f t="shared" si="4"/>
        <v>11.022222222222224</v>
      </c>
      <c r="J95" s="10"/>
      <c r="K95" s="10"/>
      <c r="L95" s="10"/>
    </row>
    <row r="96" spans="1:13" ht="15" customHeight="1">
      <c r="A96" s="216" t="s">
        <v>108</v>
      </c>
      <c r="B96" s="217"/>
      <c r="C96" s="217"/>
      <c r="D96" s="218"/>
      <c r="E96" s="50" t="s">
        <v>27</v>
      </c>
      <c r="F96" s="50">
        <v>1</v>
      </c>
      <c r="G96" s="131">
        <f>40000*6.2%</f>
        <v>2480</v>
      </c>
      <c r="H96" s="44">
        <v>54</v>
      </c>
      <c r="I96" s="90">
        <f t="shared" si="4"/>
        <v>45.925925925925924</v>
      </c>
      <c r="J96" s="10"/>
      <c r="K96" s="10"/>
      <c r="L96" s="10"/>
    </row>
    <row r="97" spans="1:13" ht="28.5" customHeight="1">
      <c r="A97" s="219" t="s">
        <v>109</v>
      </c>
      <c r="B97" s="220"/>
      <c r="C97" s="220"/>
      <c r="D97" s="221"/>
      <c r="E97" s="50" t="s">
        <v>27</v>
      </c>
      <c r="F97" s="50">
        <v>1</v>
      </c>
      <c r="G97" s="132">
        <f>57196.86*6.2%</f>
        <v>3546.20532</v>
      </c>
      <c r="H97" s="44">
        <v>54</v>
      </c>
      <c r="I97" s="90">
        <f>G97/H97</f>
        <v>65.670468888888891</v>
      </c>
      <c r="J97" s="10"/>
      <c r="K97" s="15"/>
      <c r="L97" s="15"/>
    </row>
    <row r="98" spans="1:13" ht="16.5" customHeight="1" thickBot="1">
      <c r="A98" s="222" t="s">
        <v>135</v>
      </c>
      <c r="B98" s="223"/>
      <c r="C98" s="223"/>
      <c r="D98" s="224"/>
      <c r="E98" s="50" t="s">
        <v>27</v>
      </c>
      <c r="F98" s="50">
        <v>1</v>
      </c>
      <c r="G98" s="131">
        <f>3072*6.2%+0.0679</f>
        <v>190.53190000000001</v>
      </c>
      <c r="H98" s="44">
        <v>54</v>
      </c>
      <c r="I98" s="90">
        <f t="shared" si="4"/>
        <v>3.5283685185185187</v>
      </c>
      <c r="J98" s="10"/>
      <c r="K98" s="10"/>
      <c r="L98" s="10"/>
    </row>
    <row r="99" spans="1:13" ht="15" customHeight="1" thickBot="1">
      <c r="A99" s="124" t="s">
        <v>54</v>
      </c>
      <c r="B99" s="125"/>
      <c r="C99" s="125"/>
      <c r="D99" s="125"/>
      <c r="E99" s="125"/>
      <c r="F99" s="125"/>
      <c r="G99" s="67">
        <f>SUM(G93:G98)</f>
        <v>21416.657220000001</v>
      </c>
      <c r="I99" s="32">
        <f>SUM(I93:I98)</f>
        <v>396.60476333333332</v>
      </c>
      <c r="K99" s="10"/>
      <c r="L99" s="10"/>
      <c r="M99" s="10"/>
    </row>
    <row r="100" spans="1:13" ht="37.200000000000003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1:13" ht="15" customHeight="1">
      <c r="A101" s="157" t="s">
        <v>50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</row>
    <row r="102" spans="1:13" ht="55.8">
      <c r="A102" s="160" t="s">
        <v>28</v>
      </c>
      <c r="B102" s="161"/>
      <c r="C102" s="161"/>
      <c r="D102" s="161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3" ht="44.4" customHeight="1">
      <c r="A103" s="158" t="s">
        <v>136</v>
      </c>
      <c r="B103" s="159"/>
      <c r="C103" s="159"/>
      <c r="D103" s="159"/>
      <c r="E103" s="50" t="s">
        <v>27</v>
      </c>
      <c r="F103" s="50">
        <v>1</v>
      </c>
      <c r="G103" s="130">
        <f>6000*6.2%</f>
        <v>372</v>
      </c>
      <c r="H103" s="44">
        <v>54</v>
      </c>
      <c r="I103" s="91">
        <f>G103/H103</f>
        <v>6.8888888888888893</v>
      </c>
      <c r="J103" s="10"/>
      <c r="K103" s="10"/>
      <c r="L103" s="10"/>
      <c r="M103" s="10"/>
    </row>
    <row r="104" spans="1:13" ht="15" customHeight="1">
      <c r="A104" s="158" t="s">
        <v>110</v>
      </c>
      <c r="B104" s="159"/>
      <c r="C104" s="159"/>
      <c r="D104" s="159"/>
      <c r="E104" s="50" t="s">
        <v>27</v>
      </c>
      <c r="F104" s="50">
        <v>1</v>
      </c>
      <c r="G104" s="130">
        <f>34580*6.2%-0.1</f>
        <v>2143.86</v>
      </c>
      <c r="H104" s="44">
        <v>54</v>
      </c>
      <c r="I104" s="91">
        <f t="shared" ref="I104:I108" si="5">G104/H104</f>
        <v>39.701111111111111</v>
      </c>
      <c r="J104" s="10"/>
      <c r="K104" s="10"/>
      <c r="L104" s="10"/>
      <c r="M104" s="10"/>
    </row>
    <row r="105" spans="1:13" ht="29.4" customHeight="1">
      <c r="A105" s="158" t="s">
        <v>111</v>
      </c>
      <c r="B105" s="159"/>
      <c r="C105" s="159"/>
      <c r="D105" s="159"/>
      <c r="E105" s="50" t="s">
        <v>27</v>
      </c>
      <c r="F105" s="50">
        <v>1</v>
      </c>
      <c r="G105" s="130">
        <f>117715*6.2%</f>
        <v>7298.33</v>
      </c>
      <c r="H105" s="44">
        <v>54</v>
      </c>
      <c r="I105" s="91">
        <f t="shared" si="5"/>
        <v>135.15425925925925</v>
      </c>
      <c r="J105" s="10"/>
      <c r="K105" s="10"/>
      <c r="L105" s="10"/>
      <c r="M105" s="10"/>
    </row>
    <row r="106" spans="1:13" ht="27" customHeight="1">
      <c r="A106" s="158" t="s">
        <v>112</v>
      </c>
      <c r="B106" s="159"/>
      <c r="C106" s="159"/>
      <c r="D106" s="159"/>
      <c r="E106" s="50" t="s">
        <v>27</v>
      </c>
      <c r="F106" s="50">
        <v>1</v>
      </c>
      <c r="G106" s="130">
        <f>190481.13*6.2%</f>
        <v>11809.83006</v>
      </c>
      <c r="H106" s="44">
        <v>54</v>
      </c>
      <c r="I106" s="91">
        <f t="shared" si="5"/>
        <v>218.70055666666667</v>
      </c>
      <c r="J106" s="10"/>
      <c r="K106" s="10"/>
      <c r="L106" s="10"/>
      <c r="M106" s="10"/>
    </row>
    <row r="107" spans="1:13" ht="18" customHeight="1">
      <c r="A107" s="158" t="s">
        <v>137</v>
      </c>
      <c r="B107" s="159"/>
      <c r="C107" s="159"/>
      <c r="D107" s="159"/>
      <c r="E107" s="50" t="s">
        <v>27</v>
      </c>
      <c r="F107" s="50">
        <v>1</v>
      </c>
      <c r="G107" s="132">
        <f>17512.01*6.2%</f>
        <v>1085.7446199999999</v>
      </c>
      <c r="H107" s="44">
        <v>54</v>
      </c>
      <c r="I107" s="91">
        <f t="shared" si="5"/>
        <v>20.10638185185185</v>
      </c>
      <c r="J107" s="10"/>
      <c r="K107" s="10"/>
      <c r="L107" s="10"/>
      <c r="M107" s="10"/>
    </row>
    <row r="108" spans="1:13" ht="42" customHeight="1" thickBot="1">
      <c r="A108" s="158" t="s">
        <v>113</v>
      </c>
      <c r="B108" s="159"/>
      <c r="C108" s="159"/>
      <c r="D108" s="159"/>
      <c r="E108" s="50" t="s">
        <v>27</v>
      </c>
      <c r="F108" s="50">
        <v>1</v>
      </c>
      <c r="G108" s="132">
        <f>6720*6.2%+0.0321</f>
        <v>416.6721</v>
      </c>
      <c r="H108" s="44">
        <v>54</v>
      </c>
      <c r="I108" s="91">
        <f t="shared" si="5"/>
        <v>7.7161499999999998</v>
      </c>
      <c r="J108" s="10"/>
      <c r="K108" s="10"/>
      <c r="L108" s="10"/>
      <c r="M108" s="10"/>
    </row>
    <row r="109" spans="1:13" ht="20.25" customHeight="1" thickBot="1">
      <c r="A109" s="163" t="s">
        <v>53</v>
      </c>
      <c r="B109" s="164"/>
      <c r="C109" s="164"/>
      <c r="D109" s="164"/>
      <c r="E109" s="88"/>
      <c r="F109" s="49"/>
      <c r="G109" s="66">
        <f>SUM(G103:G108)</f>
        <v>23126.436780000004</v>
      </c>
      <c r="H109" s="45"/>
      <c r="I109" s="32">
        <f>SUM(I103:I108)</f>
        <v>428.26734777777779</v>
      </c>
      <c r="J109" s="10"/>
      <c r="K109" s="33"/>
      <c r="L109" s="33"/>
      <c r="M109" s="10"/>
    </row>
    <row r="110" spans="1:13" s="76" customFormat="1" ht="20.25" customHeight="1">
      <c r="A110" s="77"/>
      <c r="B110" s="77"/>
      <c r="C110" s="77"/>
      <c r="D110" s="77"/>
      <c r="E110" s="77"/>
      <c r="F110" s="77"/>
      <c r="G110" s="77"/>
      <c r="H110" s="77"/>
      <c r="I110" s="71"/>
      <c r="J110" s="72"/>
      <c r="K110" s="73"/>
      <c r="L110" s="73"/>
      <c r="M110" s="78"/>
    </row>
    <row r="111" spans="1:13" ht="15" customHeight="1">
      <c r="A111" s="157" t="s">
        <v>138</v>
      </c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</row>
    <row r="112" spans="1:13" ht="42">
      <c r="A112" s="160" t="s">
        <v>28</v>
      </c>
      <c r="B112" s="161"/>
      <c r="C112" s="161"/>
      <c r="D112" s="161"/>
      <c r="E112" s="8" t="s">
        <v>75</v>
      </c>
      <c r="F112" s="8" t="s">
        <v>48</v>
      </c>
      <c r="G112" s="8" t="s">
        <v>74</v>
      </c>
      <c r="H112" s="8" t="s">
        <v>69</v>
      </c>
      <c r="I112" s="10"/>
      <c r="J112" s="10"/>
      <c r="K112" s="10"/>
      <c r="L112" s="10"/>
    </row>
    <row r="113" spans="1:15" ht="43.8" customHeight="1" thickBot="1">
      <c r="A113" s="158" t="s">
        <v>139</v>
      </c>
      <c r="B113" s="159"/>
      <c r="C113" s="159"/>
      <c r="D113" s="159"/>
      <c r="E113" s="50" t="s">
        <v>27</v>
      </c>
      <c r="F113" s="130">
        <f>7870*6.2%</f>
        <v>487.94</v>
      </c>
      <c r="G113" s="44">
        <v>54</v>
      </c>
      <c r="H113" s="91">
        <f t="shared" ref="H113" si="6">F113/G113</f>
        <v>9.035925925925925</v>
      </c>
      <c r="I113" s="10"/>
      <c r="J113" s="10"/>
      <c r="K113" s="10"/>
      <c r="L113" s="10"/>
    </row>
    <row r="114" spans="1:15" ht="20.25" customHeight="1" thickBot="1">
      <c r="A114" s="163" t="s">
        <v>140</v>
      </c>
      <c r="B114" s="164"/>
      <c r="C114" s="164"/>
      <c r="D114" s="164"/>
      <c r="E114" s="49"/>
      <c r="F114" s="66">
        <f>SUM(F113:F113)</f>
        <v>487.94</v>
      </c>
      <c r="G114" s="45"/>
      <c r="H114" s="51">
        <f>SUM(H113:H113)</f>
        <v>9.035925925925925</v>
      </c>
      <c r="I114" s="10"/>
      <c r="J114" s="33"/>
      <c r="K114" s="10"/>
      <c r="L114" s="10"/>
    </row>
    <row r="115" spans="1:15" s="76" customFormat="1" ht="20.25" customHeight="1">
      <c r="A115" s="77"/>
      <c r="B115" s="77"/>
      <c r="C115" s="77"/>
      <c r="D115" s="77"/>
      <c r="E115" s="127"/>
      <c r="F115" s="71"/>
      <c r="G115" s="72"/>
      <c r="H115" s="73"/>
      <c r="I115" s="74"/>
      <c r="J115" s="75"/>
      <c r="K115" s="74"/>
      <c r="L115" s="74"/>
    </row>
    <row r="116" spans="1:15" ht="15" customHeight="1">
      <c r="A116" s="157" t="s">
        <v>141</v>
      </c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</row>
    <row r="117" spans="1:15" ht="42">
      <c r="A117" s="160" t="s">
        <v>28</v>
      </c>
      <c r="B117" s="161"/>
      <c r="C117" s="161"/>
      <c r="D117" s="161"/>
      <c r="E117" s="8" t="s">
        <v>75</v>
      </c>
      <c r="F117" s="8" t="s">
        <v>48</v>
      </c>
      <c r="G117" s="8" t="s">
        <v>74</v>
      </c>
      <c r="H117" s="8" t="s">
        <v>69</v>
      </c>
      <c r="I117" s="10"/>
      <c r="J117" s="10"/>
      <c r="K117" s="10"/>
      <c r="L117" s="10"/>
    </row>
    <row r="118" spans="1:15" ht="15" thickBot="1">
      <c r="A118" s="158" t="s">
        <v>142</v>
      </c>
      <c r="B118" s="159"/>
      <c r="C118" s="159"/>
      <c r="D118" s="159"/>
      <c r="E118" s="50" t="s">
        <v>27</v>
      </c>
      <c r="F118" s="130">
        <f>29750*6.2%</f>
        <v>1844.5</v>
      </c>
      <c r="G118" s="44">
        <v>54</v>
      </c>
      <c r="H118" s="91">
        <f t="shared" ref="H118" si="7">F118/G118</f>
        <v>34.157407407407405</v>
      </c>
      <c r="I118" s="10"/>
      <c r="J118" s="10"/>
      <c r="K118" s="10"/>
      <c r="L118" s="10"/>
    </row>
    <row r="119" spans="1:15" ht="20.25" customHeight="1" thickBot="1">
      <c r="A119" s="163" t="s">
        <v>53</v>
      </c>
      <c r="B119" s="164"/>
      <c r="C119" s="164"/>
      <c r="D119" s="164"/>
      <c r="E119" s="49"/>
      <c r="F119" s="66">
        <f>SUM(F118:F118)</f>
        <v>1844.5</v>
      </c>
      <c r="G119" s="45"/>
      <c r="H119" s="51">
        <f>SUM(H118:H118)</f>
        <v>34.157407407407405</v>
      </c>
      <c r="I119" s="10"/>
      <c r="J119" s="33"/>
      <c r="K119" s="10"/>
      <c r="L119" s="10"/>
    </row>
    <row r="120" spans="1:15" ht="25.2" customHeight="1">
      <c r="A120" s="79"/>
      <c r="B120" s="79"/>
      <c r="C120" s="79"/>
      <c r="D120" s="79"/>
      <c r="E120" s="80"/>
      <c r="F120" s="81"/>
      <c r="G120" s="82"/>
      <c r="H120" s="81"/>
      <c r="I120" s="83"/>
      <c r="J120" s="64"/>
      <c r="K120" s="84"/>
      <c r="L120" s="84"/>
      <c r="M120" s="48"/>
    </row>
    <row r="121" spans="1:15" ht="15" customHeight="1">
      <c r="A121" s="157" t="s">
        <v>148</v>
      </c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</row>
    <row r="122" spans="1:15" ht="42">
      <c r="A122" s="160" t="s">
        <v>28</v>
      </c>
      <c r="B122" s="161"/>
      <c r="C122" s="161"/>
      <c r="D122" s="161"/>
      <c r="E122" s="8" t="s">
        <v>75</v>
      </c>
      <c r="F122" s="8" t="s">
        <v>48</v>
      </c>
      <c r="G122" s="8" t="s">
        <v>74</v>
      </c>
      <c r="H122" s="8" t="s">
        <v>69</v>
      </c>
      <c r="I122" s="10"/>
      <c r="J122" s="10"/>
      <c r="K122" s="10"/>
      <c r="L122" s="10"/>
    </row>
    <row r="123" spans="1:15">
      <c r="A123" s="158" t="s">
        <v>147</v>
      </c>
      <c r="B123" s="159"/>
      <c r="C123" s="159"/>
      <c r="D123" s="159"/>
      <c r="E123" s="50" t="s">
        <v>27</v>
      </c>
      <c r="F123" s="130">
        <f>4500*6.2%</f>
        <v>279</v>
      </c>
      <c r="G123" s="44">
        <v>54</v>
      </c>
      <c r="H123" s="91">
        <f t="shared" ref="H123:H124" si="8">F123/G123</f>
        <v>5.166666666666667</v>
      </c>
      <c r="I123" s="10"/>
      <c r="J123" s="10"/>
      <c r="K123" s="10"/>
      <c r="L123" s="10"/>
    </row>
    <row r="124" spans="1:15" ht="15.75" customHeight="1" thickBot="1">
      <c r="A124" s="158" t="s">
        <v>149</v>
      </c>
      <c r="B124" s="159"/>
      <c r="C124" s="159"/>
      <c r="D124" s="159"/>
      <c r="E124" s="50" t="s">
        <v>27</v>
      </c>
      <c r="F124" s="130">
        <f>17483*6.2%</f>
        <v>1083.9459999999999</v>
      </c>
      <c r="G124" s="44">
        <v>54</v>
      </c>
      <c r="H124" s="91">
        <f t="shared" si="8"/>
        <v>20.073074074074071</v>
      </c>
      <c r="I124" s="10"/>
      <c r="J124" s="10"/>
      <c r="K124" s="10"/>
      <c r="L124" s="10"/>
    </row>
    <row r="125" spans="1:15" ht="20.25" customHeight="1" thickBot="1">
      <c r="A125" s="163" t="s">
        <v>53</v>
      </c>
      <c r="B125" s="164"/>
      <c r="C125" s="164"/>
      <c r="D125" s="164"/>
      <c r="E125" s="49"/>
      <c r="F125" s="66">
        <f>SUM(F123:F124)</f>
        <v>1362.9459999999999</v>
      </c>
      <c r="G125" s="45"/>
      <c r="H125" s="51">
        <f>SUM(H123:H124)</f>
        <v>25.239740740740739</v>
      </c>
      <c r="I125" s="10"/>
      <c r="J125" s="33"/>
      <c r="K125" s="10"/>
      <c r="L125" s="10"/>
    </row>
    <row r="126" spans="1:15" ht="25.2" customHeight="1">
      <c r="A126" s="79"/>
      <c r="B126" s="79"/>
      <c r="C126" s="79"/>
      <c r="D126" s="79"/>
      <c r="E126" s="80"/>
      <c r="F126" s="81"/>
      <c r="G126" s="82"/>
      <c r="H126" s="81"/>
      <c r="I126" s="83"/>
      <c r="J126" s="64"/>
      <c r="K126" s="84"/>
      <c r="L126" s="84"/>
      <c r="M126" s="48"/>
    </row>
    <row r="127" spans="1:15" ht="15.6">
      <c r="A127" s="234" t="s">
        <v>68</v>
      </c>
      <c r="B127" s="234"/>
      <c r="C127" s="234"/>
      <c r="D127" s="234"/>
      <c r="E127" s="234"/>
      <c r="F127" s="234"/>
      <c r="G127" s="234"/>
      <c r="H127" s="234"/>
      <c r="I127" s="234"/>
      <c r="J127" s="234"/>
      <c r="K127" s="234"/>
      <c r="L127" s="234"/>
      <c r="M127" s="234"/>
    </row>
    <row r="128" spans="1:15" ht="69.599999999999994">
      <c r="A128" s="229" t="s">
        <v>3</v>
      </c>
      <c r="B128" s="229"/>
      <c r="C128" s="229"/>
      <c r="D128" s="229"/>
      <c r="E128" s="8" t="s">
        <v>4</v>
      </c>
      <c r="F128" s="9" t="s">
        <v>0</v>
      </c>
      <c r="G128" s="34" t="s">
        <v>52</v>
      </c>
      <c r="H128" s="34" t="s">
        <v>44</v>
      </c>
      <c r="I128" s="8" t="s">
        <v>63</v>
      </c>
      <c r="J128" s="8" t="s">
        <v>69</v>
      </c>
      <c r="K128" s="8" t="s">
        <v>46</v>
      </c>
      <c r="L128" s="27"/>
      <c r="M128" s="27"/>
      <c r="N128" s="128">
        <v>21290323</v>
      </c>
      <c r="O128">
        <v>62.83</v>
      </c>
    </row>
    <row r="129" spans="1:16">
      <c r="A129" s="204">
        <v>1</v>
      </c>
      <c r="B129" s="205"/>
      <c r="C129" s="205"/>
      <c r="D129" s="205"/>
      <c r="E129" s="25">
        <v>2</v>
      </c>
      <c r="F129" s="11">
        <v>3</v>
      </c>
      <c r="G129" s="25">
        <v>4</v>
      </c>
      <c r="H129" s="25">
        <v>5</v>
      </c>
      <c r="I129" s="26">
        <v>6</v>
      </c>
      <c r="J129" s="35">
        <v>7</v>
      </c>
      <c r="K129" s="36">
        <v>8</v>
      </c>
      <c r="L129" s="109"/>
      <c r="M129" s="27"/>
      <c r="N129">
        <f>11540394-1482000</f>
        <v>10058394</v>
      </c>
      <c r="O129">
        <v>21.58</v>
      </c>
      <c r="P129">
        <f>N129*1.302</f>
        <v>13096028.988</v>
      </c>
    </row>
    <row r="130" spans="1:16" ht="31.2" customHeight="1" thickBot="1">
      <c r="A130" s="206" t="s">
        <v>67</v>
      </c>
      <c r="B130" s="206"/>
      <c r="C130" s="206"/>
      <c r="D130" s="206"/>
      <c r="E130" s="37">
        <f>G130/12/F130</f>
        <v>23412.122395833332</v>
      </c>
      <c r="F130" s="37">
        <v>2.56</v>
      </c>
      <c r="G130" s="131">
        <v>719220.4</v>
      </c>
      <c r="H130" s="37">
        <v>936427.6</v>
      </c>
      <c r="I130" s="44">
        <v>54</v>
      </c>
      <c r="J130" s="37">
        <f>H130/I130</f>
        <v>17341.251851851852</v>
      </c>
      <c r="K130" s="57">
        <f>H130/15104279.4*100</f>
        <v>6.1997502509123334</v>
      </c>
      <c r="L130" s="110"/>
      <c r="M130" s="15"/>
      <c r="N130" s="128">
        <f>N128-N129</f>
        <v>11231929</v>
      </c>
      <c r="O130">
        <v>41.25</v>
      </c>
      <c r="P130">
        <f>N130*1.302</f>
        <v>14623971.558</v>
      </c>
    </row>
    <row r="131" spans="1:16" ht="15" hidden="1" thickBot="1">
      <c r="A131" s="249"/>
      <c r="B131" s="250"/>
      <c r="C131" s="250"/>
      <c r="D131" s="250"/>
      <c r="E131" s="37">
        <v>17865.98</v>
      </c>
      <c r="F131" s="58">
        <v>4</v>
      </c>
      <c r="G131" s="44"/>
      <c r="H131" s="38">
        <f>H37</f>
        <v>0</v>
      </c>
      <c r="I131" s="37" t="e">
        <f t="shared" ref="I131:I152" si="9">F131/G131*H131</f>
        <v>#DIV/0!</v>
      </c>
      <c r="J131" s="37">
        <f t="shared" ref="J131:J152" si="10">E131*F131*12*1.302</f>
        <v>1116552.28608</v>
      </c>
      <c r="K131" s="59" t="s">
        <v>38</v>
      </c>
      <c r="L131" s="111"/>
      <c r="M131" s="31" t="e">
        <f t="shared" ref="M131:M155" si="11">I131*J131</f>
        <v>#DIV/0!</v>
      </c>
    </row>
    <row r="132" spans="1:16" ht="15" hidden="1" thickBot="1">
      <c r="A132" s="247"/>
      <c r="B132" s="247"/>
      <c r="C132" s="247"/>
      <c r="D132" s="247"/>
      <c r="E132" s="37">
        <v>9544</v>
      </c>
      <c r="F132" s="58">
        <v>1</v>
      </c>
      <c r="G132" s="44"/>
      <c r="H132" s="38">
        <f>H37</f>
        <v>0</v>
      </c>
      <c r="I132" s="37" t="e">
        <f t="shared" si="9"/>
        <v>#DIV/0!</v>
      </c>
      <c r="J132" s="37">
        <f t="shared" si="10"/>
        <v>149115.45600000001</v>
      </c>
      <c r="K132" s="38">
        <f>H132/11277167.39*100</f>
        <v>0</v>
      </c>
      <c r="L132" s="38"/>
      <c r="M132" s="14" t="e">
        <f t="shared" si="11"/>
        <v>#DIV/0!</v>
      </c>
    </row>
    <row r="133" spans="1:16" ht="15" hidden="1" customHeight="1" thickBot="1">
      <c r="A133" s="216"/>
      <c r="B133" s="217"/>
      <c r="C133" s="217"/>
      <c r="D133" s="217"/>
      <c r="E133" s="37">
        <v>11560</v>
      </c>
      <c r="F133" s="58">
        <v>1</v>
      </c>
      <c r="G133" s="44"/>
      <c r="H133" s="38">
        <f>H37</f>
        <v>0</v>
      </c>
      <c r="I133" s="37" t="e">
        <f t="shared" si="9"/>
        <v>#DIV/0!</v>
      </c>
      <c r="J133" s="37">
        <f t="shared" si="10"/>
        <v>180613.44</v>
      </c>
      <c r="K133" s="29"/>
      <c r="L133" s="29"/>
      <c r="M133" s="14" t="e">
        <f t="shared" si="11"/>
        <v>#DIV/0!</v>
      </c>
    </row>
    <row r="134" spans="1:16" ht="15" hidden="1" thickBot="1">
      <c r="A134" s="206"/>
      <c r="B134" s="206"/>
      <c r="C134" s="206"/>
      <c r="D134" s="206"/>
      <c r="E134" s="37">
        <v>9544</v>
      </c>
      <c r="F134" s="60">
        <v>0.5</v>
      </c>
      <c r="G134" s="44"/>
      <c r="H134" s="38">
        <f>H37</f>
        <v>0</v>
      </c>
      <c r="I134" s="37" t="e">
        <f t="shared" si="9"/>
        <v>#DIV/0!</v>
      </c>
      <c r="J134" s="37">
        <f t="shared" si="10"/>
        <v>74557.728000000003</v>
      </c>
      <c r="K134" s="29"/>
      <c r="L134" s="29"/>
      <c r="M134" s="14" t="e">
        <f t="shared" si="11"/>
        <v>#DIV/0!</v>
      </c>
    </row>
    <row r="135" spans="1:16" ht="15" hidden="1" thickBot="1">
      <c r="A135" s="206"/>
      <c r="B135" s="206"/>
      <c r="C135" s="206"/>
      <c r="D135" s="206"/>
      <c r="E135" s="37">
        <v>9544</v>
      </c>
      <c r="F135" s="58">
        <v>1</v>
      </c>
      <c r="G135" s="44"/>
      <c r="H135" s="38">
        <f>H37</f>
        <v>0</v>
      </c>
      <c r="I135" s="37" t="e">
        <f t="shared" si="9"/>
        <v>#DIV/0!</v>
      </c>
      <c r="J135" s="37">
        <f t="shared" si="10"/>
        <v>149115.45600000001</v>
      </c>
      <c r="K135" s="37"/>
      <c r="L135" s="37"/>
      <c r="M135" s="14" t="e">
        <f t="shared" si="11"/>
        <v>#DIV/0!</v>
      </c>
    </row>
    <row r="136" spans="1:16" ht="14.25" hidden="1" customHeight="1">
      <c r="A136" s="206"/>
      <c r="B136" s="206"/>
      <c r="C136" s="206"/>
      <c r="D136" s="206"/>
      <c r="E136" s="37">
        <v>9544</v>
      </c>
      <c r="F136" s="58">
        <v>1</v>
      </c>
      <c r="G136" s="44"/>
      <c r="H136" s="38">
        <f>H37</f>
        <v>0</v>
      </c>
      <c r="I136" s="37" t="e">
        <f t="shared" si="9"/>
        <v>#DIV/0!</v>
      </c>
      <c r="J136" s="37">
        <f t="shared" si="10"/>
        <v>149115.45600000001</v>
      </c>
      <c r="K136" s="45"/>
      <c r="L136" s="45"/>
      <c r="M136" s="14" t="e">
        <f t="shared" si="11"/>
        <v>#DIV/0!</v>
      </c>
    </row>
    <row r="137" spans="1:16" ht="15" hidden="1" thickBot="1">
      <c r="A137" s="158"/>
      <c r="B137" s="159"/>
      <c r="C137" s="159"/>
      <c r="D137" s="159"/>
      <c r="E137" s="37">
        <v>9544</v>
      </c>
      <c r="F137" s="37"/>
      <c r="G137" s="44"/>
      <c r="H137" s="38">
        <f>H37</f>
        <v>0</v>
      </c>
      <c r="I137" s="37" t="e">
        <f t="shared" si="9"/>
        <v>#DIV/0!</v>
      </c>
      <c r="J137" s="37">
        <f t="shared" si="10"/>
        <v>0</v>
      </c>
      <c r="K137" s="45"/>
      <c r="L137" s="45"/>
      <c r="M137" s="14" t="e">
        <f t="shared" si="11"/>
        <v>#DIV/0!</v>
      </c>
    </row>
    <row r="138" spans="1:16" ht="15" hidden="1" thickBot="1">
      <c r="A138" s="158"/>
      <c r="B138" s="159"/>
      <c r="C138" s="159"/>
      <c r="D138" s="159"/>
      <c r="E138" s="37">
        <v>9544</v>
      </c>
      <c r="F138" s="61">
        <v>0.25</v>
      </c>
      <c r="G138" s="44"/>
      <c r="H138" s="38">
        <f>H37</f>
        <v>0</v>
      </c>
      <c r="I138" s="37" t="e">
        <f t="shared" si="9"/>
        <v>#DIV/0!</v>
      </c>
      <c r="J138" s="37">
        <f t="shared" si="10"/>
        <v>37278.864000000001</v>
      </c>
      <c r="K138" s="45"/>
      <c r="L138" s="45"/>
      <c r="M138" s="14" t="e">
        <f t="shared" si="11"/>
        <v>#DIV/0!</v>
      </c>
    </row>
    <row r="139" spans="1:16" ht="15" hidden="1" thickBot="1">
      <c r="A139" s="158"/>
      <c r="B139" s="159"/>
      <c r="C139" s="159"/>
      <c r="D139" s="159"/>
      <c r="E139" s="37">
        <v>9544</v>
      </c>
      <c r="F139" s="37"/>
      <c r="G139" s="44"/>
      <c r="H139" s="38">
        <f>H37</f>
        <v>0</v>
      </c>
      <c r="I139" s="37" t="e">
        <f t="shared" si="9"/>
        <v>#DIV/0!</v>
      </c>
      <c r="J139" s="37">
        <f t="shared" si="10"/>
        <v>0</v>
      </c>
      <c r="K139" s="45"/>
      <c r="L139" s="45"/>
      <c r="M139" s="14" t="e">
        <f t="shared" si="11"/>
        <v>#DIV/0!</v>
      </c>
    </row>
    <row r="140" spans="1:16" ht="15" hidden="1" thickBot="1">
      <c r="A140" s="158"/>
      <c r="B140" s="159"/>
      <c r="C140" s="159"/>
      <c r="D140" s="159"/>
      <c r="E140" s="37">
        <v>9544</v>
      </c>
      <c r="F140" s="60">
        <v>0.5</v>
      </c>
      <c r="G140" s="44"/>
      <c r="H140" s="38">
        <f>H37</f>
        <v>0</v>
      </c>
      <c r="I140" s="37" t="e">
        <f t="shared" si="9"/>
        <v>#DIV/0!</v>
      </c>
      <c r="J140" s="37">
        <f t="shared" si="10"/>
        <v>74557.728000000003</v>
      </c>
      <c r="K140" s="45"/>
      <c r="L140" s="45"/>
      <c r="M140" s="14" t="e">
        <f t="shared" si="11"/>
        <v>#DIV/0!</v>
      </c>
    </row>
    <row r="141" spans="1:16" ht="15.75" hidden="1" customHeight="1">
      <c r="A141" s="158"/>
      <c r="B141" s="159"/>
      <c r="C141" s="159"/>
      <c r="D141" s="159"/>
      <c r="E141" s="37">
        <v>9544</v>
      </c>
      <c r="F141" s="58">
        <v>1</v>
      </c>
      <c r="G141" s="44"/>
      <c r="H141" s="38">
        <f>H37</f>
        <v>0</v>
      </c>
      <c r="I141" s="37" t="e">
        <f t="shared" si="9"/>
        <v>#DIV/0!</v>
      </c>
      <c r="J141" s="37">
        <f t="shared" si="10"/>
        <v>149115.45600000001</v>
      </c>
      <c r="K141" s="45"/>
      <c r="L141" s="45"/>
      <c r="M141" s="14" t="e">
        <f t="shared" si="11"/>
        <v>#DIV/0!</v>
      </c>
    </row>
    <row r="142" spans="1:16" ht="15" hidden="1" customHeight="1" thickBot="1">
      <c r="A142" s="206"/>
      <c r="B142" s="206"/>
      <c r="C142" s="206"/>
      <c r="D142" s="206"/>
      <c r="E142" s="37">
        <v>9544</v>
      </c>
      <c r="F142" s="58">
        <v>1</v>
      </c>
      <c r="G142" s="44"/>
      <c r="H142" s="38">
        <f>H37</f>
        <v>0</v>
      </c>
      <c r="I142" s="37" t="e">
        <f t="shared" si="9"/>
        <v>#DIV/0!</v>
      </c>
      <c r="J142" s="37">
        <f t="shared" si="10"/>
        <v>149115.45600000001</v>
      </c>
      <c r="K142" s="45"/>
      <c r="L142" s="45"/>
      <c r="M142" s="14" t="e">
        <f t="shared" si="11"/>
        <v>#DIV/0!</v>
      </c>
    </row>
    <row r="143" spans="1:16" ht="15" hidden="1" customHeight="1">
      <c r="A143" s="206"/>
      <c r="B143" s="206"/>
      <c r="C143" s="206"/>
      <c r="D143" s="206"/>
      <c r="E143" s="37">
        <v>9544</v>
      </c>
      <c r="F143" s="60">
        <v>5.5</v>
      </c>
      <c r="G143" s="44"/>
      <c r="H143" s="38">
        <f>H37</f>
        <v>0</v>
      </c>
      <c r="I143" s="37" t="e">
        <f t="shared" si="9"/>
        <v>#DIV/0!</v>
      </c>
      <c r="J143" s="37">
        <f t="shared" si="10"/>
        <v>820135.00800000003</v>
      </c>
      <c r="K143" s="45"/>
      <c r="L143" s="45"/>
      <c r="M143" s="14" t="e">
        <f t="shared" si="11"/>
        <v>#DIV/0!</v>
      </c>
    </row>
    <row r="144" spans="1:16" ht="15" hidden="1" customHeight="1">
      <c r="A144" s="206"/>
      <c r="B144" s="206"/>
      <c r="C144" s="206"/>
      <c r="D144" s="206"/>
      <c r="E144" s="37">
        <v>9544</v>
      </c>
      <c r="F144" s="58">
        <v>1</v>
      </c>
      <c r="G144" s="44"/>
      <c r="H144" s="38">
        <f>H37</f>
        <v>0</v>
      </c>
      <c r="I144" s="37" t="e">
        <f t="shared" si="9"/>
        <v>#DIV/0!</v>
      </c>
      <c r="J144" s="37">
        <f t="shared" si="10"/>
        <v>149115.45600000001</v>
      </c>
      <c r="K144" s="45"/>
      <c r="L144" s="45"/>
      <c r="M144" s="14" t="e">
        <f t="shared" si="11"/>
        <v>#DIV/0!</v>
      </c>
    </row>
    <row r="145" spans="1:16" ht="15" hidden="1" customHeight="1" thickBot="1">
      <c r="A145" s="206"/>
      <c r="B145" s="206"/>
      <c r="C145" s="206"/>
      <c r="D145" s="206"/>
      <c r="E145" s="37">
        <v>9544</v>
      </c>
      <c r="F145" s="60">
        <v>0.5</v>
      </c>
      <c r="G145" s="44"/>
      <c r="H145" s="38">
        <f>H37</f>
        <v>0</v>
      </c>
      <c r="I145" s="37" t="e">
        <f t="shared" si="9"/>
        <v>#DIV/0!</v>
      </c>
      <c r="J145" s="37">
        <f t="shared" si="10"/>
        <v>74557.728000000003</v>
      </c>
      <c r="K145" s="45"/>
      <c r="L145" s="45"/>
      <c r="M145" s="14" t="e">
        <f t="shared" si="11"/>
        <v>#DIV/0!</v>
      </c>
    </row>
    <row r="146" spans="1:16" ht="15" hidden="1" customHeight="1" thickBot="1">
      <c r="A146" s="206"/>
      <c r="B146" s="206"/>
      <c r="C146" s="206"/>
      <c r="D146" s="206"/>
      <c r="E146" s="37">
        <v>9544</v>
      </c>
      <c r="F146" s="60">
        <v>0.5</v>
      </c>
      <c r="G146" s="44"/>
      <c r="H146" s="38">
        <f>H37</f>
        <v>0</v>
      </c>
      <c r="I146" s="37" t="e">
        <f t="shared" si="9"/>
        <v>#DIV/0!</v>
      </c>
      <c r="J146" s="37">
        <f t="shared" si="10"/>
        <v>74557.728000000003</v>
      </c>
      <c r="K146" s="45"/>
      <c r="L146" s="45"/>
      <c r="M146" s="14" t="e">
        <f t="shared" si="11"/>
        <v>#DIV/0!</v>
      </c>
    </row>
    <row r="147" spans="1:16" ht="15" hidden="1" thickBot="1">
      <c r="A147" s="206"/>
      <c r="B147" s="206"/>
      <c r="C147" s="206"/>
      <c r="D147" s="206"/>
      <c r="E147" s="37">
        <v>9544</v>
      </c>
      <c r="F147" s="58">
        <v>1</v>
      </c>
      <c r="G147" s="44"/>
      <c r="H147" s="38">
        <f>H37</f>
        <v>0</v>
      </c>
      <c r="I147" s="37" t="e">
        <f t="shared" si="9"/>
        <v>#DIV/0!</v>
      </c>
      <c r="J147" s="37">
        <f t="shared" si="10"/>
        <v>149115.45600000001</v>
      </c>
      <c r="K147" s="45"/>
      <c r="L147" s="45"/>
      <c r="M147" s="14" t="e">
        <f t="shared" si="11"/>
        <v>#DIV/0!</v>
      </c>
    </row>
    <row r="148" spans="1:16" ht="15.75" hidden="1" customHeight="1">
      <c r="A148" s="206"/>
      <c r="B148" s="206"/>
      <c r="C148" s="206"/>
      <c r="D148" s="206"/>
      <c r="E148" s="37">
        <v>9544</v>
      </c>
      <c r="F148" s="58">
        <v>4</v>
      </c>
      <c r="G148" s="44"/>
      <c r="H148" s="38">
        <f>H37</f>
        <v>0</v>
      </c>
      <c r="I148" s="37" t="e">
        <f t="shared" si="9"/>
        <v>#DIV/0!</v>
      </c>
      <c r="J148" s="37">
        <f t="shared" si="10"/>
        <v>596461.82400000002</v>
      </c>
      <c r="K148" s="45"/>
      <c r="L148" s="45"/>
      <c r="M148" s="14" t="e">
        <f t="shared" si="11"/>
        <v>#DIV/0!</v>
      </c>
    </row>
    <row r="149" spans="1:16" ht="16.5" hidden="1" customHeight="1">
      <c r="A149" s="158"/>
      <c r="B149" s="159"/>
      <c r="C149" s="159"/>
      <c r="D149" s="159"/>
      <c r="E149" s="37">
        <v>9544</v>
      </c>
      <c r="F149" s="58">
        <v>1</v>
      </c>
      <c r="G149" s="44"/>
      <c r="H149" s="38">
        <f>H37</f>
        <v>0</v>
      </c>
      <c r="I149" s="37" t="e">
        <f t="shared" si="9"/>
        <v>#DIV/0!</v>
      </c>
      <c r="J149" s="37">
        <f t="shared" si="10"/>
        <v>149115.45600000001</v>
      </c>
      <c r="K149" s="45"/>
      <c r="L149" s="45"/>
      <c r="M149" s="14" t="e">
        <f t="shared" si="11"/>
        <v>#DIV/0!</v>
      </c>
    </row>
    <row r="150" spans="1:16" ht="16.5" hidden="1" customHeight="1">
      <c r="A150" s="158"/>
      <c r="B150" s="159"/>
      <c r="C150" s="159"/>
      <c r="D150" s="159"/>
      <c r="E150" s="37">
        <v>9544</v>
      </c>
      <c r="F150" s="61">
        <v>1.75</v>
      </c>
      <c r="G150" s="44"/>
      <c r="H150" s="38">
        <f>H37</f>
        <v>0</v>
      </c>
      <c r="I150" s="37" t="e">
        <f t="shared" si="9"/>
        <v>#DIV/0!</v>
      </c>
      <c r="J150" s="37">
        <f t="shared" si="10"/>
        <v>260952.04800000001</v>
      </c>
      <c r="K150" s="45"/>
      <c r="L150" s="45"/>
      <c r="M150" s="14" t="e">
        <f t="shared" si="11"/>
        <v>#DIV/0!</v>
      </c>
    </row>
    <row r="151" spans="1:16" ht="16.5" hidden="1" customHeight="1" thickBot="1">
      <c r="A151" s="158"/>
      <c r="B151" s="159"/>
      <c r="C151" s="159"/>
      <c r="D151" s="159"/>
      <c r="E151" s="37">
        <v>9544</v>
      </c>
      <c r="F151" s="38"/>
      <c r="G151" s="44"/>
      <c r="H151" s="38">
        <f>H37</f>
        <v>0</v>
      </c>
      <c r="I151" s="37" t="e">
        <f t="shared" si="9"/>
        <v>#DIV/0!</v>
      </c>
      <c r="J151" s="37">
        <f t="shared" si="10"/>
        <v>0</v>
      </c>
      <c r="K151" s="45"/>
      <c r="L151" s="45"/>
      <c r="M151" s="14" t="e">
        <f t="shared" si="11"/>
        <v>#DIV/0!</v>
      </c>
    </row>
    <row r="152" spans="1:16" ht="16.5" hidden="1" customHeight="1" thickBot="1">
      <c r="A152" s="158"/>
      <c r="B152" s="159"/>
      <c r="C152" s="159"/>
      <c r="D152" s="159"/>
      <c r="E152" s="37">
        <v>9544</v>
      </c>
      <c r="F152" s="60">
        <v>0.5</v>
      </c>
      <c r="G152" s="44"/>
      <c r="H152" s="38">
        <f>H37</f>
        <v>0</v>
      </c>
      <c r="I152" s="37" t="e">
        <f t="shared" si="9"/>
        <v>#DIV/0!</v>
      </c>
      <c r="J152" s="37">
        <f t="shared" si="10"/>
        <v>74557.728000000003</v>
      </c>
      <c r="K152" s="45"/>
      <c r="L152" s="45"/>
      <c r="M152" s="14" t="e">
        <f t="shared" si="11"/>
        <v>#DIV/0!</v>
      </c>
    </row>
    <row r="153" spans="1:16" ht="15" hidden="1" customHeight="1" thickBot="1">
      <c r="A153" s="158"/>
      <c r="B153" s="159"/>
      <c r="C153" s="159"/>
      <c r="D153" s="159"/>
      <c r="E153" s="37"/>
      <c r="F153" s="37"/>
      <c r="G153" s="37"/>
      <c r="H153" s="37"/>
      <c r="I153" s="37"/>
      <c r="J153" s="37"/>
      <c r="K153" s="45"/>
      <c r="L153" s="45"/>
      <c r="M153" s="14">
        <f t="shared" si="11"/>
        <v>0</v>
      </c>
    </row>
    <row r="154" spans="1:16" ht="15.75" hidden="1" customHeight="1">
      <c r="A154" s="158"/>
      <c r="B154" s="159"/>
      <c r="C154" s="159"/>
      <c r="D154" s="159"/>
      <c r="E154" s="37"/>
      <c r="F154" s="37"/>
      <c r="G154" s="37"/>
      <c r="H154" s="37"/>
      <c r="I154" s="37"/>
      <c r="J154" s="37"/>
      <c r="K154" s="45"/>
      <c r="L154" s="45"/>
      <c r="M154" s="14">
        <f t="shared" si="11"/>
        <v>0</v>
      </c>
    </row>
    <row r="155" spans="1:16" ht="14.25" hidden="1" customHeight="1" thickBot="1">
      <c r="A155" s="158"/>
      <c r="B155" s="159"/>
      <c r="C155" s="159"/>
      <c r="D155" s="159"/>
      <c r="E155" s="37"/>
      <c r="F155" s="37"/>
      <c r="G155" s="37"/>
      <c r="H155" s="37"/>
      <c r="I155" s="44">
        <v>105</v>
      </c>
      <c r="J155" s="46">
        <f>H155/I155</f>
        <v>0</v>
      </c>
      <c r="K155" s="45"/>
      <c r="L155" s="45"/>
      <c r="M155" s="30">
        <f t="shared" si="11"/>
        <v>0</v>
      </c>
    </row>
    <row r="156" spans="1:16" ht="15" thickBot="1">
      <c r="A156" s="162" t="s">
        <v>47</v>
      </c>
      <c r="B156" s="162"/>
      <c r="C156" s="162"/>
      <c r="D156" s="162"/>
      <c r="E156" s="62"/>
      <c r="F156" s="120"/>
      <c r="G156" s="120"/>
      <c r="H156" s="66">
        <f>H130</f>
        <v>936427.6</v>
      </c>
      <c r="I156" s="47"/>
      <c r="J156" s="63">
        <f>J130</f>
        <v>17341.251851851852</v>
      </c>
      <c r="K156" s="45"/>
      <c r="L156" s="45"/>
      <c r="M156" s="15"/>
      <c r="P156">
        <f>H156/48.5%</f>
        <v>1930778.556701031</v>
      </c>
    </row>
    <row r="157" spans="1:16" ht="22.2" customHeight="1">
      <c r="A157" s="10"/>
      <c r="B157" s="10"/>
      <c r="C157" s="10"/>
      <c r="D157" s="10"/>
      <c r="E157" s="10"/>
      <c r="F157" s="10"/>
      <c r="G157" s="10"/>
      <c r="H157" s="12"/>
      <c r="I157" s="12"/>
      <c r="J157" s="12"/>
      <c r="K157" s="10"/>
      <c r="L157" s="10"/>
      <c r="M157" s="10"/>
    </row>
    <row r="158" spans="1:16">
      <c r="A158" s="179" t="s">
        <v>61</v>
      </c>
      <c r="B158" s="179"/>
      <c r="C158" s="179"/>
      <c r="D158" s="179"/>
      <c r="E158" s="179"/>
      <c r="F158" s="179"/>
      <c r="G158" s="179"/>
      <c r="H158" s="179"/>
      <c r="I158" s="179"/>
      <c r="J158" s="179"/>
      <c r="K158" s="179"/>
      <c r="L158" s="119"/>
      <c r="M158" s="10"/>
    </row>
    <row r="159" spans="1:16" s="76" customFormat="1">
      <c r="A159" s="146"/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74"/>
    </row>
    <row r="160" spans="1:16" ht="42">
      <c r="A160" s="160" t="s">
        <v>28</v>
      </c>
      <c r="B160" s="161"/>
      <c r="C160" s="161"/>
      <c r="D160" s="161"/>
      <c r="E160" s="8" t="s">
        <v>75</v>
      </c>
      <c r="F160" s="8" t="s">
        <v>48</v>
      </c>
      <c r="G160" s="8" t="s">
        <v>74</v>
      </c>
      <c r="H160" s="8" t="s">
        <v>69</v>
      </c>
      <c r="I160" s="10"/>
      <c r="J160" s="10"/>
      <c r="K160" s="10"/>
      <c r="L160" s="10"/>
    </row>
    <row r="161" spans="1:13" ht="15" thickBot="1">
      <c r="A161" s="158" t="s">
        <v>151</v>
      </c>
      <c r="B161" s="159"/>
      <c r="C161" s="159"/>
      <c r="D161" s="159"/>
      <c r="E161" s="50" t="s">
        <v>27</v>
      </c>
      <c r="F161" s="130">
        <f>720*6.2%</f>
        <v>44.64</v>
      </c>
      <c r="G161" s="44">
        <v>54</v>
      </c>
      <c r="H161" s="91">
        <f t="shared" ref="H161" si="12">F161/G161</f>
        <v>0.82666666666666666</v>
      </c>
      <c r="I161" s="10"/>
      <c r="J161" s="10"/>
      <c r="K161" s="10"/>
      <c r="L161" s="10"/>
    </row>
    <row r="162" spans="1:13" ht="20.25" customHeight="1" thickBot="1">
      <c r="A162" s="163" t="s">
        <v>53</v>
      </c>
      <c r="B162" s="164"/>
      <c r="C162" s="164"/>
      <c r="D162" s="164"/>
      <c r="E162" s="49"/>
      <c r="F162" s="66">
        <f>SUM(F161:F161)</f>
        <v>44.64</v>
      </c>
      <c r="G162" s="45"/>
      <c r="H162" s="51">
        <f>SUM(H161:H161)</f>
        <v>0.82666666666666666</v>
      </c>
      <c r="I162" s="10"/>
      <c r="J162" s="33"/>
      <c r="K162" s="10"/>
      <c r="L162" s="10"/>
    </row>
    <row r="163" spans="1:13" s="76" customFormat="1">
      <c r="A163" s="146"/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74"/>
    </row>
    <row r="164" spans="1:13" ht="42">
      <c r="A164" s="160" t="s">
        <v>28</v>
      </c>
      <c r="B164" s="161"/>
      <c r="C164" s="161"/>
      <c r="D164" s="161"/>
      <c r="E164" s="8" t="s">
        <v>75</v>
      </c>
      <c r="F164" s="8" t="s">
        <v>48</v>
      </c>
      <c r="G164" s="8" t="s">
        <v>74</v>
      </c>
      <c r="H164" s="8" t="s">
        <v>69</v>
      </c>
      <c r="I164" s="10"/>
      <c r="J164" s="10"/>
      <c r="K164" s="10"/>
      <c r="L164" s="10"/>
    </row>
    <row r="165" spans="1:13" ht="51" customHeight="1" thickBot="1">
      <c r="A165" s="158" t="s">
        <v>153</v>
      </c>
      <c r="B165" s="159"/>
      <c r="C165" s="159"/>
      <c r="D165" s="159"/>
      <c r="E165" s="50" t="s">
        <v>27</v>
      </c>
      <c r="F165" s="130">
        <f>505800*6.2%</f>
        <v>31359.599999999999</v>
      </c>
      <c r="G165" s="44">
        <v>54</v>
      </c>
      <c r="H165" s="91">
        <f t="shared" ref="H165" si="13">F165/G165</f>
        <v>580.73333333333335</v>
      </c>
      <c r="I165" s="10"/>
      <c r="J165" s="10"/>
      <c r="K165" s="10"/>
      <c r="L165" s="10"/>
    </row>
    <row r="166" spans="1:13" ht="20.25" customHeight="1" thickBot="1">
      <c r="A166" s="163" t="s">
        <v>53</v>
      </c>
      <c r="B166" s="164"/>
      <c r="C166" s="164"/>
      <c r="D166" s="164"/>
      <c r="E166" s="49"/>
      <c r="F166" s="66">
        <f>SUM(F165:F165)</f>
        <v>31359.599999999999</v>
      </c>
      <c r="G166" s="45"/>
      <c r="H166" s="51">
        <f>SUM(H165:H165)</f>
        <v>580.73333333333335</v>
      </c>
      <c r="I166" s="10">
        <f>F166/7.7%</f>
        <v>407267.53246753244</v>
      </c>
      <c r="J166" s="33"/>
      <c r="K166" s="10"/>
      <c r="L166" s="10"/>
    </row>
    <row r="167" spans="1:13" s="76" customFormat="1">
      <c r="A167" s="146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74"/>
    </row>
    <row r="168" spans="1:13" s="76" customFormat="1">
      <c r="A168" s="146"/>
      <c r="B168" s="146"/>
      <c r="C168" s="146"/>
      <c r="D168" s="146"/>
      <c r="E168" s="146"/>
      <c r="F168" s="146"/>
      <c r="G168" s="146"/>
      <c r="H168" s="146"/>
      <c r="I168" s="146"/>
      <c r="J168" s="146"/>
      <c r="K168" s="146"/>
      <c r="L168" s="146"/>
      <c r="M168" s="74"/>
    </row>
    <row r="169" spans="1:13" ht="55.8">
      <c r="A169" s="160" t="s">
        <v>62</v>
      </c>
      <c r="B169" s="161"/>
      <c r="C169" s="161"/>
      <c r="D169" s="202"/>
      <c r="E169" s="121" t="s">
        <v>7</v>
      </c>
      <c r="F169" s="121" t="s">
        <v>55</v>
      </c>
      <c r="G169" s="121" t="s">
        <v>42</v>
      </c>
      <c r="H169" s="121" t="s">
        <v>48</v>
      </c>
      <c r="I169" s="8" t="s">
        <v>63</v>
      </c>
      <c r="J169" s="8" t="s">
        <v>69</v>
      </c>
      <c r="K169" s="39"/>
      <c r="L169" s="27"/>
      <c r="M169" s="10"/>
    </row>
    <row r="170" spans="1:13" ht="36.75" customHeight="1">
      <c r="A170" s="158" t="s">
        <v>114</v>
      </c>
      <c r="B170" s="159"/>
      <c r="C170" s="159"/>
      <c r="D170" s="172"/>
      <c r="E170" s="121"/>
      <c r="F170" s="121"/>
      <c r="G170" s="121"/>
      <c r="H170" s="129">
        <f>450000*6.2%</f>
        <v>27900</v>
      </c>
      <c r="I170" s="44">
        <v>54</v>
      </c>
      <c r="J170" s="92">
        <f>H170/I170</f>
        <v>516.66666666666663</v>
      </c>
      <c r="K170" s="39"/>
      <c r="L170" s="27"/>
      <c r="M170" s="10"/>
    </row>
    <row r="171" spans="1:13" ht="34.5" customHeight="1" thickBot="1">
      <c r="A171" s="158" t="s">
        <v>115</v>
      </c>
      <c r="B171" s="159"/>
      <c r="C171" s="159"/>
      <c r="D171" s="172"/>
      <c r="E171" s="121"/>
      <c r="F171" s="121"/>
      <c r="G171" s="121"/>
      <c r="H171" s="129">
        <f>250000*6.2%</f>
        <v>15500</v>
      </c>
      <c r="I171" s="44">
        <v>54</v>
      </c>
      <c r="J171" s="92">
        <f t="shared" ref="J171" si="14">H171/I171</f>
        <v>287.03703703703701</v>
      </c>
      <c r="K171" s="39"/>
      <c r="L171" s="27"/>
      <c r="M171" s="10"/>
    </row>
    <row r="172" spans="1:13" ht="15" thickBot="1">
      <c r="A172" s="244" t="s">
        <v>57</v>
      </c>
      <c r="B172" s="245"/>
      <c r="C172" s="245"/>
      <c r="D172" s="245"/>
      <c r="E172" s="245"/>
      <c r="F172" s="245"/>
      <c r="G172" s="246"/>
      <c r="H172" s="56">
        <f>H171+H170</f>
        <v>43400</v>
      </c>
      <c r="I172" s="55"/>
      <c r="J172" s="32">
        <f>SUM(J170:J171)</f>
        <v>803.7037037037037</v>
      </c>
      <c r="K172" s="10"/>
      <c r="L172" s="10"/>
      <c r="M172" s="10"/>
    </row>
    <row r="173" spans="1:13" ht="32.4" customHeight="1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</row>
    <row r="174" spans="1:13" ht="55.8">
      <c r="A174" s="160" t="s">
        <v>62</v>
      </c>
      <c r="B174" s="161"/>
      <c r="C174" s="161"/>
      <c r="D174" s="202"/>
      <c r="E174" s="121" t="s">
        <v>116</v>
      </c>
      <c r="F174" s="121" t="s">
        <v>55</v>
      </c>
      <c r="G174" s="121" t="s">
        <v>42</v>
      </c>
      <c r="H174" s="121" t="s">
        <v>48</v>
      </c>
      <c r="I174" s="8" t="s">
        <v>63</v>
      </c>
      <c r="J174" s="8" t="s">
        <v>69</v>
      </c>
      <c r="K174" s="39"/>
      <c r="L174" s="27"/>
      <c r="M174" s="10"/>
    </row>
    <row r="175" spans="1:13">
      <c r="A175" s="158" t="s">
        <v>78</v>
      </c>
      <c r="B175" s="159"/>
      <c r="C175" s="159"/>
      <c r="D175" s="172"/>
      <c r="E175" s="121">
        <v>120</v>
      </c>
      <c r="F175" s="121"/>
      <c r="G175" s="121"/>
      <c r="H175" s="129">
        <f>50000*6.2%</f>
        <v>3100</v>
      </c>
      <c r="I175" s="44">
        <v>54</v>
      </c>
      <c r="J175" s="92">
        <f>H175/I175</f>
        <v>57.407407407407405</v>
      </c>
      <c r="K175" s="39"/>
      <c r="L175" s="27"/>
      <c r="M175" s="10"/>
    </row>
    <row r="176" spans="1:13">
      <c r="A176" s="158" t="s">
        <v>79</v>
      </c>
      <c r="B176" s="159"/>
      <c r="C176" s="159"/>
      <c r="D176" s="172"/>
      <c r="E176" s="121">
        <v>640</v>
      </c>
      <c r="F176" s="121"/>
      <c r="G176" s="121"/>
      <c r="H176" s="129">
        <f>50000*6.2%</f>
        <v>3100</v>
      </c>
      <c r="I176" s="44">
        <v>54</v>
      </c>
      <c r="J176" s="92">
        <f t="shared" ref="J176:J177" si="15">H176/I176</f>
        <v>57.407407407407405</v>
      </c>
      <c r="K176" s="39"/>
      <c r="L176" s="27"/>
      <c r="M176" s="10"/>
    </row>
    <row r="177" spans="1:17" ht="18" customHeight="1" thickBot="1">
      <c r="A177" s="158" t="s">
        <v>80</v>
      </c>
      <c r="B177" s="159"/>
      <c r="C177" s="159"/>
      <c r="D177" s="172"/>
      <c r="E177" s="121">
        <v>200</v>
      </c>
      <c r="F177" s="121"/>
      <c r="G177" s="121"/>
      <c r="H177" s="129">
        <f>50000*6.2%</f>
        <v>3100</v>
      </c>
      <c r="I177" s="44">
        <v>54</v>
      </c>
      <c r="J177" s="92">
        <f t="shared" si="15"/>
        <v>57.407407407407405</v>
      </c>
      <c r="K177" s="39"/>
      <c r="L177" s="27"/>
      <c r="M177" s="10"/>
    </row>
    <row r="178" spans="1:17" ht="15" thickBot="1">
      <c r="A178" s="244" t="s">
        <v>57</v>
      </c>
      <c r="B178" s="245"/>
      <c r="C178" s="245"/>
      <c r="D178" s="245"/>
      <c r="E178" s="245"/>
      <c r="F178" s="245"/>
      <c r="G178" s="246"/>
      <c r="H178" s="56">
        <f>SUM(H175:H177)</f>
        <v>9300</v>
      </c>
      <c r="I178" s="55"/>
      <c r="J178" s="32">
        <f>SUM(J175:J177)</f>
        <v>172.22222222222223</v>
      </c>
      <c r="K178" s="10"/>
      <c r="L178" s="10"/>
      <c r="M178" s="10"/>
    </row>
    <row r="179" spans="1:17" ht="25.2" customHeight="1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</row>
    <row r="180" spans="1:17">
      <c r="A180" s="157" t="s">
        <v>29</v>
      </c>
      <c r="B180" s="157"/>
      <c r="C180" s="157"/>
      <c r="D180" s="157"/>
      <c r="E180" s="157"/>
      <c r="F180" s="157"/>
      <c r="G180" s="157"/>
      <c r="H180" s="157"/>
      <c r="I180" s="157"/>
      <c r="J180" s="157"/>
      <c r="K180" s="157"/>
      <c r="L180" s="157"/>
      <c r="M180" s="157"/>
    </row>
    <row r="181" spans="1:17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</row>
    <row r="182" spans="1:17" ht="57" customHeight="1">
      <c r="A182" s="199" t="s">
        <v>30</v>
      </c>
      <c r="B182" s="200"/>
      <c r="C182" s="201"/>
      <c r="D182" s="251" t="s">
        <v>31</v>
      </c>
      <c r="E182" s="252"/>
      <c r="F182" s="252"/>
      <c r="G182" s="252"/>
      <c r="H182" s="252"/>
      <c r="I182" s="252"/>
      <c r="J182" s="252"/>
      <c r="K182" s="252"/>
      <c r="L182" s="253"/>
      <c r="M182" s="254" t="s">
        <v>35</v>
      </c>
      <c r="N182" s="112"/>
      <c r="Q182" s="128">
        <f>H179+H173+H157+F126+F120+F115+G110+G100+H90+H79+H71</f>
        <v>0</v>
      </c>
    </row>
    <row r="183" spans="1:17" ht="24" customHeight="1" thickBot="1">
      <c r="A183" s="9" t="s">
        <v>32</v>
      </c>
      <c r="B183" s="104" t="s">
        <v>33</v>
      </c>
      <c r="C183" s="9" t="s">
        <v>34</v>
      </c>
      <c r="D183" s="8" t="s">
        <v>120</v>
      </c>
      <c r="E183" s="8" t="s">
        <v>121</v>
      </c>
      <c r="F183" s="8" t="s">
        <v>122</v>
      </c>
      <c r="G183" s="8" t="s">
        <v>123</v>
      </c>
      <c r="H183" s="8" t="s">
        <v>144</v>
      </c>
      <c r="I183" s="8" t="s">
        <v>150</v>
      </c>
      <c r="J183" s="8" t="s">
        <v>124</v>
      </c>
      <c r="K183" s="34" t="s">
        <v>125</v>
      </c>
      <c r="L183" s="121" t="s">
        <v>123</v>
      </c>
      <c r="M183" s="255"/>
      <c r="N183" s="112"/>
    </row>
    <row r="184" spans="1:17" ht="15" thickBot="1">
      <c r="A184" s="14">
        <f>J70</f>
        <v>15036.181481481482</v>
      </c>
      <c r="B184" s="14"/>
      <c r="C184" s="14"/>
      <c r="D184" s="14">
        <f>J78</f>
        <v>98.901481481481483</v>
      </c>
      <c r="E184" s="14">
        <f>J89</f>
        <v>2424.7740740740737</v>
      </c>
      <c r="F184" s="14">
        <f>I99</f>
        <v>396.60476333333332</v>
      </c>
      <c r="G184" s="14">
        <f>I109</f>
        <v>428.26734777777779</v>
      </c>
      <c r="H184" s="14">
        <f>H114</f>
        <v>9.035925925925925</v>
      </c>
      <c r="I184" s="14">
        <f>H125</f>
        <v>25.239740740740739</v>
      </c>
      <c r="J184" s="14">
        <f>H119</f>
        <v>34.157407407407405</v>
      </c>
      <c r="K184" s="94">
        <f>J156</f>
        <v>17341.251851851852</v>
      </c>
      <c r="L184" s="150">
        <f>J172+J178+H162+H166</f>
        <v>1557.485925925926</v>
      </c>
      <c r="M184" s="151">
        <f>SUM(D184:L184)+A184</f>
        <v>37351.899999999994</v>
      </c>
      <c r="N184" s="113">
        <v>46388.650185185179</v>
      </c>
    </row>
    <row r="185" spans="1:17" ht="15" thickBot="1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P185" s="89">
        <f>M184*54</f>
        <v>2017002.5999999996</v>
      </c>
    </row>
    <row r="186" spans="1:17" ht="15" thickBot="1">
      <c r="A186" s="13" t="s">
        <v>64</v>
      </c>
      <c r="B186" s="13"/>
      <c r="C186" s="13"/>
      <c r="D186" s="10"/>
      <c r="E186" s="10"/>
      <c r="F186" s="10"/>
      <c r="G186" s="10"/>
      <c r="H186" s="10"/>
      <c r="I186" s="10"/>
      <c r="J186" s="65">
        <f>H78+H89+G99+G109+F119+H70+H156+H172+H178+F114+F125+F162+F166</f>
        <v>2017002.5999999999</v>
      </c>
      <c r="K186" s="10"/>
      <c r="L186" s="10"/>
      <c r="M186" s="10"/>
      <c r="P186" s="128"/>
    </row>
    <row r="187" spans="1:17" ht="26.25" customHeight="1">
      <c r="A187" s="10"/>
      <c r="B187" s="10"/>
      <c r="C187" s="10"/>
      <c r="D187" s="10"/>
      <c r="E187" s="10"/>
      <c r="F187" s="10"/>
      <c r="G187" s="10"/>
      <c r="H187" s="10"/>
      <c r="I187" s="10"/>
      <c r="K187" s="10"/>
      <c r="L187" s="10"/>
      <c r="N187" s="248"/>
      <c r="O187" s="248"/>
    </row>
    <row r="188" spans="1:17" ht="17.25" customHeight="1">
      <c r="A188" s="2" t="s">
        <v>117</v>
      </c>
      <c r="B188" s="2"/>
      <c r="C188" s="2"/>
      <c r="I188" s="2" t="s">
        <v>118</v>
      </c>
    </row>
    <row r="189" spans="1:17" ht="9.75" customHeight="1"/>
    <row r="190" spans="1:17" ht="15.6">
      <c r="A190" s="101" t="s">
        <v>43</v>
      </c>
      <c r="B190" s="6"/>
    </row>
    <row r="191" spans="1:17" ht="15.6">
      <c r="A191" s="101" t="s">
        <v>143</v>
      </c>
      <c r="B191" s="6"/>
    </row>
    <row r="192" spans="1:17" ht="15.6">
      <c r="A192" s="101" t="s">
        <v>81</v>
      </c>
      <c r="C192" s="6"/>
    </row>
    <row r="193" spans="1:10" ht="15.6">
      <c r="A193" s="1"/>
      <c r="B193" s="1"/>
      <c r="C193" s="1"/>
    </row>
    <row r="195" spans="1:10">
      <c r="J195" s="10">
        <f>J186/6.2%</f>
        <v>32532299.999999996</v>
      </c>
    </row>
    <row r="196" spans="1:10">
      <c r="J196">
        <f>J195-32532300</f>
        <v>0</v>
      </c>
    </row>
    <row r="197" spans="1:10">
      <c r="J197">
        <v>31996700</v>
      </c>
    </row>
    <row r="198" spans="1:10">
      <c r="F198">
        <v>2504987.11</v>
      </c>
    </row>
    <row r="199" spans="1:10">
      <c r="J199">
        <f>J195-J197</f>
        <v>535599.99999999627</v>
      </c>
    </row>
  </sheetData>
  <mergeCells count="182">
    <mergeCell ref="N187:O187"/>
    <mergeCell ref="A66:M66"/>
    <mergeCell ref="A73:M73"/>
    <mergeCell ref="A80:M80"/>
    <mergeCell ref="A82:D82"/>
    <mergeCell ref="A83:D83"/>
    <mergeCell ref="A91:M91"/>
    <mergeCell ref="A92:D92"/>
    <mergeCell ref="A93:D93"/>
    <mergeCell ref="A101:M101"/>
    <mergeCell ref="A107:D107"/>
    <mergeCell ref="A108:D108"/>
    <mergeCell ref="A111:M111"/>
    <mergeCell ref="A112:D112"/>
    <mergeCell ref="A116:M116"/>
    <mergeCell ref="A117:D117"/>
    <mergeCell ref="A121:M121"/>
    <mergeCell ref="A127:M127"/>
    <mergeCell ref="A136:D136"/>
    <mergeCell ref="A138:D138"/>
    <mergeCell ref="A145:D145"/>
    <mergeCell ref="A146:D146"/>
    <mergeCell ref="A164:D164"/>
    <mergeCell ref="A165:D165"/>
    <mergeCell ref="A147:D147"/>
    <mergeCell ref="A148:D148"/>
    <mergeCell ref="A149:D149"/>
    <mergeCell ref="A139:D139"/>
    <mergeCell ref="A51:D51"/>
    <mergeCell ref="A52:D52"/>
    <mergeCell ref="A40:M40"/>
    <mergeCell ref="A42:D42"/>
    <mergeCell ref="A43:D43"/>
    <mergeCell ref="A63:K63"/>
    <mergeCell ref="A67:D67"/>
    <mergeCell ref="A123:D123"/>
    <mergeCell ref="A124:D124"/>
    <mergeCell ref="A125:D125"/>
    <mergeCell ref="A135:D135"/>
    <mergeCell ref="A133:D133"/>
    <mergeCell ref="A134:D134"/>
    <mergeCell ref="A53:D53"/>
    <mergeCell ref="A54:D54"/>
    <mergeCell ref="A55:D55"/>
    <mergeCell ref="A56:D56"/>
    <mergeCell ref="A57:D57"/>
    <mergeCell ref="A44:D44"/>
    <mergeCell ref="A45:D45"/>
    <mergeCell ref="A46:D46"/>
    <mergeCell ref="A47:D47"/>
    <mergeCell ref="A68:D68"/>
    <mergeCell ref="A69:D69"/>
    <mergeCell ref="A70:D70"/>
    <mergeCell ref="A48:D48"/>
    <mergeCell ref="A49:D49"/>
    <mergeCell ref="A50:D50"/>
    <mergeCell ref="A58:D58"/>
    <mergeCell ref="A59:D59"/>
    <mergeCell ref="A60:D60"/>
    <mergeCell ref="A61:D61"/>
    <mergeCell ref="A62:D62"/>
    <mergeCell ref="A38:E38"/>
    <mergeCell ref="G38:K38"/>
    <mergeCell ref="A29:E29"/>
    <mergeCell ref="G29:K29"/>
    <mergeCell ref="A30:E30"/>
    <mergeCell ref="G30:K30"/>
    <mergeCell ref="A31:E31"/>
    <mergeCell ref="G31:K31"/>
    <mergeCell ref="A34:E34"/>
    <mergeCell ref="G34:K34"/>
    <mergeCell ref="A35:E35"/>
    <mergeCell ref="G35:K35"/>
    <mergeCell ref="A36:E36"/>
    <mergeCell ref="G36:K36"/>
    <mergeCell ref="A37:E37"/>
    <mergeCell ref="G37:K37"/>
    <mergeCell ref="A39:D39"/>
    <mergeCell ref="G39:M39"/>
    <mergeCell ref="A150:D150"/>
    <mergeCell ref="A151:D151"/>
    <mergeCell ref="A154:D154"/>
    <mergeCell ref="A155:D155"/>
    <mergeCell ref="A160:D160"/>
    <mergeCell ref="A161:D161"/>
    <mergeCell ref="A162:D162"/>
    <mergeCell ref="A156:D156"/>
    <mergeCell ref="A152:D152"/>
    <mergeCell ref="A153:D153"/>
    <mergeCell ref="A129:D129"/>
    <mergeCell ref="A130:D130"/>
    <mergeCell ref="A131:D131"/>
    <mergeCell ref="A132:D132"/>
    <mergeCell ref="A140:D140"/>
    <mergeCell ref="A141:D141"/>
    <mergeCell ref="A142:D142"/>
    <mergeCell ref="A85:D85"/>
    <mergeCell ref="A86:D86"/>
    <mergeCell ref="A87:D87"/>
    <mergeCell ref="A88:D88"/>
    <mergeCell ref="A95:D95"/>
    <mergeCell ref="A8:M8"/>
    <mergeCell ref="A2:D2"/>
    <mergeCell ref="A3:B3"/>
    <mergeCell ref="E2:G2"/>
    <mergeCell ref="A4:C4"/>
    <mergeCell ref="E4:F4"/>
    <mergeCell ref="H4:K4"/>
    <mergeCell ref="A7:M7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  <mergeCell ref="G22:K22"/>
    <mergeCell ref="A23:E23"/>
    <mergeCell ref="G23:K23"/>
    <mergeCell ref="A24:E24"/>
    <mergeCell ref="G24:K24"/>
    <mergeCell ref="A25:E25"/>
    <mergeCell ref="G25:K25"/>
    <mergeCell ref="A26:E26"/>
    <mergeCell ref="G26:K26"/>
    <mergeCell ref="A27:E27"/>
    <mergeCell ref="G27:K27"/>
    <mergeCell ref="A32:E32"/>
    <mergeCell ref="G32:K32"/>
    <mergeCell ref="A33:E33"/>
    <mergeCell ref="G33:K33"/>
    <mergeCell ref="A28:E28"/>
    <mergeCell ref="G28:K28"/>
    <mergeCell ref="A74:D74"/>
    <mergeCell ref="A78:D78"/>
    <mergeCell ref="A81:D81"/>
    <mergeCell ref="A84:D84"/>
    <mergeCell ref="A89:D89"/>
    <mergeCell ref="A94:D94"/>
    <mergeCell ref="A96:D96"/>
    <mergeCell ref="A97:D97"/>
    <mergeCell ref="A98:D98"/>
    <mergeCell ref="A77:D77"/>
    <mergeCell ref="A75:D75"/>
    <mergeCell ref="A76:D76"/>
    <mergeCell ref="A113:D113"/>
    <mergeCell ref="A122:D122"/>
    <mergeCell ref="A102:D102"/>
    <mergeCell ref="A103:D103"/>
    <mergeCell ref="A104:D104"/>
    <mergeCell ref="A137:D137"/>
    <mergeCell ref="A143:D143"/>
    <mergeCell ref="A144:D144"/>
    <mergeCell ref="A105:D105"/>
    <mergeCell ref="A106:D106"/>
    <mergeCell ref="A128:D128"/>
    <mergeCell ref="A114:D114"/>
    <mergeCell ref="A118:D118"/>
    <mergeCell ref="A109:D109"/>
    <mergeCell ref="A119:D119"/>
    <mergeCell ref="D182:L182"/>
    <mergeCell ref="A158:K158"/>
    <mergeCell ref="A172:G172"/>
    <mergeCell ref="A174:D174"/>
    <mergeCell ref="A175:D175"/>
    <mergeCell ref="A176:D176"/>
    <mergeCell ref="A177:D177"/>
    <mergeCell ref="A178:G178"/>
    <mergeCell ref="A180:M180"/>
    <mergeCell ref="A169:D169"/>
    <mergeCell ref="A170:D170"/>
    <mergeCell ref="A171:D171"/>
    <mergeCell ref="A182:C182"/>
    <mergeCell ref="M182:M183"/>
    <mergeCell ref="A166:D166"/>
  </mergeCells>
  <pageMargins left="0.70866141732283472" right="0.70866141732283472" top="0.15748031496062992" bottom="0.23622047244094491" header="0.15748031496062992" footer="0.15748031496062992"/>
  <pageSetup paperSize="9" scale="5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Q200"/>
  <sheetViews>
    <sheetView view="pageBreakPreview" topLeftCell="A4" zoomScale="60" zoomScaleNormal="60" workbookViewId="0">
      <selection activeCell="P25" sqref="P25"/>
    </sheetView>
  </sheetViews>
  <sheetFormatPr defaultRowHeight="14.4"/>
  <cols>
    <col min="1" max="1" width="9.88671875" customWidth="1"/>
    <col min="2" max="3" width="7" customWidth="1"/>
    <col min="4" max="5" width="10.6640625" customWidth="1"/>
    <col min="6" max="6" width="11" customWidth="1"/>
    <col min="7" max="7" width="13.6640625" customWidth="1"/>
    <col min="8" max="8" width="12.5546875" customWidth="1"/>
    <col min="9" max="9" width="11.5546875" customWidth="1"/>
    <col min="10" max="10" width="13.88671875" customWidth="1"/>
    <col min="11" max="11" width="10.109375" customWidth="1"/>
    <col min="12" max="12" width="10.6640625" customWidth="1"/>
    <col min="13" max="13" width="10" customWidth="1"/>
    <col min="14" max="14" width="11" customWidth="1"/>
    <col min="15" max="15" width="13.33203125" customWidth="1"/>
    <col min="16" max="16" width="20" customWidth="1"/>
    <col min="17" max="17" width="15.33203125" customWidth="1"/>
  </cols>
  <sheetData>
    <row r="1" spans="1:14" hidden="1"/>
    <row r="2" spans="1:14" ht="15.6" hidden="1">
      <c r="A2" s="183"/>
      <c r="B2" s="183"/>
      <c r="C2" s="183"/>
      <c r="D2" s="183"/>
      <c r="E2" s="183"/>
      <c r="F2" s="183"/>
      <c r="G2" s="183"/>
    </row>
    <row r="3" spans="1:14" ht="15.75" hidden="1" customHeight="1">
      <c r="A3" s="183"/>
      <c r="B3" s="183"/>
      <c r="C3" s="41"/>
      <c r="D3" s="41"/>
      <c r="E3" s="86"/>
      <c r="F3" s="41"/>
      <c r="G3" s="41"/>
    </row>
    <row r="4" spans="1:14" ht="27.75" customHeight="1">
      <c r="A4" s="184"/>
      <c r="B4" s="184"/>
      <c r="C4" s="184"/>
      <c r="D4" s="102"/>
      <c r="E4" s="184"/>
      <c r="F4" s="184"/>
      <c r="G4" s="43"/>
      <c r="H4" s="256"/>
      <c r="I4" s="171"/>
      <c r="J4" s="171"/>
      <c r="K4" s="171"/>
      <c r="L4" s="106"/>
    </row>
    <row r="5" spans="1:14" ht="7.5" customHeight="1">
      <c r="A5" s="3"/>
      <c r="B5" s="3"/>
      <c r="C5" s="3"/>
      <c r="D5" s="85"/>
      <c r="E5" s="3"/>
      <c r="F5" s="3"/>
      <c r="G5" s="85"/>
    </row>
    <row r="6" spans="1:14">
      <c r="A6" s="87"/>
      <c r="B6" s="87"/>
      <c r="C6" s="87"/>
      <c r="D6" s="87"/>
      <c r="E6" s="87"/>
      <c r="F6" s="87"/>
      <c r="G6" s="87"/>
    </row>
    <row r="7" spans="1:14" ht="15.6">
      <c r="A7" s="169" t="s">
        <v>119</v>
      </c>
      <c r="B7" s="170"/>
      <c r="C7" s="170"/>
      <c r="D7" s="170"/>
      <c r="E7" s="170"/>
      <c r="F7" s="170"/>
      <c r="G7" s="171"/>
      <c r="H7" s="171"/>
      <c r="I7" s="171"/>
      <c r="J7" s="171"/>
      <c r="K7" s="171"/>
      <c r="L7" s="171"/>
      <c r="M7" s="171"/>
    </row>
    <row r="8" spans="1:14" ht="15.6">
      <c r="A8" s="169" t="s">
        <v>152</v>
      </c>
      <c r="B8" s="170"/>
      <c r="C8" s="170"/>
      <c r="D8" s="170"/>
      <c r="E8" s="170"/>
      <c r="F8" s="170"/>
      <c r="G8" s="171"/>
      <c r="H8" s="171"/>
      <c r="I8" s="171"/>
      <c r="J8" s="171"/>
      <c r="K8" s="171"/>
      <c r="L8" s="171"/>
      <c r="M8" s="171"/>
    </row>
    <row r="9" spans="1:14" ht="6.75" customHeight="1"/>
    <row r="10" spans="1:14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4" ht="15.6">
      <c r="A11" s="7" t="s">
        <v>126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ht="17.25" customHeight="1">
      <c r="A12" s="208" t="s">
        <v>83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</row>
    <row r="13" spans="1:14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4" ht="15.6">
      <c r="A14" s="7" t="s">
        <v>146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4" ht="15.6">
      <c r="A15" s="7" t="s">
        <v>130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4" ht="51.75" customHeight="1">
      <c r="A16" s="195" t="s">
        <v>66</v>
      </c>
      <c r="B16" s="195"/>
      <c r="C16" s="195"/>
      <c r="D16" s="195"/>
      <c r="E16" s="195"/>
      <c r="F16" s="8" t="s">
        <v>65</v>
      </c>
      <c r="G16" s="195" t="s">
        <v>67</v>
      </c>
      <c r="H16" s="195"/>
      <c r="I16" s="195"/>
      <c r="J16" s="195"/>
      <c r="K16" s="195"/>
      <c r="L16" s="8" t="s">
        <v>65</v>
      </c>
      <c r="N16" s="116"/>
    </row>
    <row r="17" spans="1:12">
      <c r="A17" s="196" t="s">
        <v>86</v>
      </c>
      <c r="B17" s="196"/>
      <c r="C17" s="196"/>
      <c r="D17" s="196"/>
      <c r="E17" s="196"/>
      <c r="F17" s="108">
        <f>5*31.5%</f>
        <v>1.575</v>
      </c>
      <c r="G17" s="197" t="s">
        <v>1</v>
      </c>
      <c r="H17" s="197"/>
      <c r="I17" s="197"/>
      <c r="J17" s="197"/>
      <c r="K17" s="197"/>
      <c r="L17" s="108">
        <f>1*31.5%</f>
        <v>0.315</v>
      </c>
    </row>
    <row r="18" spans="1:12">
      <c r="A18" s="196" t="s">
        <v>87</v>
      </c>
      <c r="B18" s="196"/>
      <c r="C18" s="196"/>
      <c r="D18" s="196"/>
      <c r="E18" s="196"/>
      <c r="F18" s="108">
        <f>10.08*31.5%</f>
        <v>3.1752000000000002</v>
      </c>
      <c r="G18" s="189" t="s">
        <v>88</v>
      </c>
      <c r="H18" s="190"/>
      <c r="I18" s="190"/>
      <c r="J18" s="190"/>
      <c r="K18" s="191"/>
      <c r="L18" s="108">
        <f>3*31.5%</f>
        <v>0.94500000000000006</v>
      </c>
    </row>
    <row r="19" spans="1:12">
      <c r="A19" s="189" t="s">
        <v>100</v>
      </c>
      <c r="B19" s="190"/>
      <c r="C19" s="190"/>
      <c r="D19" s="190"/>
      <c r="E19" s="198"/>
      <c r="F19" s="108">
        <f>6.5*31.5%</f>
        <v>2.0474999999999999</v>
      </c>
      <c r="G19" s="196" t="s">
        <v>89</v>
      </c>
      <c r="H19" s="196"/>
      <c r="I19" s="196"/>
      <c r="J19" s="196"/>
      <c r="K19" s="196"/>
      <c r="L19" s="108">
        <f>1*31.5%</f>
        <v>0.315</v>
      </c>
    </row>
    <row r="20" spans="1:12">
      <c r="A20" s="196"/>
      <c r="B20" s="196"/>
      <c r="C20" s="196"/>
      <c r="D20" s="196"/>
      <c r="E20" s="196"/>
      <c r="F20" s="99"/>
      <c r="G20" s="210" t="s">
        <v>72</v>
      </c>
      <c r="H20" s="211"/>
      <c r="I20" s="211"/>
      <c r="J20" s="211"/>
      <c r="K20" s="212"/>
      <c r="L20" s="108">
        <f>1*31.5%</f>
        <v>0.315</v>
      </c>
    </row>
    <row r="21" spans="1:12" ht="15" customHeight="1">
      <c r="A21" s="196"/>
      <c r="B21" s="196"/>
      <c r="C21" s="196"/>
      <c r="D21" s="196"/>
      <c r="E21" s="196"/>
      <c r="F21" s="99"/>
      <c r="G21" s="186" t="s">
        <v>70</v>
      </c>
      <c r="H21" s="187"/>
      <c r="I21" s="187"/>
      <c r="J21" s="187"/>
      <c r="K21" s="188"/>
      <c r="L21" s="108">
        <f>1*31.5%</f>
        <v>0.315</v>
      </c>
    </row>
    <row r="22" spans="1:12" ht="15" customHeight="1">
      <c r="A22" s="196"/>
      <c r="B22" s="196"/>
      <c r="C22" s="196"/>
      <c r="D22" s="196"/>
      <c r="E22" s="196"/>
      <c r="F22" s="99"/>
      <c r="G22" s="158" t="s">
        <v>90</v>
      </c>
      <c r="H22" s="159"/>
      <c r="I22" s="159"/>
      <c r="J22" s="159"/>
      <c r="K22" s="172"/>
      <c r="L22" s="108">
        <f>0.5*31.5%</f>
        <v>0.1575</v>
      </c>
    </row>
    <row r="23" spans="1:12">
      <c r="A23" s="196"/>
      <c r="B23" s="196"/>
      <c r="C23" s="196"/>
      <c r="D23" s="196"/>
      <c r="E23" s="196"/>
      <c r="F23" s="99"/>
      <c r="G23" s="186" t="s">
        <v>91</v>
      </c>
      <c r="H23" s="187"/>
      <c r="I23" s="187"/>
      <c r="J23" s="187"/>
      <c r="K23" s="188"/>
      <c r="L23" s="108">
        <f>1*31.5%</f>
        <v>0.315</v>
      </c>
    </row>
    <row r="24" spans="1:12" ht="28.2" customHeight="1">
      <c r="A24" s="189"/>
      <c r="B24" s="190"/>
      <c r="C24" s="190"/>
      <c r="D24" s="190"/>
      <c r="E24" s="191"/>
      <c r="F24" s="99"/>
      <c r="G24" s="186" t="s">
        <v>133</v>
      </c>
      <c r="H24" s="187"/>
      <c r="I24" s="187"/>
      <c r="J24" s="187"/>
      <c r="K24" s="188"/>
      <c r="L24" s="108">
        <f>1*31.5%</f>
        <v>0.315</v>
      </c>
    </row>
    <row r="25" spans="1:12">
      <c r="A25" s="189"/>
      <c r="B25" s="190"/>
      <c r="C25" s="190"/>
      <c r="D25" s="190"/>
      <c r="E25" s="191"/>
      <c r="F25" s="100"/>
      <c r="G25" s="186" t="s">
        <v>134</v>
      </c>
      <c r="H25" s="187"/>
      <c r="I25" s="187"/>
      <c r="J25" s="187"/>
      <c r="K25" s="188"/>
      <c r="L25" s="108">
        <f>1*31.5%</f>
        <v>0.315</v>
      </c>
    </row>
    <row r="26" spans="1:12" ht="15.75" customHeight="1">
      <c r="A26" s="189"/>
      <c r="B26" s="190"/>
      <c r="C26" s="190"/>
      <c r="D26" s="190"/>
      <c r="E26" s="191"/>
      <c r="F26" s="100"/>
      <c r="G26" s="192" t="s">
        <v>92</v>
      </c>
      <c r="H26" s="193"/>
      <c r="I26" s="193"/>
      <c r="J26" s="193"/>
      <c r="K26" s="194"/>
      <c r="L26" s="108">
        <f>2*31.5%</f>
        <v>0.63</v>
      </c>
    </row>
    <row r="27" spans="1:12" ht="15.75" customHeight="1">
      <c r="A27" s="189"/>
      <c r="B27" s="190"/>
      <c r="C27" s="190"/>
      <c r="D27" s="190"/>
      <c r="E27" s="191"/>
      <c r="F27" s="100"/>
      <c r="G27" s="186" t="s">
        <v>71</v>
      </c>
      <c r="H27" s="187"/>
      <c r="I27" s="187"/>
      <c r="J27" s="187"/>
      <c r="K27" s="188"/>
      <c r="L27" s="108">
        <f>1*31.5%</f>
        <v>0.315</v>
      </c>
    </row>
    <row r="28" spans="1:12" ht="15" customHeight="1">
      <c r="A28" s="185"/>
      <c r="B28" s="185"/>
      <c r="C28" s="185"/>
      <c r="D28" s="185"/>
      <c r="E28" s="185"/>
      <c r="F28" s="100"/>
      <c r="G28" s="158" t="s">
        <v>93</v>
      </c>
      <c r="H28" s="159"/>
      <c r="I28" s="159"/>
      <c r="J28" s="159"/>
      <c r="K28" s="172"/>
      <c r="L28" s="108">
        <f>4.75*31.5%</f>
        <v>1.4962500000000001</v>
      </c>
    </row>
    <row r="29" spans="1:12" ht="15.75" customHeight="1">
      <c r="A29" s="185"/>
      <c r="B29" s="185"/>
      <c r="C29" s="185"/>
      <c r="D29" s="185"/>
      <c r="E29" s="185"/>
      <c r="F29" s="100"/>
      <c r="G29" s="158" t="s">
        <v>131</v>
      </c>
      <c r="H29" s="159"/>
      <c r="I29" s="159"/>
      <c r="J29" s="159"/>
      <c r="K29" s="172"/>
      <c r="L29" s="108">
        <f>3.5*31.5%</f>
        <v>1.1025</v>
      </c>
    </row>
    <row r="30" spans="1:12">
      <c r="A30" s="207"/>
      <c r="B30" s="207"/>
      <c r="C30" s="207"/>
      <c r="D30" s="207"/>
      <c r="E30" s="207"/>
      <c r="F30" s="40"/>
      <c r="G30" s="158" t="s">
        <v>94</v>
      </c>
      <c r="H30" s="159"/>
      <c r="I30" s="159"/>
      <c r="J30" s="159"/>
      <c r="K30" s="172"/>
      <c r="L30" s="108">
        <f>2*31.5%</f>
        <v>0.63</v>
      </c>
    </row>
    <row r="31" spans="1:12" ht="14.4" customHeight="1">
      <c r="A31" s="207"/>
      <c r="B31" s="207"/>
      <c r="C31" s="207"/>
      <c r="D31" s="207"/>
      <c r="E31" s="207"/>
      <c r="F31" s="40"/>
      <c r="G31" s="158" t="s">
        <v>95</v>
      </c>
      <c r="H31" s="159"/>
      <c r="I31" s="159"/>
      <c r="J31" s="159"/>
      <c r="K31" s="172"/>
      <c r="L31" s="108">
        <f>0.5*31.5%</f>
        <v>0.1575</v>
      </c>
    </row>
    <row r="32" spans="1:12" ht="12.75" customHeight="1">
      <c r="A32" s="207"/>
      <c r="B32" s="207"/>
      <c r="C32" s="207"/>
      <c r="D32" s="207"/>
      <c r="E32" s="207"/>
      <c r="F32" s="40"/>
      <c r="G32" s="158" t="s">
        <v>96</v>
      </c>
      <c r="H32" s="159"/>
      <c r="I32" s="159"/>
      <c r="J32" s="159"/>
      <c r="K32" s="172"/>
      <c r="L32" s="108">
        <f>0.5*31.5%</f>
        <v>0.1575</v>
      </c>
    </row>
    <row r="33" spans="1:14" ht="15" customHeight="1">
      <c r="A33" s="207"/>
      <c r="B33" s="207"/>
      <c r="C33" s="207"/>
      <c r="D33" s="207"/>
      <c r="E33" s="207"/>
      <c r="F33" s="40"/>
      <c r="G33" s="158" t="s">
        <v>97</v>
      </c>
      <c r="H33" s="159"/>
      <c r="I33" s="159"/>
      <c r="J33" s="159"/>
      <c r="K33" s="172"/>
      <c r="L33" s="108">
        <f>12.5*31.5%</f>
        <v>3.9375</v>
      </c>
    </row>
    <row r="34" spans="1:14">
      <c r="A34" s="235"/>
      <c r="B34" s="236"/>
      <c r="C34" s="236"/>
      <c r="D34" s="236"/>
      <c r="E34" s="237"/>
      <c r="F34" s="40"/>
      <c r="G34" s="189" t="s">
        <v>132</v>
      </c>
      <c r="H34" s="190"/>
      <c r="I34" s="190"/>
      <c r="J34" s="190"/>
      <c r="K34" s="191"/>
      <c r="L34" s="108">
        <f>2*31.5%</f>
        <v>0.63</v>
      </c>
    </row>
    <row r="35" spans="1:14" ht="15" customHeight="1">
      <c r="A35" s="235"/>
      <c r="B35" s="236"/>
      <c r="C35" s="236"/>
      <c r="D35" s="236"/>
      <c r="E35" s="237"/>
      <c r="F35" s="40"/>
      <c r="G35" s="189" t="s">
        <v>98</v>
      </c>
      <c r="H35" s="190"/>
      <c r="I35" s="190"/>
      <c r="J35" s="190"/>
      <c r="K35" s="191"/>
      <c r="L35" s="108">
        <f>1*31.5%</f>
        <v>0.315</v>
      </c>
    </row>
    <row r="36" spans="1:14" ht="15" customHeight="1">
      <c r="A36" s="235"/>
      <c r="B36" s="236"/>
      <c r="C36" s="236"/>
      <c r="D36" s="236"/>
      <c r="E36" s="237"/>
      <c r="F36" s="40"/>
      <c r="G36" s="189" t="s">
        <v>99</v>
      </c>
      <c r="H36" s="190"/>
      <c r="I36" s="190"/>
      <c r="J36" s="190"/>
      <c r="K36" s="225"/>
      <c r="L36" s="108">
        <f>1*31.5%</f>
        <v>0.315</v>
      </c>
    </row>
    <row r="37" spans="1:14" ht="15" customHeight="1">
      <c r="A37" s="235"/>
      <c r="B37" s="236"/>
      <c r="C37" s="236"/>
      <c r="D37" s="236"/>
      <c r="E37" s="237"/>
      <c r="F37" s="40"/>
      <c r="G37" s="226"/>
      <c r="H37" s="227"/>
      <c r="I37" s="227"/>
      <c r="J37" s="227"/>
      <c r="K37" s="228"/>
      <c r="L37" s="117"/>
      <c r="M37" s="118"/>
    </row>
    <row r="38" spans="1:14" ht="15" customHeight="1">
      <c r="A38" s="165" t="s">
        <v>2</v>
      </c>
      <c r="B38" s="165"/>
      <c r="C38" s="165"/>
      <c r="D38" s="165"/>
      <c r="E38" s="165"/>
      <c r="F38" s="115">
        <v>6.8</v>
      </c>
      <c r="G38" s="233" t="s">
        <v>2</v>
      </c>
      <c r="H38" s="233"/>
      <c r="I38" s="233"/>
      <c r="J38" s="233"/>
      <c r="K38" s="233"/>
      <c r="L38" s="114">
        <v>13</v>
      </c>
      <c r="N38" s="116">
        <f>L38+F38+'Услуга №2'!F40+'Услуга №2'!M40+'Работа №1'!F40+'Работа №1'!M40+'Работа №2'!F40+'Работа №2'!M40+'Работа №3'!F40+'Работа №3'!M40+'Работа №4'!F40+'Работа №4'!M40</f>
        <v>19.8</v>
      </c>
    </row>
    <row r="39" spans="1:14" ht="98.25" hidden="1" customHeight="1">
      <c r="A39" s="165" t="s">
        <v>2</v>
      </c>
      <c r="B39" s="165"/>
      <c r="C39" s="165"/>
      <c r="D39" s="165"/>
      <c r="E39" s="69">
        <f>SUM(E17:E28)</f>
        <v>0</v>
      </c>
      <c r="F39" s="136"/>
      <c r="G39" s="166" t="s">
        <v>2</v>
      </c>
      <c r="H39" s="166"/>
      <c r="I39" s="166"/>
      <c r="J39" s="166"/>
      <c r="K39" s="166"/>
      <c r="L39" s="166"/>
      <c r="M39" s="166"/>
    </row>
    <row r="40" spans="1:14" hidden="1">
      <c r="A40" s="179" t="s">
        <v>15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</row>
    <row r="41" spans="1:14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4" ht="80.25" hidden="1" customHeight="1">
      <c r="A42" s="180" t="s">
        <v>6</v>
      </c>
      <c r="B42" s="180"/>
      <c r="C42" s="180"/>
      <c r="D42" s="180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181">
        <v>1</v>
      </c>
      <c r="B43" s="182"/>
      <c r="C43" s="182"/>
      <c r="D43" s="182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4" ht="15" hidden="1" customHeight="1">
      <c r="A44" s="168" t="s">
        <v>39</v>
      </c>
      <c r="B44" s="168"/>
      <c r="C44" s="168"/>
      <c r="D44" s="168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168" t="s">
        <v>40</v>
      </c>
      <c r="B45" s="168"/>
      <c r="C45" s="168"/>
      <c r="D45" s="168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168" t="s">
        <v>41</v>
      </c>
      <c r="B46" s="168"/>
      <c r="C46" s="168"/>
      <c r="D46" s="168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168"/>
      <c r="B47" s="168"/>
      <c r="C47" s="168"/>
      <c r="D47" s="168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4" ht="15" hidden="1" customHeight="1">
      <c r="A48" s="168"/>
      <c r="B48" s="168"/>
      <c r="C48" s="168"/>
      <c r="D48" s="168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173"/>
      <c r="B49" s="174"/>
      <c r="C49" s="174"/>
      <c r="D49" s="174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173"/>
      <c r="B50" s="174"/>
      <c r="C50" s="174"/>
      <c r="D50" s="174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173"/>
      <c r="B51" s="174"/>
      <c r="C51" s="174"/>
      <c r="D51" s="174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173"/>
      <c r="B52" s="174"/>
      <c r="C52" s="174"/>
      <c r="D52" s="174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173"/>
      <c r="B53" s="174"/>
      <c r="C53" s="174"/>
      <c r="D53" s="174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175"/>
      <c r="B54" s="176"/>
      <c r="C54" s="176"/>
      <c r="D54" s="176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175"/>
      <c r="B55" s="176"/>
      <c r="C55" s="176"/>
      <c r="D55" s="176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175"/>
      <c r="B56" s="176"/>
      <c r="C56" s="176"/>
      <c r="D56" s="176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175"/>
      <c r="B57" s="176"/>
      <c r="C57" s="176"/>
      <c r="D57" s="176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175"/>
      <c r="B58" s="176"/>
      <c r="C58" s="176"/>
      <c r="D58" s="176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175"/>
      <c r="B59" s="176"/>
      <c r="C59" s="176"/>
      <c r="D59" s="176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175"/>
      <c r="B60" s="176"/>
      <c r="C60" s="176"/>
      <c r="D60" s="176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175"/>
      <c r="B61" s="176"/>
      <c r="C61" s="176"/>
      <c r="D61" s="176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38" t="s">
        <v>59</v>
      </c>
      <c r="B62" s="238"/>
      <c r="C62" s="238"/>
      <c r="D62" s="23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30" t="s">
        <v>14</v>
      </c>
      <c r="B63" s="231"/>
      <c r="C63" s="231"/>
      <c r="D63" s="231"/>
      <c r="E63" s="231"/>
      <c r="F63" s="231"/>
      <c r="G63" s="231"/>
      <c r="H63" s="231"/>
      <c r="I63" s="231"/>
      <c r="J63" s="231"/>
      <c r="K63" s="232"/>
      <c r="L63" s="137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34" t="s">
        <v>76</v>
      </c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4"/>
    </row>
    <row r="67" spans="1:14" ht="69.599999999999994">
      <c r="A67" s="229" t="s">
        <v>3</v>
      </c>
      <c r="B67" s="229"/>
      <c r="C67" s="229"/>
      <c r="D67" s="229"/>
      <c r="E67" s="8" t="s">
        <v>4</v>
      </c>
      <c r="F67" s="9" t="s">
        <v>0</v>
      </c>
      <c r="G67" s="34" t="s">
        <v>52</v>
      </c>
      <c r="H67" s="34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04">
        <v>1</v>
      </c>
      <c r="B68" s="205"/>
      <c r="C68" s="205"/>
      <c r="D68" s="205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5">
        <v>7</v>
      </c>
      <c r="K68" s="36">
        <v>8</v>
      </c>
      <c r="L68" s="109"/>
      <c r="M68" s="27"/>
    </row>
    <row r="69" spans="1:14" ht="40.200000000000003" customHeight="1" thickBot="1">
      <c r="A69" s="206" t="s">
        <v>66</v>
      </c>
      <c r="B69" s="206"/>
      <c r="C69" s="206"/>
      <c r="D69" s="206"/>
      <c r="E69" s="37">
        <f>G69/12/F69</f>
        <v>38828.359191176467</v>
      </c>
      <c r="F69" s="37">
        <v>6.8</v>
      </c>
      <c r="G69" s="131">
        <v>3168394.11</v>
      </c>
      <c r="H69" s="37">
        <v>4125249.13</v>
      </c>
      <c r="I69" s="44">
        <v>276</v>
      </c>
      <c r="J69" s="37">
        <f>H69/I69</f>
        <v>14946.554818840579</v>
      </c>
      <c r="K69" s="57">
        <f>H69/13096029*100</f>
        <v>31.499999961820485</v>
      </c>
      <c r="L69" s="110"/>
      <c r="M69" s="15"/>
    </row>
    <row r="70" spans="1:14" ht="15" thickBot="1">
      <c r="A70" s="162" t="s">
        <v>47</v>
      </c>
      <c r="B70" s="162"/>
      <c r="C70" s="162"/>
      <c r="D70" s="162"/>
      <c r="E70" s="62"/>
      <c r="F70" s="134"/>
      <c r="G70" s="134"/>
      <c r="H70" s="66">
        <f>H69</f>
        <v>4125249.13</v>
      </c>
      <c r="I70" s="47"/>
      <c r="J70" s="63">
        <f>J69</f>
        <v>14946.554818840579</v>
      </c>
      <c r="K70" s="45"/>
      <c r="L70" s="45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157" t="s">
        <v>85</v>
      </c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1:14" ht="73.5" customHeight="1">
      <c r="A74" s="229" t="s">
        <v>17</v>
      </c>
      <c r="B74" s="229"/>
      <c r="C74" s="229"/>
      <c r="D74" s="229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6"/>
    </row>
    <row r="75" spans="1:14" ht="18.75" customHeight="1">
      <c r="A75" s="177">
        <v>1</v>
      </c>
      <c r="B75" s="178"/>
      <c r="C75" s="178"/>
      <c r="D75" s="178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167" t="s">
        <v>51</v>
      </c>
      <c r="B76" s="167"/>
      <c r="C76" s="167"/>
      <c r="D76" s="167"/>
      <c r="E76" s="29">
        <v>5</v>
      </c>
      <c r="F76" s="28">
        <v>12</v>
      </c>
      <c r="G76" s="37">
        <v>687.02</v>
      </c>
      <c r="H76" s="131">
        <f>41221.2*31.5%</f>
        <v>12984.678</v>
      </c>
      <c r="I76" s="44">
        <v>276</v>
      </c>
      <c r="J76" s="37">
        <f>H76/I76</f>
        <v>47.045934782608697</v>
      </c>
      <c r="K76" s="10"/>
      <c r="L76" s="10"/>
      <c r="M76" s="16"/>
    </row>
    <row r="77" spans="1:14" ht="15" thickBot="1">
      <c r="A77" s="167" t="s">
        <v>60</v>
      </c>
      <c r="B77" s="167"/>
      <c r="C77" s="167"/>
      <c r="D77" s="167"/>
      <c r="E77" s="29">
        <v>1</v>
      </c>
      <c r="F77" s="29">
        <v>12</v>
      </c>
      <c r="G77" s="37">
        <v>3743.23</v>
      </c>
      <c r="H77" s="131">
        <f>44918.8*31.5%</f>
        <v>14149.422</v>
      </c>
      <c r="I77" s="44">
        <v>276</v>
      </c>
      <c r="J77" s="37">
        <f>H77/I77</f>
        <v>51.266021739130437</v>
      </c>
      <c r="K77" s="10"/>
      <c r="L77" s="10"/>
      <c r="M77" s="10"/>
    </row>
    <row r="78" spans="1:14" ht="15" thickBot="1">
      <c r="A78" s="213" t="s">
        <v>25</v>
      </c>
      <c r="B78" s="214"/>
      <c r="C78" s="214"/>
      <c r="D78" s="214"/>
      <c r="E78" s="53"/>
      <c r="F78" s="53"/>
      <c r="G78" s="53"/>
      <c r="H78" s="66">
        <f>SUM(H76:H77)</f>
        <v>27134.1</v>
      </c>
      <c r="I78" s="47"/>
      <c r="J78" s="54">
        <f>SUM(J76:J77)</f>
        <v>98.311956521739134</v>
      </c>
      <c r="K78" s="10"/>
      <c r="L78" s="10"/>
      <c r="M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157" t="s">
        <v>16</v>
      </c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</row>
    <row r="81" spans="1:13" ht="73.5" customHeight="1">
      <c r="A81" s="229" t="s">
        <v>17</v>
      </c>
      <c r="B81" s="229"/>
      <c r="C81" s="229"/>
      <c r="D81" s="229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3" ht="18.75" customHeight="1">
      <c r="A82" s="177">
        <v>1</v>
      </c>
      <c r="B82" s="178"/>
      <c r="C82" s="178"/>
      <c r="D82" s="178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3">
      <c r="A83" s="167" t="s">
        <v>19</v>
      </c>
      <c r="B83" s="167"/>
      <c r="C83" s="167"/>
      <c r="D83" s="167"/>
      <c r="E83" s="29" t="s">
        <v>22</v>
      </c>
      <c r="F83" s="28">
        <f>H83/G83</f>
        <v>22.495424067464537</v>
      </c>
      <c r="G83" s="37">
        <v>6441.31</v>
      </c>
      <c r="H83" s="131">
        <f>460000*31.5%</f>
        <v>144900</v>
      </c>
      <c r="I83" s="44">
        <v>276</v>
      </c>
      <c r="J83" s="37">
        <f t="shared" ref="J83:J88" si="2">H83/I83</f>
        <v>525</v>
      </c>
      <c r="K83" s="10"/>
      <c r="L83" s="10"/>
      <c r="M83" s="16"/>
    </row>
    <row r="84" spans="1:13">
      <c r="A84" s="167" t="s">
        <v>20</v>
      </c>
      <c r="B84" s="167"/>
      <c r="C84" s="167"/>
      <c r="D84" s="167"/>
      <c r="E84" s="29" t="s">
        <v>23</v>
      </c>
      <c r="F84" s="29">
        <f>H84/G84</f>
        <v>242.72680294121128</v>
      </c>
      <c r="G84" s="37">
        <v>1690.46</v>
      </c>
      <c r="H84" s="131">
        <f>1302603.02*31.5%</f>
        <v>410319.95130000002</v>
      </c>
      <c r="I84" s="44">
        <v>276</v>
      </c>
      <c r="J84" s="37">
        <f t="shared" si="2"/>
        <v>1486.6664902173914</v>
      </c>
      <c r="K84" s="10"/>
      <c r="L84" s="10"/>
      <c r="M84" s="10"/>
    </row>
    <row r="85" spans="1:13">
      <c r="A85" s="167" t="s">
        <v>49</v>
      </c>
      <c r="B85" s="167"/>
      <c r="C85" s="167"/>
      <c r="D85" s="167"/>
      <c r="E85" s="29" t="s">
        <v>24</v>
      </c>
      <c r="F85" s="29">
        <f t="shared" ref="F85:F86" si="3">H85/G85</f>
        <v>1153.564453125</v>
      </c>
      <c r="G85" s="37">
        <v>40.96</v>
      </c>
      <c r="H85" s="131">
        <f>150000*31.5%</f>
        <v>47250</v>
      </c>
      <c r="I85" s="44">
        <v>276</v>
      </c>
      <c r="J85" s="37">
        <f t="shared" si="2"/>
        <v>171.19565217391303</v>
      </c>
      <c r="K85" s="10"/>
      <c r="L85" s="10"/>
      <c r="M85" s="10"/>
    </row>
    <row r="86" spans="1:13">
      <c r="A86" s="239" t="s">
        <v>21</v>
      </c>
      <c r="B86" s="239"/>
      <c r="C86" s="239"/>
      <c r="D86" s="239"/>
      <c r="E86" s="52" t="s">
        <v>24</v>
      </c>
      <c r="F86" s="29">
        <f t="shared" si="3"/>
        <v>873.97317686504607</v>
      </c>
      <c r="G86" s="46">
        <v>59.65</v>
      </c>
      <c r="H86" s="133">
        <f>165500*31.5%</f>
        <v>52132.5</v>
      </c>
      <c r="I86" s="44">
        <v>276</v>
      </c>
      <c r="J86" s="46">
        <f t="shared" si="2"/>
        <v>188.8858695652174</v>
      </c>
      <c r="K86" s="10"/>
      <c r="L86" s="10"/>
      <c r="M86" s="10"/>
    </row>
    <row r="87" spans="1:13" ht="43.8" customHeight="1">
      <c r="A87" s="219" t="s">
        <v>109</v>
      </c>
      <c r="B87" s="220"/>
      <c r="C87" s="220"/>
      <c r="D87" s="221"/>
      <c r="E87" s="50" t="s">
        <v>27</v>
      </c>
      <c r="F87" s="126">
        <v>1</v>
      </c>
      <c r="G87" s="46"/>
      <c r="H87" s="130">
        <f>6796.98*31.5%</f>
        <v>2141.0486999999998</v>
      </c>
      <c r="I87" s="44">
        <v>276</v>
      </c>
      <c r="J87" s="46">
        <f t="shared" si="2"/>
        <v>7.7574228260869562</v>
      </c>
      <c r="K87" s="10"/>
      <c r="L87" s="10"/>
      <c r="M87" s="10"/>
    </row>
    <row r="88" spans="1:13" ht="15" thickBot="1">
      <c r="A88" s="219" t="s">
        <v>104</v>
      </c>
      <c r="B88" s="220"/>
      <c r="C88" s="220"/>
      <c r="D88" s="221"/>
      <c r="E88" s="50" t="s">
        <v>27</v>
      </c>
      <c r="F88" s="25">
        <v>1</v>
      </c>
      <c r="G88" s="8"/>
      <c r="H88" s="130">
        <f>27000*31.5%</f>
        <v>8505</v>
      </c>
      <c r="I88" s="44">
        <v>276</v>
      </c>
      <c r="J88" s="46">
        <f t="shared" si="2"/>
        <v>30.815217391304348</v>
      </c>
      <c r="K88" s="10"/>
      <c r="L88" s="10"/>
      <c r="M88" s="10"/>
    </row>
    <row r="89" spans="1:13" ht="15" thickBot="1">
      <c r="A89" s="213" t="s">
        <v>25</v>
      </c>
      <c r="B89" s="214"/>
      <c r="C89" s="214"/>
      <c r="D89" s="214"/>
      <c r="E89" s="53"/>
      <c r="F89" s="53"/>
      <c r="G89" s="53"/>
      <c r="H89" s="66">
        <f>SUM(H83:H88)</f>
        <v>665248.50000000012</v>
      </c>
      <c r="I89" s="47"/>
      <c r="J89" s="54">
        <f>SUM(J83:J88)</f>
        <v>2410.3206521739135</v>
      </c>
      <c r="K89" s="10"/>
      <c r="L89" s="10"/>
      <c r="M89" s="10"/>
    </row>
    <row r="90" spans="1:13" ht="15.75" customHeight="1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10"/>
      <c r="L90" s="10"/>
      <c r="M90" s="10"/>
    </row>
    <row r="91" spans="1:13">
      <c r="A91" s="157" t="s">
        <v>26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</row>
    <row r="92" spans="1:13" ht="69.599999999999994">
      <c r="A92" s="215" t="s">
        <v>28</v>
      </c>
      <c r="B92" s="215"/>
      <c r="C92" s="215"/>
      <c r="D92" s="215"/>
      <c r="E92" s="25" t="s">
        <v>7</v>
      </c>
      <c r="F92" s="25" t="s">
        <v>18</v>
      </c>
      <c r="G92" s="8" t="s">
        <v>48</v>
      </c>
      <c r="H92" s="8" t="s">
        <v>74</v>
      </c>
      <c r="I92" s="8" t="s">
        <v>69</v>
      </c>
      <c r="J92" s="10"/>
      <c r="K92" s="10"/>
      <c r="L92" s="10"/>
    </row>
    <row r="93" spans="1:13" ht="15" customHeight="1">
      <c r="A93" s="219" t="s">
        <v>105</v>
      </c>
      <c r="B93" s="220"/>
      <c r="C93" s="220"/>
      <c r="D93" s="221"/>
      <c r="E93" s="50" t="s">
        <v>27</v>
      </c>
      <c r="F93" s="50">
        <v>1</v>
      </c>
      <c r="G93" s="130">
        <f>136560*31.5%</f>
        <v>43016.4</v>
      </c>
      <c r="H93" s="44">
        <v>276</v>
      </c>
      <c r="I93" s="90">
        <f>G93/H93</f>
        <v>155.85652173913044</v>
      </c>
      <c r="J93" s="10"/>
      <c r="K93" s="10"/>
      <c r="L93" s="10"/>
    </row>
    <row r="94" spans="1:13" ht="15" customHeight="1">
      <c r="A94" s="219" t="s">
        <v>106</v>
      </c>
      <c r="B94" s="220"/>
      <c r="C94" s="220"/>
      <c r="D94" s="221"/>
      <c r="E94" s="50" t="s">
        <v>27</v>
      </c>
      <c r="F94" s="50">
        <v>1</v>
      </c>
      <c r="G94" s="130">
        <f>99000*31.5%</f>
        <v>31185</v>
      </c>
      <c r="H94" s="44">
        <v>276</v>
      </c>
      <c r="I94" s="90">
        <f t="shared" ref="I94:I98" si="4">G94/H94</f>
        <v>112.98913043478261</v>
      </c>
      <c r="J94" s="10"/>
      <c r="K94" s="10"/>
      <c r="L94" s="10"/>
    </row>
    <row r="95" spans="1:13" ht="15" customHeight="1">
      <c r="A95" s="219" t="s">
        <v>107</v>
      </c>
      <c r="B95" s="220"/>
      <c r="C95" s="220"/>
      <c r="D95" s="221"/>
      <c r="E95" s="50" t="s">
        <v>27</v>
      </c>
      <c r="F95" s="50">
        <v>1</v>
      </c>
      <c r="G95" s="130">
        <f>9600*31.5%</f>
        <v>3024</v>
      </c>
      <c r="H95" s="44">
        <v>276</v>
      </c>
      <c r="I95" s="90">
        <f t="shared" si="4"/>
        <v>10.956521739130435</v>
      </c>
      <c r="J95" s="10"/>
      <c r="K95" s="10"/>
      <c r="L95" s="10"/>
    </row>
    <row r="96" spans="1:13" ht="15" customHeight="1">
      <c r="A96" s="216" t="s">
        <v>108</v>
      </c>
      <c r="B96" s="217"/>
      <c r="C96" s="217"/>
      <c r="D96" s="218"/>
      <c r="E96" s="50" t="s">
        <v>27</v>
      </c>
      <c r="F96" s="50">
        <v>1</v>
      </c>
      <c r="G96" s="131">
        <f>40000*31.5%</f>
        <v>12600</v>
      </c>
      <c r="H96" s="44">
        <v>276</v>
      </c>
      <c r="I96" s="90">
        <f t="shared" si="4"/>
        <v>45.652173913043477</v>
      </c>
      <c r="J96" s="10"/>
      <c r="K96" s="10"/>
      <c r="L96" s="10"/>
    </row>
    <row r="97" spans="1:13" ht="28.5" customHeight="1">
      <c r="A97" s="219" t="s">
        <v>109</v>
      </c>
      <c r="B97" s="220"/>
      <c r="C97" s="220"/>
      <c r="D97" s="221"/>
      <c r="E97" s="50" t="s">
        <v>27</v>
      </c>
      <c r="F97" s="50">
        <v>1</v>
      </c>
      <c r="G97" s="132">
        <f>57196.86*31.5%</f>
        <v>18017.010900000001</v>
      </c>
      <c r="H97" s="44">
        <v>276</v>
      </c>
      <c r="I97" s="90">
        <f>G97/H97</f>
        <v>65.279025000000004</v>
      </c>
      <c r="J97" s="10"/>
      <c r="K97" s="15"/>
      <c r="L97" s="15"/>
    </row>
    <row r="98" spans="1:13" ht="16.5" customHeight="1" thickBot="1">
      <c r="A98" s="222" t="s">
        <v>135</v>
      </c>
      <c r="B98" s="223"/>
      <c r="C98" s="223"/>
      <c r="D98" s="224"/>
      <c r="E98" s="50" t="s">
        <v>27</v>
      </c>
      <c r="F98" s="50">
        <v>1</v>
      </c>
      <c r="G98" s="131">
        <f>3072*31.5%</f>
        <v>967.68000000000006</v>
      </c>
      <c r="H98" s="44">
        <v>276</v>
      </c>
      <c r="I98" s="90">
        <f t="shared" si="4"/>
        <v>3.5060869565217394</v>
      </c>
      <c r="J98" s="10"/>
      <c r="K98" s="10"/>
      <c r="L98" s="10"/>
    </row>
    <row r="99" spans="1:13" ht="15" customHeight="1" thickBot="1">
      <c r="A99" s="139" t="s">
        <v>54</v>
      </c>
      <c r="B99" s="140"/>
      <c r="C99" s="140"/>
      <c r="D99" s="140"/>
      <c r="E99" s="140"/>
      <c r="F99" s="140"/>
      <c r="G99" s="67">
        <f>SUM(G93:G98)</f>
        <v>108810.09089999998</v>
      </c>
      <c r="I99" s="32">
        <f>SUM(I93:I98)</f>
        <v>394.23945978260872</v>
      </c>
      <c r="K99" s="10"/>
      <c r="L99" s="10"/>
      <c r="M99" s="10"/>
    </row>
    <row r="100" spans="1:13" ht="37.200000000000003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1:13" ht="15" customHeight="1">
      <c r="A101" s="157" t="s">
        <v>50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</row>
    <row r="102" spans="1:13" ht="69.599999999999994">
      <c r="A102" s="160" t="s">
        <v>28</v>
      </c>
      <c r="B102" s="161"/>
      <c r="C102" s="161"/>
      <c r="D102" s="161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3" ht="44.4" customHeight="1">
      <c r="A103" s="158" t="s">
        <v>136</v>
      </c>
      <c r="B103" s="159"/>
      <c r="C103" s="159"/>
      <c r="D103" s="159"/>
      <c r="E103" s="50" t="s">
        <v>27</v>
      </c>
      <c r="F103" s="50">
        <v>1</v>
      </c>
      <c r="G103" s="130">
        <f>6000*31.5%</f>
        <v>1890</v>
      </c>
      <c r="H103" s="44">
        <v>276</v>
      </c>
      <c r="I103" s="91">
        <f>G103/H103</f>
        <v>6.8478260869565215</v>
      </c>
      <c r="J103" s="10"/>
      <c r="K103" s="10"/>
      <c r="L103" s="10"/>
      <c r="M103" s="10"/>
    </row>
    <row r="104" spans="1:13" ht="15" customHeight="1">
      <c r="A104" s="158" t="s">
        <v>110</v>
      </c>
      <c r="B104" s="159"/>
      <c r="C104" s="159"/>
      <c r="D104" s="159"/>
      <c r="E104" s="50" t="s">
        <v>27</v>
      </c>
      <c r="F104" s="50">
        <v>1</v>
      </c>
      <c r="G104" s="130">
        <f>34580*31.5%</f>
        <v>10892.7</v>
      </c>
      <c r="H104" s="44">
        <v>276</v>
      </c>
      <c r="I104" s="91">
        <f t="shared" ref="I104:I108" si="5">G104/H104</f>
        <v>39.466304347826089</v>
      </c>
      <c r="J104" s="10"/>
      <c r="K104" s="10"/>
      <c r="L104" s="10"/>
      <c r="M104" s="10"/>
    </row>
    <row r="105" spans="1:13" ht="29.4" customHeight="1">
      <c r="A105" s="158" t="s">
        <v>111</v>
      </c>
      <c r="B105" s="159"/>
      <c r="C105" s="159"/>
      <c r="D105" s="159"/>
      <c r="E105" s="50" t="s">
        <v>27</v>
      </c>
      <c r="F105" s="50">
        <v>1</v>
      </c>
      <c r="G105" s="130">
        <f>117715*31.5%</f>
        <v>37080.224999999999</v>
      </c>
      <c r="H105" s="44">
        <v>276</v>
      </c>
      <c r="I105" s="91">
        <f t="shared" si="5"/>
        <v>134.34864130434781</v>
      </c>
      <c r="J105" s="10"/>
      <c r="K105" s="10"/>
      <c r="L105" s="10"/>
      <c r="M105" s="10"/>
    </row>
    <row r="106" spans="1:13" ht="27" customHeight="1">
      <c r="A106" s="158" t="s">
        <v>112</v>
      </c>
      <c r="B106" s="159"/>
      <c r="C106" s="159"/>
      <c r="D106" s="159"/>
      <c r="E106" s="50" t="s">
        <v>27</v>
      </c>
      <c r="F106" s="50">
        <v>1</v>
      </c>
      <c r="G106" s="130">
        <f>190481.13*31.5%</f>
        <v>60001.555950000002</v>
      </c>
      <c r="H106" s="44">
        <v>276</v>
      </c>
      <c r="I106" s="91">
        <f t="shared" si="5"/>
        <v>217.3969418478261</v>
      </c>
      <c r="J106" s="10"/>
      <c r="K106" s="10"/>
      <c r="L106" s="10"/>
      <c r="M106" s="10"/>
    </row>
    <row r="107" spans="1:13" ht="18" customHeight="1">
      <c r="A107" s="158" t="s">
        <v>137</v>
      </c>
      <c r="B107" s="159"/>
      <c r="C107" s="159"/>
      <c r="D107" s="159"/>
      <c r="E107" s="50" t="s">
        <v>27</v>
      </c>
      <c r="F107" s="50">
        <v>1</v>
      </c>
      <c r="G107" s="132">
        <f>17512.01*31.5%</f>
        <v>5516.2831499999993</v>
      </c>
      <c r="H107" s="44">
        <v>276</v>
      </c>
      <c r="I107" s="91">
        <f t="shared" si="5"/>
        <v>19.986533152173912</v>
      </c>
      <c r="J107" s="10"/>
      <c r="K107" s="10"/>
      <c r="L107" s="10"/>
      <c r="M107" s="10"/>
    </row>
    <row r="108" spans="1:13" ht="42" customHeight="1" thickBot="1">
      <c r="A108" s="158" t="s">
        <v>113</v>
      </c>
      <c r="B108" s="159"/>
      <c r="C108" s="159"/>
      <c r="D108" s="159"/>
      <c r="E108" s="50" t="s">
        <v>27</v>
      </c>
      <c r="F108" s="50">
        <v>1</v>
      </c>
      <c r="G108" s="132">
        <f>6720*31.5%</f>
        <v>2116.8000000000002</v>
      </c>
      <c r="H108" s="44">
        <v>276</v>
      </c>
      <c r="I108" s="91">
        <f t="shared" si="5"/>
        <v>7.6695652173913054</v>
      </c>
      <c r="J108" s="10"/>
      <c r="K108" s="10"/>
      <c r="L108" s="10"/>
      <c r="M108" s="10"/>
    </row>
    <row r="109" spans="1:13" ht="20.25" customHeight="1" thickBot="1">
      <c r="A109" s="163" t="s">
        <v>53</v>
      </c>
      <c r="B109" s="164"/>
      <c r="C109" s="164"/>
      <c r="D109" s="164"/>
      <c r="E109" s="88"/>
      <c r="F109" s="49"/>
      <c r="G109" s="66">
        <f>SUM(G103:G108)</f>
        <v>117497.5641</v>
      </c>
      <c r="H109" s="45"/>
      <c r="I109" s="32">
        <f>SUM(I103:I108)</f>
        <v>425.71581195652175</v>
      </c>
      <c r="J109" s="10"/>
      <c r="K109" s="33"/>
      <c r="L109" s="33"/>
      <c r="M109" s="10"/>
    </row>
    <row r="110" spans="1:13" s="76" customFormat="1" ht="20.25" customHeight="1">
      <c r="A110" s="77"/>
      <c r="B110" s="77"/>
      <c r="C110" s="77"/>
      <c r="D110" s="77"/>
      <c r="E110" s="77"/>
      <c r="F110" s="77"/>
      <c r="G110" s="77"/>
      <c r="H110" s="77"/>
      <c r="I110" s="71"/>
      <c r="J110" s="72"/>
      <c r="K110" s="73"/>
      <c r="L110" s="73"/>
      <c r="M110" s="78"/>
    </row>
    <row r="111" spans="1:13" ht="15" customHeight="1">
      <c r="A111" s="157" t="s">
        <v>138</v>
      </c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</row>
    <row r="112" spans="1:13" ht="55.8">
      <c r="A112" s="160" t="s">
        <v>28</v>
      </c>
      <c r="B112" s="161"/>
      <c r="C112" s="161"/>
      <c r="D112" s="161"/>
      <c r="E112" s="8" t="s">
        <v>75</v>
      </c>
      <c r="F112" s="8" t="s">
        <v>48</v>
      </c>
      <c r="G112" s="8" t="s">
        <v>74</v>
      </c>
      <c r="H112" s="8" t="s">
        <v>69</v>
      </c>
      <c r="I112" s="10"/>
      <c r="J112" s="10"/>
      <c r="K112" s="10"/>
      <c r="L112" s="10"/>
    </row>
    <row r="113" spans="1:15" ht="43.8" customHeight="1" thickBot="1">
      <c r="A113" s="158" t="s">
        <v>139</v>
      </c>
      <c r="B113" s="159"/>
      <c r="C113" s="159"/>
      <c r="D113" s="159"/>
      <c r="E113" s="50" t="s">
        <v>27</v>
      </c>
      <c r="F113" s="130">
        <f>7870*31.5%</f>
        <v>2479.0500000000002</v>
      </c>
      <c r="G113" s="44">
        <v>276</v>
      </c>
      <c r="H113" s="91">
        <f t="shared" ref="H113" si="6">F113/G113</f>
        <v>8.9820652173913054</v>
      </c>
      <c r="I113" s="10"/>
      <c r="J113" s="10"/>
      <c r="K113" s="10"/>
      <c r="L113" s="10"/>
    </row>
    <row r="114" spans="1:15" ht="20.25" customHeight="1" thickBot="1">
      <c r="A114" s="163" t="s">
        <v>140</v>
      </c>
      <c r="B114" s="164"/>
      <c r="C114" s="164"/>
      <c r="D114" s="164"/>
      <c r="E114" s="49"/>
      <c r="F114" s="66">
        <f>SUM(F113:F113)</f>
        <v>2479.0500000000002</v>
      </c>
      <c r="G114" s="45"/>
      <c r="H114" s="51">
        <f>SUM(H113:H113)</f>
        <v>8.9820652173913054</v>
      </c>
      <c r="I114" s="10"/>
      <c r="J114" s="33"/>
      <c r="K114" s="10"/>
      <c r="L114" s="10"/>
    </row>
    <row r="115" spans="1:15" s="76" customFormat="1" ht="20.25" customHeight="1">
      <c r="A115" s="77"/>
      <c r="B115" s="77"/>
      <c r="C115" s="77"/>
      <c r="D115" s="77"/>
      <c r="E115" s="127"/>
      <c r="F115" s="71"/>
      <c r="G115" s="72"/>
      <c r="H115" s="73"/>
      <c r="I115" s="74"/>
      <c r="J115" s="75"/>
      <c r="K115" s="74"/>
      <c r="L115" s="74"/>
    </row>
    <row r="116" spans="1:15" ht="15" customHeight="1">
      <c r="A116" s="157" t="s">
        <v>141</v>
      </c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</row>
    <row r="117" spans="1:15" ht="55.8">
      <c r="A117" s="160" t="s">
        <v>28</v>
      </c>
      <c r="B117" s="161"/>
      <c r="C117" s="161"/>
      <c r="D117" s="161"/>
      <c r="E117" s="8" t="s">
        <v>75</v>
      </c>
      <c r="F117" s="8" t="s">
        <v>48</v>
      </c>
      <c r="G117" s="8" t="s">
        <v>74</v>
      </c>
      <c r="H117" s="8" t="s">
        <v>69</v>
      </c>
      <c r="I117" s="10"/>
      <c r="J117" s="10"/>
      <c r="K117" s="10"/>
      <c r="L117" s="10"/>
    </row>
    <row r="118" spans="1:15" ht="15" thickBot="1">
      <c r="A118" s="158" t="s">
        <v>142</v>
      </c>
      <c r="B118" s="159"/>
      <c r="C118" s="159"/>
      <c r="D118" s="159"/>
      <c r="E118" s="50" t="s">
        <v>27</v>
      </c>
      <c r="F118" s="130">
        <f>29750*31.5%</f>
        <v>9371.25</v>
      </c>
      <c r="G118" s="44">
        <v>276</v>
      </c>
      <c r="H118" s="91">
        <f t="shared" ref="H118" si="7">F118/G118</f>
        <v>33.953804347826086</v>
      </c>
      <c r="I118" s="10"/>
      <c r="J118" s="10"/>
      <c r="K118" s="10"/>
      <c r="L118" s="10"/>
    </row>
    <row r="119" spans="1:15" ht="20.25" customHeight="1" thickBot="1">
      <c r="A119" s="163" t="s">
        <v>53</v>
      </c>
      <c r="B119" s="164"/>
      <c r="C119" s="164"/>
      <c r="D119" s="164"/>
      <c r="E119" s="49"/>
      <c r="F119" s="66">
        <f>SUM(F118:F118)</f>
        <v>9371.25</v>
      </c>
      <c r="G119" s="45"/>
      <c r="H119" s="51">
        <f>SUM(H118:H118)</f>
        <v>33.953804347826086</v>
      </c>
      <c r="I119" s="10"/>
      <c r="J119" s="33"/>
      <c r="K119" s="10"/>
      <c r="L119" s="10"/>
    </row>
    <row r="120" spans="1:15" ht="25.2" customHeight="1">
      <c r="A120" s="79"/>
      <c r="B120" s="79"/>
      <c r="C120" s="79"/>
      <c r="D120" s="79"/>
      <c r="E120" s="80"/>
      <c r="F120" s="81"/>
      <c r="G120" s="82"/>
      <c r="H120" s="81"/>
      <c r="I120" s="83"/>
      <c r="J120" s="64"/>
      <c r="K120" s="84"/>
      <c r="L120" s="84"/>
      <c r="M120" s="48"/>
    </row>
    <row r="121" spans="1:15" ht="15" customHeight="1">
      <c r="A121" s="157" t="s">
        <v>148</v>
      </c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</row>
    <row r="122" spans="1:15" ht="55.8">
      <c r="A122" s="160" t="s">
        <v>28</v>
      </c>
      <c r="B122" s="161"/>
      <c r="C122" s="161"/>
      <c r="D122" s="161"/>
      <c r="E122" s="8" t="s">
        <v>75</v>
      </c>
      <c r="F122" s="8" t="s">
        <v>48</v>
      </c>
      <c r="G122" s="8" t="s">
        <v>74</v>
      </c>
      <c r="H122" s="8" t="s">
        <v>69</v>
      </c>
      <c r="I122" s="10"/>
      <c r="J122" s="10"/>
      <c r="K122" s="10"/>
      <c r="L122" s="10"/>
    </row>
    <row r="123" spans="1:15">
      <c r="A123" s="158" t="s">
        <v>147</v>
      </c>
      <c r="B123" s="159"/>
      <c r="C123" s="159"/>
      <c r="D123" s="159"/>
      <c r="E123" s="50" t="s">
        <v>27</v>
      </c>
      <c r="F123" s="130">
        <f>4500*31.5%</f>
        <v>1417.5</v>
      </c>
      <c r="G123" s="44">
        <v>276</v>
      </c>
      <c r="H123" s="91">
        <f t="shared" ref="H123:H124" si="8">F123/G123</f>
        <v>5.1358695652173916</v>
      </c>
      <c r="I123" s="10"/>
      <c r="J123" s="10"/>
      <c r="K123" s="10"/>
      <c r="L123" s="10"/>
    </row>
    <row r="124" spans="1:15" ht="15.75" customHeight="1" thickBot="1">
      <c r="A124" s="158" t="s">
        <v>149</v>
      </c>
      <c r="B124" s="159"/>
      <c r="C124" s="159"/>
      <c r="D124" s="159"/>
      <c r="E124" s="50" t="s">
        <v>27</v>
      </c>
      <c r="F124" s="130">
        <f>17483*31.5%</f>
        <v>5507.1450000000004</v>
      </c>
      <c r="G124" s="44">
        <v>276</v>
      </c>
      <c r="H124" s="91">
        <f t="shared" si="8"/>
        <v>19.95342391304348</v>
      </c>
      <c r="I124" s="10"/>
      <c r="J124" s="10"/>
      <c r="K124" s="10"/>
      <c r="L124" s="10"/>
    </row>
    <row r="125" spans="1:15" ht="20.25" customHeight="1" thickBot="1">
      <c r="A125" s="163" t="s">
        <v>53</v>
      </c>
      <c r="B125" s="164"/>
      <c r="C125" s="164"/>
      <c r="D125" s="164"/>
      <c r="E125" s="49"/>
      <c r="F125" s="66">
        <f>SUM(F123:F124)</f>
        <v>6924.6450000000004</v>
      </c>
      <c r="G125" s="45"/>
      <c r="H125" s="51">
        <f>SUM(H123:H124)</f>
        <v>25.089293478260871</v>
      </c>
      <c r="I125" s="10"/>
      <c r="J125" s="33"/>
      <c r="K125" s="10"/>
      <c r="L125" s="10"/>
    </row>
    <row r="126" spans="1:15" ht="25.2" customHeight="1">
      <c r="A126" s="79"/>
      <c r="B126" s="79"/>
      <c r="C126" s="79"/>
      <c r="D126" s="79"/>
      <c r="E126" s="80"/>
      <c r="F126" s="81"/>
      <c r="G126" s="82"/>
      <c r="H126" s="81"/>
      <c r="I126" s="83"/>
      <c r="J126" s="64"/>
      <c r="K126" s="84"/>
      <c r="L126" s="84"/>
      <c r="M126" s="48"/>
    </row>
    <row r="127" spans="1:15" ht="15.6">
      <c r="A127" s="234" t="s">
        <v>68</v>
      </c>
      <c r="B127" s="234"/>
      <c r="C127" s="234"/>
      <c r="D127" s="234"/>
      <c r="E127" s="234"/>
      <c r="F127" s="234"/>
      <c r="G127" s="234"/>
      <c r="H127" s="234"/>
      <c r="I127" s="234"/>
      <c r="J127" s="234"/>
      <c r="K127" s="234"/>
      <c r="L127" s="234"/>
      <c r="M127" s="234"/>
    </row>
    <row r="128" spans="1:15" ht="69.599999999999994">
      <c r="A128" s="229" t="s">
        <v>3</v>
      </c>
      <c r="B128" s="229"/>
      <c r="C128" s="229"/>
      <c r="D128" s="229"/>
      <c r="E128" s="8" t="s">
        <v>4</v>
      </c>
      <c r="F128" s="9" t="s">
        <v>0</v>
      </c>
      <c r="G128" s="34" t="s">
        <v>52</v>
      </c>
      <c r="H128" s="34" t="s">
        <v>44</v>
      </c>
      <c r="I128" s="8" t="s">
        <v>63</v>
      </c>
      <c r="J128" s="8" t="s">
        <v>69</v>
      </c>
      <c r="K128" s="8" t="s">
        <v>46</v>
      </c>
      <c r="L128" s="27"/>
      <c r="M128" s="27"/>
      <c r="N128" s="128">
        <v>21290323</v>
      </c>
      <c r="O128">
        <v>62.83</v>
      </c>
    </row>
    <row r="129" spans="1:16">
      <c r="A129" s="204">
        <v>1</v>
      </c>
      <c r="B129" s="205"/>
      <c r="C129" s="205"/>
      <c r="D129" s="205"/>
      <c r="E129" s="25">
        <v>2</v>
      </c>
      <c r="F129" s="11">
        <v>3</v>
      </c>
      <c r="G129" s="25">
        <v>4</v>
      </c>
      <c r="H129" s="25">
        <v>5</v>
      </c>
      <c r="I129" s="26">
        <v>6</v>
      </c>
      <c r="J129" s="35">
        <v>7</v>
      </c>
      <c r="K129" s="36">
        <v>8</v>
      </c>
      <c r="L129" s="109"/>
      <c r="M129" s="27"/>
      <c r="N129">
        <f>11540394-1482000</f>
        <v>10058394</v>
      </c>
      <c r="O129">
        <v>21.58</v>
      </c>
      <c r="P129">
        <f>N129*1.302</f>
        <v>13096028.988</v>
      </c>
    </row>
    <row r="130" spans="1:16" ht="31.2" customHeight="1" thickBot="1">
      <c r="A130" s="206" t="s">
        <v>67</v>
      </c>
      <c r="B130" s="206"/>
      <c r="C130" s="206"/>
      <c r="D130" s="206"/>
      <c r="E130" s="37">
        <f>G130/12/F130</f>
        <v>23423.74128205128</v>
      </c>
      <c r="F130" s="37">
        <v>13</v>
      </c>
      <c r="G130" s="131">
        <v>3654103.64</v>
      </c>
      <c r="H130" s="37">
        <v>4757656.37</v>
      </c>
      <c r="I130" s="44">
        <v>276</v>
      </c>
      <c r="J130" s="37">
        <f>H130/I130</f>
        <v>17237.885398550727</v>
      </c>
      <c r="K130" s="57">
        <f>H130/15103671*100</f>
        <v>31.500000033104534</v>
      </c>
      <c r="L130" s="110"/>
      <c r="M130" s="15"/>
      <c r="N130" s="128">
        <f>N128-N129</f>
        <v>11231929</v>
      </c>
      <c r="O130">
        <v>41.25</v>
      </c>
      <c r="P130">
        <f>N130*1.302</f>
        <v>14623971.558</v>
      </c>
    </row>
    <row r="131" spans="1:16" ht="15" hidden="1" thickBot="1">
      <c r="A131" s="249"/>
      <c r="B131" s="250"/>
      <c r="C131" s="250"/>
      <c r="D131" s="250"/>
      <c r="E131" s="37">
        <v>17865.98</v>
      </c>
      <c r="F131" s="58">
        <v>4</v>
      </c>
      <c r="G131" s="44"/>
      <c r="H131" s="38">
        <f>H37</f>
        <v>0</v>
      </c>
      <c r="I131" s="37" t="e">
        <f t="shared" ref="I131:I152" si="9">F131/G131*H131</f>
        <v>#DIV/0!</v>
      </c>
      <c r="J131" s="37">
        <f t="shared" ref="J131:J152" si="10">E131*F131*12*1.302</f>
        <v>1116552.28608</v>
      </c>
      <c r="K131" s="59" t="s">
        <v>38</v>
      </c>
      <c r="L131" s="111"/>
      <c r="M131" s="31" t="e">
        <f t="shared" ref="M131:M155" si="11">I131*J131</f>
        <v>#DIV/0!</v>
      </c>
    </row>
    <row r="132" spans="1:16" ht="15" hidden="1" thickBot="1">
      <c r="A132" s="247"/>
      <c r="B132" s="247"/>
      <c r="C132" s="247"/>
      <c r="D132" s="247"/>
      <c r="E132" s="37">
        <v>9544</v>
      </c>
      <c r="F132" s="58">
        <v>1</v>
      </c>
      <c r="G132" s="44"/>
      <c r="H132" s="38">
        <f>H37</f>
        <v>0</v>
      </c>
      <c r="I132" s="37" t="e">
        <f t="shared" si="9"/>
        <v>#DIV/0!</v>
      </c>
      <c r="J132" s="37">
        <f t="shared" si="10"/>
        <v>149115.45600000001</v>
      </c>
      <c r="K132" s="38">
        <f>H132/11277167.39*100</f>
        <v>0</v>
      </c>
      <c r="L132" s="38"/>
      <c r="M132" s="14" t="e">
        <f t="shared" si="11"/>
        <v>#DIV/0!</v>
      </c>
    </row>
    <row r="133" spans="1:16" ht="15" hidden="1" customHeight="1" thickBot="1">
      <c r="A133" s="216"/>
      <c r="B133" s="217"/>
      <c r="C133" s="217"/>
      <c r="D133" s="217"/>
      <c r="E133" s="37">
        <v>11560</v>
      </c>
      <c r="F133" s="58">
        <v>1</v>
      </c>
      <c r="G133" s="44"/>
      <c r="H133" s="38">
        <f>H37</f>
        <v>0</v>
      </c>
      <c r="I133" s="37" t="e">
        <f t="shared" si="9"/>
        <v>#DIV/0!</v>
      </c>
      <c r="J133" s="37">
        <f t="shared" si="10"/>
        <v>180613.44</v>
      </c>
      <c r="K133" s="29"/>
      <c r="L133" s="29"/>
      <c r="M133" s="14" t="e">
        <f t="shared" si="11"/>
        <v>#DIV/0!</v>
      </c>
    </row>
    <row r="134" spans="1:16" ht="15" hidden="1" thickBot="1">
      <c r="A134" s="206"/>
      <c r="B134" s="206"/>
      <c r="C134" s="206"/>
      <c r="D134" s="206"/>
      <c r="E134" s="37">
        <v>9544</v>
      </c>
      <c r="F134" s="60">
        <v>0.5</v>
      </c>
      <c r="G134" s="44"/>
      <c r="H134" s="38">
        <f>H37</f>
        <v>0</v>
      </c>
      <c r="I134" s="37" t="e">
        <f t="shared" si="9"/>
        <v>#DIV/0!</v>
      </c>
      <c r="J134" s="37">
        <f t="shared" si="10"/>
        <v>74557.728000000003</v>
      </c>
      <c r="K134" s="29"/>
      <c r="L134" s="29"/>
      <c r="M134" s="14" t="e">
        <f t="shared" si="11"/>
        <v>#DIV/0!</v>
      </c>
    </row>
    <row r="135" spans="1:16" ht="15" hidden="1" thickBot="1">
      <c r="A135" s="206"/>
      <c r="B135" s="206"/>
      <c r="C135" s="206"/>
      <c r="D135" s="206"/>
      <c r="E135" s="37">
        <v>9544</v>
      </c>
      <c r="F135" s="58">
        <v>1</v>
      </c>
      <c r="G135" s="44"/>
      <c r="H135" s="38">
        <f>H37</f>
        <v>0</v>
      </c>
      <c r="I135" s="37" t="e">
        <f t="shared" si="9"/>
        <v>#DIV/0!</v>
      </c>
      <c r="J135" s="37">
        <f t="shared" si="10"/>
        <v>149115.45600000001</v>
      </c>
      <c r="K135" s="37"/>
      <c r="L135" s="37"/>
      <c r="M135" s="14" t="e">
        <f t="shared" si="11"/>
        <v>#DIV/0!</v>
      </c>
    </row>
    <row r="136" spans="1:16" ht="14.25" hidden="1" customHeight="1">
      <c r="A136" s="206"/>
      <c r="B136" s="206"/>
      <c r="C136" s="206"/>
      <c r="D136" s="206"/>
      <c r="E136" s="37">
        <v>9544</v>
      </c>
      <c r="F136" s="58">
        <v>1</v>
      </c>
      <c r="G136" s="44"/>
      <c r="H136" s="38">
        <f>H37</f>
        <v>0</v>
      </c>
      <c r="I136" s="37" t="e">
        <f t="shared" si="9"/>
        <v>#DIV/0!</v>
      </c>
      <c r="J136" s="37">
        <f t="shared" si="10"/>
        <v>149115.45600000001</v>
      </c>
      <c r="K136" s="45"/>
      <c r="L136" s="45"/>
      <c r="M136" s="14" t="e">
        <f t="shared" si="11"/>
        <v>#DIV/0!</v>
      </c>
    </row>
    <row r="137" spans="1:16" ht="15" hidden="1" thickBot="1">
      <c r="A137" s="158"/>
      <c r="B137" s="159"/>
      <c r="C137" s="159"/>
      <c r="D137" s="159"/>
      <c r="E137" s="37">
        <v>9544</v>
      </c>
      <c r="F137" s="37"/>
      <c r="G137" s="44"/>
      <c r="H137" s="38">
        <f>H37</f>
        <v>0</v>
      </c>
      <c r="I137" s="37" t="e">
        <f t="shared" si="9"/>
        <v>#DIV/0!</v>
      </c>
      <c r="J137" s="37">
        <f t="shared" si="10"/>
        <v>0</v>
      </c>
      <c r="K137" s="45"/>
      <c r="L137" s="45"/>
      <c r="M137" s="14" t="e">
        <f t="shared" si="11"/>
        <v>#DIV/0!</v>
      </c>
    </row>
    <row r="138" spans="1:16" ht="15" hidden="1" thickBot="1">
      <c r="A138" s="158"/>
      <c r="B138" s="159"/>
      <c r="C138" s="159"/>
      <c r="D138" s="159"/>
      <c r="E138" s="37">
        <v>9544</v>
      </c>
      <c r="F138" s="61">
        <v>0.25</v>
      </c>
      <c r="G138" s="44"/>
      <c r="H138" s="38">
        <f>H37</f>
        <v>0</v>
      </c>
      <c r="I138" s="37" t="e">
        <f t="shared" si="9"/>
        <v>#DIV/0!</v>
      </c>
      <c r="J138" s="37">
        <f t="shared" si="10"/>
        <v>37278.864000000001</v>
      </c>
      <c r="K138" s="45"/>
      <c r="L138" s="45"/>
      <c r="M138" s="14" t="e">
        <f t="shared" si="11"/>
        <v>#DIV/0!</v>
      </c>
    </row>
    <row r="139" spans="1:16" ht="15" hidden="1" thickBot="1">
      <c r="A139" s="158"/>
      <c r="B139" s="159"/>
      <c r="C139" s="159"/>
      <c r="D139" s="159"/>
      <c r="E139" s="37">
        <v>9544</v>
      </c>
      <c r="F139" s="37"/>
      <c r="G139" s="44"/>
      <c r="H139" s="38">
        <f>H37</f>
        <v>0</v>
      </c>
      <c r="I139" s="37" t="e">
        <f t="shared" si="9"/>
        <v>#DIV/0!</v>
      </c>
      <c r="J139" s="37">
        <f t="shared" si="10"/>
        <v>0</v>
      </c>
      <c r="K139" s="45"/>
      <c r="L139" s="45"/>
      <c r="M139" s="14" t="e">
        <f t="shared" si="11"/>
        <v>#DIV/0!</v>
      </c>
    </row>
    <row r="140" spans="1:16" ht="15" hidden="1" thickBot="1">
      <c r="A140" s="158"/>
      <c r="B140" s="159"/>
      <c r="C140" s="159"/>
      <c r="D140" s="159"/>
      <c r="E140" s="37">
        <v>9544</v>
      </c>
      <c r="F140" s="60">
        <v>0.5</v>
      </c>
      <c r="G140" s="44"/>
      <c r="H140" s="38">
        <f>H37</f>
        <v>0</v>
      </c>
      <c r="I140" s="37" t="e">
        <f t="shared" si="9"/>
        <v>#DIV/0!</v>
      </c>
      <c r="J140" s="37">
        <f t="shared" si="10"/>
        <v>74557.728000000003</v>
      </c>
      <c r="K140" s="45"/>
      <c r="L140" s="45"/>
      <c r="M140" s="14" t="e">
        <f t="shared" si="11"/>
        <v>#DIV/0!</v>
      </c>
    </row>
    <row r="141" spans="1:16" ht="15.75" hidden="1" customHeight="1">
      <c r="A141" s="158"/>
      <c r="B141" s="159"/>
      <c r="C141" s="159"/>
      <c r="D141" s="159"/>
      <c r="E141" s="37">
        <v>9544</v>
      </c>
      <c r="F141" s="58">
        <v>1</v>
      </c>
      <c r="G141" s="44"/>
      <c r="H141" s="38">
        <f>H37</f>
        <v>0</v>
      </c>
      <c r="I141" s="37" t="e">
        <f t="shared" si="9"/>
        <v>#DIV/0!</v>
      </c>
      <c r="J141" s="37">
        <f t="shared" si="10"/>
        <v>149115.45600000001</v>
      </c>
      <c r="K141" s="45"/>
      <c r="L141" s="45"/>
      <c r="M141" s="14" t="e">
        <f t="shared" si="11"/>
        <v>#DIV/0!</v>
      </c>
    </row>
    <row r="142" spans="1:16" ht="15" hidden="1" customHeight="1" thickBot="1">
      <c r="A142" s="206"/>
      <c r="B142" s="206"/>
      <c r="C142" s="206"/>
      <c r="D142" s="206"/>
      <c r="E142" s="37">
        <v>9544</v>
      </c>
      <c r="F142" s="58">
        <v>1</v>
      </c>
      <c r="G142" s="44"/>
      <c r="H142" s="38">
        <f>H37</f>
        <v>0</v>
      </c>
      <c r="I142" s="37" t="e">
        <f t="shared" si="9"/>
        <v>#DIV/0!</v>
      </c>
      <c r="J142" s="37">
        <f t="shared" si="10"/>
        <v>149115.45600000001</v>
      </c>
      <c r="K142" s="45"/>
      <c r="L142" s="45"/>
      <c r="M142" s="14" t="e">
        <f t="shared" si="11"/>
        <v>#DIV/0!</v>
      </c>
    </row>
    <row r="143" spans="1:16" ht="15" hidden="1" customHeight="1">
      <c r="A143" s="206"/>
      <c r="B143" s="206"/>
      <c r="C143" s="206"/>
      <c r="D143" s="206"/>
      <c r="E143" s="37">
        <v>9544</v>
      </c>
      <c r="F143" s="60">
        <v>5.5</v>
      </c>
      <c r="G143" s="44"/>
      <c r="H143" s="38">
        <f>H37</f>
        <v>0</v>
      </c>
      <c r="I143" s="37" t="e">
        <f t="shared" si="9"/>
        <v>#DIV/0!</v>
      </c>
      <c r="J143" s="37">
        <f t="shared" si="10"/>
        <v>820135.00800000003</v>
      </c>
      <c r="K143" s="45"/>
      <c r="L143" s="45"/>
      <c r="M143" s="14" t="e">
        <f t="shared" si="11"/>
        <v>#DIV/0!</v>
      </c>
    </row>
    <row r="144" spans="1:16" ht="15" hidden="1" customHeight="1">
      <c r="A144" s="206"/>
      <c r="B144" s="206"/>
      <c r="C144" s="206"/>
      <c r="D144" s="206"/>
      <c r="E144" s="37">
        <v>9544</v>
      </c>
      <c r="F144" s="58">
        <v>1</v>
      </c>
      <c r="G144" s="44"/>
      <c r="H144" s="38">
        <f>H37</f>
        <v>0</v>
      </c>
      <c r="I144" s="37" t="e">
        <f t="shared" si="9"/>
        <v>#DIV/0!</v>
      </c>
      <c r="J144" s="37">
        <f t="shared" si="10"/>
        <v>149115.45600000001</v>
      </c>
      <c r="K144" s="45"/>
      <c r="L144" s="45"/>
      <c r="M144" s="14" t="e">
        <f t="shared" si="11"/>
        <v>#DIV/0!</v>
      </c>
    </row>
    <row r="145" spans="1:16" ht="15" hidden="1" customHeight="1" thickBot="1">
      <c r="A145" s="206"/>
      <c r="B145" s="206"/>
      <c r="C145" s="206"/>
      <c r="D145" s="206"/>
      <c r="E145" s="37">
        <v>9544</v>
      </c>
      <c r="F145" s="60">
        <v>0.5</v>
      </c>
      <c r="G145" s="44"/>
      <c r="H145" s="38">
        <f>H37</f>
        <v>0</v>
      </c>
      <c r="I145" s="37" t="e">
        <f t="shared" si="9"/>
        <v>#DIV/0!</v>
      </c>
      <c r="J145" s="37">
        <f t="shared" si="10"/>
        <v>74557.728000000003</v>
      </c>
      <c r="K145" s="45"/>
      <c r="L145" s="45"/>
      <c r="M145" s="14" t="e">
        <f t="shared" si="11"/>
        <v>#DIV/0!</v>
      </c>
    </row>
    <row r="146" spans="1:16" ht="15" hidden="1" customHeight="1" thickBot="1">
      <c r="A146" s="206"/>
      <c r="B146" s="206"/>
      <c r="C146" s="206"/>
      <c r="D146" s="206"/>
      <c r="E146" s="37">
        <v>9544</v>
      </c>
      <c r="F146" s="60">
        <v>0.5</v>
      </c>
      <c r="G146" s="44"/>
      <c r="H146" s="38">
        <f>H37</f>
        <v>0</v>
      </c>
      <c r="I146" s="37" t="e">
        <f t="shared" si="9"/>
        <v>#DIV/0!</v>
      </c>
      <c r="J146" s="37">
        <f t="shared" si="10"/>
        <v>74557.728000000003</v>
      </c>
      <c r="K146" s="45"/>
      <c r="L146" s="45"/>
      <c r="M146" s="14" t="e">
        <f t="shared" si="11"/>
        <v>#DIV/0!</v>
      </c>
    </row>
    <row r="147" spans="1:16" ht="15" hidden="1" thickBot="1">
      <c r="A147" s="206"/>
      <c r="B147" s="206"/>
      <c r="C147" s="206"/>
      <c r="D147" s="206"/>
      <c r="E147" s="37">
        <v>9544</v>
      </c>
      <c r="F147" s="58">
        <v>1</v>
      </c>
      <c r="G147" s="44"/>
      <c r="H147" s="38">
        <f>H37</f>
        <v>0</v>
      </c>
      <c r="I147" s="37" t="e">
        <f t="shared" si="9"/>
        <v>#DIV/0!</v>
      </c>
      <c r="J147" s="37">
        <f t="shared" si="10"/>
        <v>149115.45600000001</v>
      </c>
      <c r="K147" s="45"/>
      <c r="L147" s="45"/>
      <c r="M147" s="14" t="e">
        <f t="shared" si="11"/>
        <v>#DIV/0!</v>
      </c>
    </row>
    <row r="148" spans="1:16" ht="15.75" hidden="1" customHeight="1">
      <c r="A148" s="206"/>
      <c r="B148" s="206"/>
      <c r="C148" s="206"/>
      <c r="D148" s="206"/>
      <c r="E148" s="37">
        <v>9544</v>
      </c>
      <c r="F148" s="58">
        <v>4</v>
      </c>
      <c r="G148" s="44"/>
      <c r="H148" s="38">
        <f>H37</f>
        <v>0</v>
      </c>
      <c r="I148" s="37" t="e">
        <f t="shared" si="9"/>
        <v>#DIV/0!</v>
      </c>
      <c r="J148" s="37">
        <f t="shared" si="10"/>
        <v>596461.82400000002</v>
      </c>
      <c r="K148" s="45"/>
      <c r="L148" s="45"/>
      <c r="M148" s="14" t="e">
        <f t="shared" si="11"/>
        <v>#DIV/0!</v>
      </c>
    </row>
    <row r="149" spans="1:16" ht="16.5" hidden="1" customHeight="1">
      <c r="A149" s="158"/>
      <c r="B149" s="159"/>
      <c r="C149" s="159"/>
      <c r="D149" s="159"/>
      <c r="E149" s="37">
        <v>9544</v>
      </c>
      <c r="F149" s="58">
        <v>1</v>
      </c>
      <c r="G149" s="44"/>
      <c r="H149" s="38">
        <f>H37</f>
        <v>0</v>
      </c>
      <c r="I149" s="37" t="e">
        <f t="shared" si="9"/>
        <v>#DIV/0!</v>
      </c>
      <c r="J149" s="37">
        <f t="shared" si="10"/>
        <v>149115.45600000001</v>
      </c>
      <c r="K149" s="45"/>
      <c r="L149" s="45"/>
      <c r="M149" s="14" t="e">
        <f t="shared" si="11"/>
        <v>#DIV/0!</v>
      </c>
    </row>
    <row r="150" spans="1:16" ht="16.5" hidden="1" customHeight="1">
      <c r="A150" s="158"/>
      <c r="B150" s="159"/>
      <c r="C150" s="159"/>
      <c r="D150" s="159"/>
      <c r="E150" s="37">
        <v>9544</v>
      </c>
      <c r="F150" s="61">
        <v>1.75</v>
      </c>
      <c r="G150" s="44"/>
      <c r="H150" s="38">
        <f>H37</f>
        <v>0</v>
      </c>
      <c r="I150" s="37" t="e">
        <f t="shared" si="9"/>
        <v>#DIV/0!</v>
      </c>
      <c r="J150" s="37">
        <f t="shared" si="10"/>
        <v>260952.04800000001</v>
      </c>
      <c r="K150" s="45"/>
      <c r="L150" s="45"/>
      <c r="M150" s="14" t="e">
        <f t="shared" si="11"/>
        <v>#DIV/0!</v>
      </c>
    </row>
    <row r="151" spans="1:16" ht="16.5" hidden="1" customHeight="1" thickBot="1">
      <c r="A151" s="158"/>
      <c r="B151" s="159"/>
      <c r="C151" s="159"/>
      <c r="D151" s="159"/>
      <c r="E151" s="37">
        <v>9544</v>
      </c>
      <c r="F151" s="38"/>
      <c r="G151" s="44"/>
      <c r="H151" s="38">
        <f>H37</f>
        <v>0</v>
      </c>
      <c r="I151" s="37" t="e">
        <f t="shared" si="9"/>
        <v>#DIV/0!</v>
      </c>
      <c r="J151" s="37">
        <f t="shared" si="10"/>
        <v>0</v>
      </c>
      <c r="K151" s="45"/>
      <c r="L151" s="45"/>
      <c r="M151" s="14" t="e">
        <f t="shared" si="11"/>
        <v>#DIV/0!</v>
      </c>
    </row>
    <row r="152" spans="1:16" ht="16.5" hidden="1" customHeight="1" thickBot="1">
      <c r="A152" s="158"/>
      <c r="B152" s="159"/>
      <c r="C152" s="159"/>
      <c r="D152" s="159"/>
      <c r="E152" s="37">
        <v>9544</v>
      </c>
      <c r="F152" s="60">
        <v>0.5</v>
      </c>
      <c r="G152" s="44"/>
      <c r="H152" s="38">
        <f>H37</f>
        <v>0</v>
      </c>
      <c r="I152" s="37" t="e">
        <f t="shared" si="9"/>
        <v>#DIV/0!</v>
      </c>
      <c r="J152" s="37">
        <f t="shared" si="10"/>
        <v>74557.728000000003</v>
      </c>
      <c r="K152" s="45"/>
      <c r="L152" s="45"/>
      <c r="M152" s="14" t="e">
        <f t="shared" si="11"/>
        <v>#DIV/0!</v>
      </c>
    </row>
    <row r="153" spans="1:16" ht="15" hidden="1" customHeight="1" thickBot="1">
      <c r="A153" s="158"/>
      <c r="B153" s="159"/>
      <c r="C153" s="159"/>
      <c r="D153" s="159"/>
      <c r="E153" s="37"/>
      <c r="F153" s="37"/>
      <c r="G153" s="37"/>
      <c r="H153" s="37"/>
      <c r="I153" s="37"/>
      <c r="J153" s="37"/>
      <c r="K153" s="45"/>
      <c r="L153" s="45"/>
      <c r="M153" s="14">
        <f t="shared" si="11"/>
        <v>0</v>
      </c>
    </row>
    <row r="154" spans="1:16" ht="15.75" hidden="1" customHeight="1">
      <c r="A154" s="158"/>
      <c r="B154" s="159"/>
      <c r="C154" s="159"/>
      <c r="D154" s="159"/>
      <c r="E154" s="37"/>
      <c r="F154" s="37"/>
      <c r="G154" s="37"/>
      <c r="H154" s="37"/>
      <c r="I154" s="37"/>
      <c r="J154" s="37"/>
      <c r="K154" s="45"/>
      <c r="L154" s="45"/>
      <c r="M154" s="14">
        <f t="shared" si="11"/>
        <v>0</v>
      </c>
    </row>
    <row r="155" spans="1:16" ht="14.25" hidden="1" customHeight="1" thickBot="1">
      <c r="A155" s="158"/>
      <c r="B155" s="159"/>
      <c r="C155" s="159"/>
      <c r="D155" s="159"/>
      <c r="E155" s="37"/>
      <c r="F155" s="37"/>
      <c r="G155" s="37"/>
      <c r="H155" s="37"/>
      <c r="I155" s="44">
        <v>105</v>
      </c>
      <c r="J155" s="46">
        <f>H155/I155</f>
        <v>0</v>
      </c>
      <c r="K155" s="45"/>
      <c r="L155" s="45"/>
      <c r="M155" s="30">
        <f t="shared" si="11"/>
        <v>0</v>
      </c>
    </row>
    <row r="156" spans="1:16" ht="15" thickBot="1">
      <c r="A156" s="162" t="s">
        <v>47</v>
      </c>
      <c r="B156" s="162"/>
      <c r="C156" s="162"/>
      <c r="D156" s="162"/>
      <c r="E156" s="62"/>
      <c r="F156" s="134"/>
      <c r="G156" s="134"/>
      <c r="H156" s="66">
        <f>H130</f>
        <v>4757656.37</v>
      </c>
      <c r="I156" s="47"/>
      <c r="J156" s="63">
        <f>J130</f>
        <v>17237.885398550727</v>
      </c>
      <c r="K156" s="45"/>
      <c r="L156" s="45"/>
      <c r="M156" s="15"/>
      <c r="P156">
        <f>H156/48.5%</f>
        <v>9809600.7628865987</v>
      </c>
    </row>
    <row r="157" spans="1:16" ht="22.2" customHeight="1">
      <c r="A157" s="10"/>
      <c r="B157" s="10"/>
      <c r="C157" s="10"/>
      <c r="D157" s="10"/>
      <c r="E157" s="10"/>
      <c r="F157" s="10"/>
      <c r="G157" s="10"/>
      <c r="H157" s="12"/>
      <c r="I157" s="12"/>
      <c r="J157" s="12"/>
      <c r="K157" s="10"/>
      <c r="L157" s="10"/>
      <c r="M157" s="10"/>
    </row>
    <row r="158" spans="1:16">
      <c r="A158" s="179" t="s">
        <v>61</v>
      </c>
      <c r="B158" s="179"/>
      <c r="C158" s="179"/>
      <c r="D158" s="179"/>
      <c r="E158" s="179"/>
      <c r="F158" s="179"/>
      <c r="G158" s="179"/>
      <c r="H158" s="179"/>
      <c r="I158" s="179"/>
      <c r="J158" s="179"/>
      <c r="K158" s="179"/>
      <c r="L158" s="135"/>
      <c r="M158" s="10"/>
    </row>
    <row r="159" spans="1:16" s="76" customFormat="1">
      <c r="A159" s="146"/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74"/>
    </row>
    <row r="160" spans="1:16" ht="55.8">
      <c r="A160" s="160" t="s">
        <v>28</v>
      </c>
      <c r="B160" s="161"/>
      <c r="C160" s="161"/>
      <c r="D160" s="161"/>
      <c r="E160" s="8" t="s">
        <v>75</v>
      </c>
      <c r="F160" s="8" t="s">
        <v>48</v>
      </c>
      <c r="G160" s="8" t="s">
        <v>74</v>
      </c>
      <c r="H160" s="8" t="s">
        <v>69</v>
      </c>
      <c r="I160" s="10"/>
      <c r="J160" s="10"/>
      <c r="K160" s="10"/>
      <c r="L160" s="10"/>
    </row>
    <row r="161" spans="1:13" ht="15" thickBot="1">
      <c r="A161" s="158" t="s">
        <v>151</v>
      </c>
      <c r="B161" s="159"/>
      <c r="C161" s="159"/>
      <c r="D161" s="159"/>
      <c r="E161" s="50" t="s">
        <v>27</v>
      </c>
      <c r="F161" s="130">
        <f>720*31.5%</f>
        <v>226.8</v>
      </c>
      <c r="G161" s="44">
        <v>276</v>
      </c>
      <c r="H161" s="91">
        <f t="shared" ref="H161" si="12">F161/G161</f>
        <v>0.82173913043478264</v>
      </c>
      <c r="I161" s="10"/>
      <c r="J161" s="10"/>
      <c r="K161" s="10"/>
      <c r="L161" s="10"/>
    </row>
    <row r="162" spans="1:13" ht="20.25" customHeight="1" thickBot="1">
      <c r="A162" s="163" t="s">
        <v>53</v>
      </c>
      <c r="B162" s="164"/>
      <c r="C162" s="164"/>
      <c r="D162" s="164"/>
      <c r="E162" s="49"/>
      <c r="F162" s="66">
        <f>SUM(F161:F161)</f>
        <v>226.8</v>
      </c>
      <c r="G162" s="45"/>
      <c r="H162" s="51">
        <f>SUM(H161:H161)</f>
        <v>0.82173913043478264</v>
      </c>
      <c r="I162" s="10"/>
      <c r="J162" s="33"/>
      <c r="K162" s="10"/>
      <c r="L162" s="10"/>
    </row>
    <row r="163" spans="1:13" s="76" customFormat="1">
      <c r="A163" s="146"/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74"/>
    </row>
    <row r="164" spans="1:13" ht="55.8">
      <c r="A164" s="160" t="s">
        <v>28</v>
      </c>
      <c r="B164" s="161"/>
      <c r="C164" s="161"/>
      <c r="D164" s="161"/>
      <c r="E164" s="8" t="s">
        <v>75</v>
      </c>
      <c r="F164" s="8" t="s">
        <v>48</v>
      </c>
      <c r="G164" s="8" t="s">
        <v>74</v>
      </c>
      <c r="H164" s="8" t="s">
        <v>69</v>
      </c>
      <c r="I164" s="10"/>
      <c r="J164" s="10"/>
      <c r="K164" s="10"/>
      <c r="L164" s="10"/>
    </row>
    <row r="165" spans="1:13" ht="51" customHeight="1" thickBot="1">
      <c r="A165" s="158" t="s">
        <v>153</v>
      </c>
      <c r="B165" s="159"/>
      <c r="C165" s="159"/>
      <c r="D165" s="159"/>
      <c r="E165" s="50" t="s">
        <v>27</v>
      </c>
      <c r="F165" s="130">
        <f>505800*31.5%</f>
        <v>159327</v>
      </c>
      <c r="G165" s="44">
        <v>276</v>
      </c>
      <c r="H165" s="91">
        <f t="shared" ref="H165" si="13">F165/G165</f>
        <v>577.27173913043475</v>
      </c>
      <c r="I165" s="10"/>
      <c r="J165" s="10"/>
      <c r="K165" s="10"/>
      <c r="L165" s="10"/>
    </row>
    <row r="166" spans="1:13" ht="20.25" customHeight="1" thickBot="1">
      <c r="A166" s="163" t="s">
        <v>53</v>
      </c>
      <c r="B166" s="164"/>
      <c r="C166" s="164"/>
      <c r="D166" s="164"/>
      <c r="E166" s="49"/>
      <c r="F166" s="66">
        <f>SUM(F165:F165)</f>
        <v>159327</v>
      </c>
      <c r="G166" s="45"/>
      <c r="H166" s="51">
        <f>SUM(H165:H165)</f>
        <v>577.27173913043475</v>
      </c>
      <c r="I166" s="10"/>
      <c r="J166" s="33"/>
      <c r="K166" s="10"/>
      <c r="L166" s="10"/>
    </row>
    <row r="167" spans="1:13" s="76" customFormat="1">
      <c r="A167" s="146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74"/>
    </row>
    <row r="168" spans="1:13" ht="55.8">
      <c r="A168" s="160" t="s">
        <v>62</v>
      </c>
      <c r="B168" s="161"/>
      <c r="C168" s="161"/>
      <c r="D168" s="202"/>
      <c r="E168" s="138" t="s">
        <v>7</v>
      </c>
      <c r="F168" s="138" t="s">
        <v>55</v>
      </c>
      <c r="G168" s="138" t="s">
        <v>42</v>
      </c>
      <c r="H168" s="138" t="s">
        <v>48</v>
      </c>
      <c r="I168" s="8" t="s">
        <v>63</v>
      </c>
      <c r="J168" s="8" t="s">
        <v>69</v>
      </c>
      <c r="K168" s="39"/>
      <c r="L168" s="27"/>
      <c r="M168" s="10"/>
    </row>
    <row r="169" spans="1:13" ht="36.75" customHeight="1">
      <c r="A169" s="158" t="s">
        <v>114</v>
      </c>
      <c r="B169" s="159"/>
      <c r="C169" s="159"/>
      <c r="D169" s="172"/>
      <c r="E169" s="138"/>
      <c r="F169" s="138"/>
      <c r="G169" s="138"/>
      <c r="H169" s="129">
        <f>450000*31.5%</f>
        <v>141750</v>
      </c>
      <c r="I169" s="44">
        <v>276</v>
      </c>
      <c r="J169" s="92">
        <f>H169/I169</f>
        <v>513.58695652173913</v>
      </c>
      <c r="K169" s="39"/>
      <c r="L169" s="27"/>
      <c r="M169" s="10"/>
    </row>
    <row r="170" spans="1:13" ht="34.5" customHeight="1" thickBot="1">
      <c r="A170" s="158" t="s">
        <v>115</v>
      </c>
      <c r="B170" s="159"/>
      <c r="C170" s="159"/>
      <c r="D170" s="172"/>
      <c r="E170" s="138"/>
      <c r="F170" s="138"/>
      <c r="G170" s="138"/>
      <c r="H170" s="129">
        <f>250000*31.5%</f>
        <v>78750</v>
      </c>
      <c r="I170" s="44">
        <v>276</v>
      </c>
      <c r="J170" s="92">
        <f t="shared" ref="J170" si="14">H170/I170</f>
        <v>285.32608695652175</v>
      </c>
      <c r="K170" s="39"/>
      <c r="L170" s="27"/>
      <c r="M170" s="10"/>
    </row>
    <row r="171" spans="1:13" ht="15" thickBot="1">
      <c r="A171" s="244" t="s">
        <v>57</v>
      </c>
      <c r="B171" s="245"/>
      <c r="C171" s="245"/>
      <c r="D171" s="245"/>
      <c r="E171" s="245"/>
      <c r="F171" s="245"/>
      <c r="G171" s="246"/>
      <c r="H171" s="56">
        <f>H170+H169</f>
        <v>220500</v>
      </c>
      <c r="I171" s="55"/>
      <c r="J171" s="32">
        <f>SUM(J169:J170)</f>
        <v>798.91304347826087</v>
      </c>
      <c r="K171" s="10"/>
      <c r="L171" s="10"/>
      <c r="M171" s="10"/>
    </row>
    <row r="172" spans="1:13" ht="32.4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1:13" ht="55.8">
      <c r="A173" s="160" t="s">
        <v>62</v>
      </c>
      <c r="B173" s="161"/>
      <c r="C173" s="161"/>
      <c r="D173" s="202"/>
      <c r="E173" s="138" t="s">
        <v>116</v>
      </c>
      <c r="F173" s="138" t="s">
        <v>55</v>
      </c>
      <c r="G173" s="138" t="s">
        <v>42</v>
      </c>
      <c r="H173" s="138" t="s">
        <v>48</v>
      </c>
      <c r="I173" s="8" t="s">
        <v>63</v>
      </c>
      <c r="J173" s="8" t="s">
        <v>69</v>
      </c>
      <c r="K173" s="39"/>
      <c r="L173" s="27"/>
      <c r="M173" s="10"/>
    </row>
    <row r="174" spans="1:13">
      <c r="A174" s="158" t="s">
        <v>78</v>
      </c>
      <c r="B174" s="159"/>
      <c r="C174" s="159"/>
      <c r="D174" s="172"/>
      <c r="E174" s="138">
        <v>120</v>
      </c>
      <c r="F174" s="138"/>
      <c r="G174" s="138"/>
      <c r="H174" s="129">
        <f>50000*31.5%</f>
        <v>15750</v>
      </c>
      <c r="I174" s="44">
        <v>276</v>
      </c>
      <c r="J174" s="92">
        <f>H174/I174</f>
        <v>57.065217391304351</v>
      </c>
      <c r="K174" s="39"/>
      <c r="L174" s="27"/>
      <c r="M174" s="10"/>
    </row>
    <row r="175" spans="1:13">
      <c r="A175" s="158" t="s">
        <v>79</v>
      </c>
      <c r="B175" s="159"/>
      <c r="C175" s="159"/>
      <c r="D175" s="172"/>
      <c r="E175" s="138">
        <v>640</v>
      </c>
      <c r="F175" s="138"/>
      <c r="G175" s="138"/>
      <c r="H175" s="129">
        <f>50000*31.5%</f>
        <v>15750</v>
      </c>
      <c r="I175" s="44">
        <v>276</v>
      </c>
      <c r="J175" s="92">
        <f t="shared" ref="J175:J176" si="15">H175/I175</f>
        <v>57.065217391304351</v>
      </c>
      <c r="K175" s="39"/>
      <c r="L175" s="27"/>
      <c r="M175" s="10"/>
    </row>
    <row r="176" spans="1:13" ht="18" customHeight="1" thickBot="1">
      <c r="A176" s="158" t="s">
        <v>80</v>
      </c>
      <c r="B176" s="159"/>
      <c r="C176" s="159"/>
      <c r="D176" s="172"/>
      <c r="E176" s="138">
        <v>200</v>
      </c>
      <c r="F176" s="138"/>
      <c r="G176" s="138"/>
      <c r="H176" s="129">
        <f>50000*31.5%</f>
        <v>15750</v>
      </c>
      <c r="I176" s="44">
        <v>276</v>
      </c>
      <c r="J176" s="92">
        <f t="shared" si="15"/>
        <v>57.065217391304351</v>
      </c>
      <c r="K176" s="39"/>
      <c r="L176" s="27"/>
      <c r="M176" s="10"/>
    </row>
    <row r="177" spans="1:17" ht="15" thickBot="1">
      <c r="A177" s="244" t="s">
        <v>57</v>
      </c>
      <c r="B177" s="245"/>
      <c r="C177" s="245"/>
      <c r="D177" s="245"/>
      <c r="E177" s="245"/>
      <c r="F177" s="245"/>
      <c r="G177" s="246"/>
      <c r="H177" s="56">
        <f>SUM(H174:H176)</f>
        <v>47250</v>
      </c>
      <c r="I177" s="55"/>
      <c r="J177" s="32">
        <f>SUM(J174:J176)</f>
        <v>171.19565217391306</v>
      </c>
      <c r="K177" s="10"/>
      <c r="L177" s="10"/>
      <c r="M177" s="10"/>
    </row>
    <row r="178" spans="1:17" ht="25.2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1:17">
      <c r="A179" s="157" t="s">
        <v>29</v>
      </c>
      <c r="B179" s="157"/>
      <c r="C179" s="157"/>
      <c r="D179" s="157"/>
      <c r="E179" s="157"/>
      <c r="F179" s="157"/>
      <c r="G179" s="157"/>
      <c r="H179" s="157"/>
      <c r="I179" s="157"/>
      <c r="J179" s="157"/>
      <c r="K179" s="157"/>
      <c r="L179" s="157"/>
      <c r="M179" s="157"/>
    </row>
    <row r="180" spans="1:17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1:17" ht="57" customHeight="1">
      <c r="A181" s="199" t="s">
        <v>30</v>
      </c>
      <c r="B181" s="200"/>
      <c r="C181" s="201"/>
      <c r="D181" s="257" t="s">
        <v>31</v>
      </c>
      <c r="E181" s="258"/>
      <c r="F181" s="258"/>
      <c r="G181" s="258"/>
      <c r="H181" s="258"/>
      <c r="I181" s="258"/>
      <c r="J181" s="258"/>
      <c r="K181" s="258"/>
      <c r="L181" s="259"/>
      <c r="M181" s="254" t="s">
        <v>35</v>
      </c>
      <c r="N181" s="112"/>
      <c r="Q181" s="128">
        <f>H178+H172+H157+F126+F120+F115+G110+G100+H90+H79+H71</f>
        <v>0</v>
      </c>
    </row>
    <row r="182" spans="1:17" ht="24" customHeight="1">
      <c r="A182" s="9" t="s">
        <v>32</v>
      </c>
      <c r="B182" s="104" t="s">
        <v>33</v>
      </c>
      <c r="C182" s="9" t="s">
        <v>34</v>
      </c>
      <c r="D182" s="8" t="s">
        <v>120</v>
      </c>
      <c r="E182" s="8" t="s">
        <v>121</v>
      </c>
      <c r="F182" s="8" t="s">
        <v>122</v>
      </c>
      <c r="G182" s="8" t="s">
        <v>123</v>
      </c>
      <c r="H182" s="8" t="s">
        <v>144</v>
      </c>
      <c r="I182" s="8" t="s">
        <v>150</v>
      </c>
      <c r="J182" s="8" t="s">
        <v>124</v>
      </c>
      <c r="K182" s="34" t="s">
        <v>125</v>
      </c>
      <c r="L182" s="141" t="s">
        <v>123</v>
      </c>
      <c r="M182" s="260"/>
      <c r="N182" s="112"/>
    </row>
    <row r="183" spans="1:17" ht="15" thickBot="1">
      <c r="A183" s="14">
        <f>J70</f>
        <v>14946.554818840579</v>
      </c>
      <c r="B183" s="14"/>
      <c r="C183" s="14"/>
      <c r="D183" s="14">
        <f>J78</f>
        <v>98.311956521739134</v>
      </c>
      <c r="E183" s="14">
        <f>J89</f>
        <v>2410.3206521739135</v>
      </c>
      <c r="F183" s="14">
        <f>I99</f>
        <v>394.23945978260872</v>
      </c>
      <c r="G183" s="14">
        <f>I109</f>
        <v>425.71581195652175</v>
      </c>
      <c r="H183" s="14">
        <f>H114</f>
        <v>8.9820652173913054</v>
      </c>
      <c r="I183" s="14">
        <f>H125</f>
        <v>25.089293478260871</v>
      </c>
      <c r="J183" s="14">
        <f>H119</f>
        <v>33.953804347826086</v>
      </c>
      <c r="K183" s="94">
        <f>J156</f>
        <v>17237.885398550727</v>
      </c>
      <c r="L183" s="93">
        <f>J171+J177+H162+H166</f>
        <v>1548.2021739130437</v>
      </c>
      <c r="M183" s="93">
        <f>SUM(D183:L183)+A183</f>
        <v>37129.255434782608</v>
      </c>
      <c r="N183" s="113">
        <v>46323.166304347818</v>
      </c>
    </row>
    <row r="184" spans="1:17" ht="15" thickBo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P184" s="89">
        <f>M183*276</f>
        <v>10247674.5</v>
      </c>
    </row>
    <row r="185" spans="1:17" ht="15" thickBot="1">
      <c r="A185" s="13" t="s">
        <v>64</v>
      </c>
      <c r="B185" s="13"/>
      <c r="C185" s="13"/>
      <c r="D185" s="10"/>
      <c r="E185" s="10"/>
      <c r="F185" s="10"/>
      <c r="G185" s="10"/>
      <c r="H185" s="10"/>
      <c r="I185" s="10"/>
      <c r="J185" s="65">
        <f>H78+H89+G99+G109+F119+H70+H156+H171+H177+F114+F125+F162+F166</f>
        <v>10247674.5</v>
      </c>
      <c r="K185" s="10"/>
      <c r="L185" s="10"/>
      <c r="M185" s="10"/>
      <c r="P185" s="128"/>
    </row>
    <row r="186" spans="1:17" ht="26.25" customHeight="1">
      <c r="A186" s="10"/>
      <c r="B186" s="10"/>
      <c r="C186" s="10"/>
      <c r="D186" s="10"/>
      <c r="E186" s="10"/>
      <c r="F186" s="10"/>
      <c r="G186" s="10"/>
      <c r="H186" s="10"/>
      <c r="I186" s="10"/>
      <c r="K186" s="10"/>
      <c r="L186" s="10"/>
      <c r="N186" s="248"/>
      <c r="O186" s="248"/>
    </row>
    <row r="187" spans="1:17" ht="17.25" customHeight="1">
      <c r="A187" s="2" t="s">
        <v>117</v>
      </c>
      <c r="B187" s="2"/>
      <c r="C187" s="2"/>
      <c r="I187" s="2" t="s">
        <v>118</v>
      </c>
    </row>
    <row r="188" spans="1:17" ht="9.75" customHeight="1"/>
    <row r="189" spans="1:17" ht="15.6">
      <c r="A189" s="101" t="s">
        <v>43</v>
      </c>
      <c r="B189" s="6"/>
    </row>
    <row r="190" spans="1:17" ht="15.6">
      <c r="A190" s="101" t="s">
        <v>143</v>
      </c>
      <c r="B190" s="6"/>
    </row>
    <row r="191" spans="1:17" ht="15.6">
      <c r="A191" s="101" t="s">
        <v>81</v>
      </c>
      <c r="C191" s="6"/>
    </row>
    <row r="192" spans="1:17" ht="15.6">
      <c r="A192" s="1"/>
      <c r="B192" s="1"/>
      <c r="C192" s="1"/>
    </row>
    <row r="194" spans="1:13">
      <c r="J194" s="10">
        <f>J185/31.5%</f>
        <v>32532300</v>
      </c>
    </row>
    <row r="195" spans="1:13">
      <c r="J195">
        <f>J194-32532300</f>
        <v>0</v>
      </c>
    </row>
    <row r="196" spans="1:13">
      <c r="H196">
        <v>12785193.900000002</v>
      </c>
      <c r="J196">
        <v>31996700</v>
      </c>
    </row>
    <row r="198" spans="1:13">
      <c r="J198">
        <f>J194-J196</f>
        <v>535600</v>
      </c>
    </row>
    <row r="200" spans="1:13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</row>
  </sheetData>
  <mergeCells count="182">
    <mergeCell ref="A101:M101"/>
    <mergeCell ref="A102:D102"/>
    <mergeCell ref="A103:D103"/>
    <mergeCell ref="A98:D98"/>
    <mergeCell ref="A95:D95"/>
    <mergeCell ref="A96:D96"/>
    <mergeCell ref="A97:D97"/>
    <mergeCell ref="M181:M182"/>
    <mergeCell ref="N186:O186"/>
    <mergeCell ref="A116:M116"/>
    <mergeCell ref="A117:D117"/>
    <mergeCell ref="A121:M121"/>
    <mergeCell ref="A127:M127"/>
    <mergeCell ref="A147:D147"/>
    <mergeCell ref="A148:D148"/>
    <mergeCell ref="A158:K158"/>
    <mergeCell ref="A171:G171"/>
    <mergeCell ref="A122:D122"/>
    <mergeCell ref="A152:D152"/>
    <mergeCell ref="A153:D153"/>
    <mergeCell ref="A174:D174"/>
    <mergeCell ref="A175:D175"/>
    <mergeCell ref="A176:D176"/>
    <mergeCell ref="A155:D155"/>
    <mergeCell ref="A156:D156"/>
    <mergeCell ref="A173:D173"/>
    <mergeCell ref="A177:G177"/>
    <mergeCell ref="A179:M179"/>
    <mergeCell ref="A181:C181"/>
    <mergeCell ref="A149:D149"/>
    <mergeCell ref="A150:D150"/>
    <mergeCell ref="A151:D151"/>
    <mergeCell ref="A168:D168"/>
    <mergeCell ref="A169:D169"/>
    <mergeCell ref="A170:D170"/>
    <mergeCell ref="A160:D160"/>
    <mergeCell ref="A161:D161"/>
    <mergeCell ref="A162:D162"/>
    <mergeCell ref="A154:D154"/>
    <mergeCell ref="D181:L181"/>
    <mergeCell ref="A164:D164"/>
    <mergeCell ref="A165:D165"/>
    <mergeCell ref="A166:D166"/>
    <mergeCell ref="A143:D143"/>
    <mergeCell ref="A144:D144"/>
    <mergeCell ref="A145:D145"/>
    <mergeCell ref="A146:D146"/>
    <mergeCell ref="A132:D132"/>
    <mergeCell ref="A137:D137"/>
    <mergeCell ref="A135:D135"/>
    <mergeCell ref="A136:D136"/>
    <mergeCell ref="A133:D133"/>
    <mergeCell ref="A134:D134"/>
    <mergeCell ref="A138:D138"/>
    <mergeCell ref="A139:D139"/>
    <mergeCell ref="A140:D140"/>
    <mergeCell ref="A141:D141"/>
    <mergeCell ref="A142:D142"/>
    <mergeCell ref="A128:D128"/>
    <mergeCell ref="A129:D129"/>
    <mergeCell ref="A130:D130"/>
    <mergeCell ref="A131:D131"/>
    <mergeCell ref="A118:D118"/>
    <mergeCell ref="A119:D119"/>
    <mergeCell ref="A123:D123"/>
    <mergeCell ref="A124:D124"/>
    <mergeCell ref="A125:D125"/>
    <mergeCell ref="A114:D114"/>
    <mergeCell ref="A104:D104"/>
    <mergeCell ref="A105:D105"/>
    <mergeCell ref="A106:D106"/>
    <mergeCell ref="A109:D109"/>
    <mergeCell ref="A113:D113"/>
    <mergeCell ref="A107:D107"/>
    <mergeCell ref="A108:D108"/>
    <mergeCell ref="A111:M111"/>
    <mergeCell ref="A112:D112"/>
    <mergeCell ref="A77:D77"/>
    <mergeCell ref="A78:D78"/>
    <mergeCell ref="A81:D81"/>
    <mergeCell ref="A75:D75"/>
    <mergeCell ref="A76:D76"/>
    <mergeCell ref="A84:D84"/>
    <mergeCell ref="A89:D89"/>
    <mergeCell ref="A94:D94"/>
    <mergeCell ref="A85:D85"/>
    <mergeCell ref="A86:D86"/>
    <mergeCell ref="A87:D87"/>
    <mergeCell ref="A88:D88"/>
    <mergeCell ref="A80:M80"/>
    <mergeCell ref="A82:D82"/>
    <mergeCell ref="A83:D83"/>
    <mergeCell ref="A91:M91"/>
    <mergeCell ref="A92:D92"/>
    <mergeCell ref="A93:D93"/>
    <mergeCell ref="A74:D74"/>
    <mergeCell ref="A68:D68"/>
    <mergeCell ref="A69:D69"/>
    <mergeCell ref="A70:D70"/>
    <mergeCell ref="A59:D59"/>
    <mergeCell ref="A60:D60"/>
    <mergeCell ref="A61:D61"/>
    <mergeCell ref="A62:D62"/>
    <mergeCell ref="A63:K63"/>
    <mergeCell ref="A67:D67"/>
    <mergeCell ref="A66:M66"/>
    <mergeCell ref="A73:M73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45:D45"/>
    <mergeCell ref="A46:D46"/>
    <mergeCell ref="A38:E38"/>
    <mergeCell ref="G38:K38"/>
    <mergeCell ref="A53:D53"/>
    <mergeCell ref="A39:D39"/>
    <mergeCell ref="G39:M39"/>
    <mergeCell ref="A40:M40"/>
    <mergeCell ref="A42:D42"/>
    <mergeCell ref="A43:D43"/>
    <mergeCell ref="A44:D4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</mergeCells>
  <pageMargins left="0.51181102362204722" right="0.31496062992125984" top="0.35433070866141736" bottom="0" header="0.31496062992125984" footer="0.31496062992125984"/>
  <pageSetup paperSize="9" scale="65" orientation="portrait" r:id="rId1"/>
  <colBreaks count="1" manualBreakCount="1">
    <brk id="13" max="192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Q200"/>
  <sheetViews>
    <sheetView view="pageBreakPreview" topLeftCell="A4" zoomScale="60" zoomScaleNormal="60" workbookViewId="0">
      <selection activeCell="P185" sqref="P185"/>
    </sheetView>
  </sheetViews>
  <sheetFormatPr defaultRowHeight="14.4"/>
  <cols>
    <col min="1" max="1" width="10.5546875" customWidth="1"/>
    <col min="2" max="3" width="6.5546875" customWidth="1"/>
    <col min="4" max="4" width="10.88671875" customWidth="1"/>
    <col min="5" max="5" width="12.5546875" customWidth="1"/>
    <col min="6" max="6" width="11" customWidth="1"/>
    <col min="7" max="8" width="14.6640625" customWidth="1"/>
    <col min="9" max="9" width="12.88671875" customWidth="1"/>
    <col min="10" max="10" width="13.6640625" customWidth="1"/>
    <col min="11" max="11" width="11.6640625" customWidth="1"/>
    <col min="12" max="12" width="10.77734375" customWidth="1"/>
    <col min="13" max="13" width="10.21875" customWidth="1"/>
    <col min="14" max="14" width="12.5546875" customWidth="1"/>
    <col min="16" max="16" width="22.44140625" customWidth="1"/>
    <col min="18" max="18" width="16.109375" customWidth="1"/>
  </cols>
  <sheetData>
    <row r="1" spans="1:14" hidden="1"/>
    <row r="2" spans="1:14" ht="15.6" hidden="1">
      <c r="A2" s="183"/>
      <c r="B2" s="183"/>
      <c r="C2" s="183"/>
      <c r="D2" s="183"/>
      <c r="E2" s="183"/>
      <c r="F2" s="183"/>
      <c r="G2" s="183"/>
    </row>
    <row r="3" spans="1:14" ht="15.75" hidden="1" customHeight="1">
      <c r="A3" s="183"/>
      <c r="B3" s="183"/>
      <c r="C3" s="41"/>
      <c r="D3" s="41"/>
      <c r="E3" s="86"/>
      <c r="F3" s="41"/>
      <c r="G3" s="41"/>
    </row>
    <row r="4" spans="1:14" ht="27.75" customHeight="1">
      <c r="A4" s="184"/>
      <c r="B4" s="184"/>
      <c r="C4" s="184"/>
      <c r="D4" s="102"/>
      <c r="E4" s="184"/>
      <c r="F4" s="184"/>
      <c r="G4" s="43"/>
      <c r="H4" s="256"/>
      <c r="I4" s="171"/>
      <c r="J4" s="171"/>
      <c r="K4" s="171"/>
      <c r="L4" s="106"/>
    </row>
    <row r="5" spans="1:14" ht="9.75" customHeight="1">
      <c r="A5" s="3"/>
      <c r="B5" s="3"/>
      <c r="C5" s="3"/>
      <c r="D5" s="85"/>
      <c r="E5" s="3"/>
      <c r="F5" s="3"/>
      <c r="G5" s="85"/>
    </row>
    <row r="6" spans="1:14" ht="11.25" customHeight="1">
      <c r="A6" s="87"/>
      <c r="B6" s="87"/>
      <c r="C6" s="87"/>
      <c r="D6" s="87"/>
      <c r="E6" s="87"/>
      <c r="F6" s="87"/>
      <c r="G6" s="87"/>
    </row>
    <row r="7" spans="1:14" ht="15.6">
      <c r="A7" s="169" t="s">
        <v>119</v>
      </c>
      <c r="B7" s="170"/>
      <c r="C7" s="170"/>
      <c r="D7" s="170"/>
      <c r="E7" s="170"/>
      <c r="F7" s="170"/>
      <c r="G7" s="171"/>
      <c r="H7" s="171"/>
      <c r="I7" s="171"/>
      <c r="J7" s="171"/>
      <c r="K7" s="171"/>
      <c r="L7" s="171"/>
      <c r="M7" s="171"/>
    </row>
    <row r="8" spans="1:14" ht="15.6">
      <c r="A8" s="169" t="s">
        <v>152</v>
      </c>
      <c r="B8" s="170"/>
      <c r="C8" s="170"/>
      <c r="D8" s="170"/>
      <c r="E8" s="170"/>
      <c r="F8" s="170"/>
      <c r="G8" s="171"/>
      <c r="H8" s="171"/>
      <c r="I8" s="171"/>
      <c r="J8" s="171"/>
      <c r="K8" s="171"/>
      <c r="L8" s="171"/>
      <c r="M8" s="171"/>
    </row>
    <row r="9" spans="1:14" ht="11.25" customHeight="1"/>
    <row r="10" spans="1:14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4" ht="15.6">
      <c r="A11" s="7" t="s">
        <v>126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ht="17.25" customHeight="1">
      <c r="A12" s="208" t="s">
        <v>84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</row>
    <row r="13" spans="1:14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4" ht="15.6">
      <c r="A14" s="7" t="s">
        <v>154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4" ht="15.6">
      <c r="A15" s="7" t="s">
        <v>130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4" ht="51.75" customHeight="1">
      <c r="A16" s="195" t="s">
        <v>66</v>
      </c>
      <c r="B16" s="195"/>
      <c r="C16" s="195"/>
      <c r="D16" s="195"/>
      <c r="E16" s="195"/>
      <c r="F16" s="8" t="s">
        <v>65</v>
      </c>
      <c r="G16" s="195" t="s">
        <v>67</v>
      </c>
      <c r="H16" s="195"/>
      <c r="I16" s="195"/>
      <c r="J16" s="195"/>
      <c r="K16" s="195"/>
      <c r="L16" s="8" t="s">
        <v>65</v>
      </c>
      <c r="N16" s="116"/>
    </row>
    <row r="17" spans="1:12">
      <c r="A17" s="196" t="s">
        <v>86</v>
      </c>
      <c r="B17" s="196"/>
      <c r="C17" s="196"/>
      <c r="D17" s="196"/>
      <c r="E17" s="196"/>
      <c r="F17" s="108">
        <f>5*23.2%</f>
        <v>1.1599999999999999</v>
      </c>
      <c r="G17" s="197" t="s">
        <v>1</v>
      </c>
      <c r="H17" s="197"/>
      <c r="I17" s="197"/>
      <c r="J17" s="197"/>
      <c r="K17" s="197"/>
      <c r="L17" s="108">
        <f>1*23.2%</f>
        <v>0.23199999999999998</v>
      </c>
    </row>
    <row r="18" spans="1:12">
      <c r="A18" s="196" t="s">
        <v>87</v>
      </c>
      <c r="B18" s="196"/>
      <c r="C18" s="196"/>
      <c r="D18" s="196"/>
      <c r="E18" s="196"/>
      <c r="F18" s="108">
        <f>10.08*23.2%</f>
        <v>2.3385599999999998</v>
      </c>
      <c r="G18" s="189" t="s">
        <v>88</v>
      </c>
      <c r="H18" s="190"/>
      <c r="I18" s="190"/>
      <c r="J18" s="190"/>
      <c r="K18" s="191"/>
      <c r="L18" s="108">
        <f>3*23.2%</f>
        <v>0.69599999999999995</v>
      </c>
    </row>
    <row r="19" spans="1:12">
      <c r="A19" s="189" t="s">
        <v>100</v>
      </c>
      <c r="B19" s="190"/>
      <c r="C19" s="190"/>
      <c r="D19" s="190"/>
      <c r="E19" s="198"/>
      <c r="F19" s="108">
        <f>6.5*23.2%</f>
        <v>1.508</v>
      </c>
      <c r="G19" s="196" t="s">
        <v>89</v>
      </c>
      <c r="H19" s="196"/>
      <c r="I19" s="196"/>
      <c r="J19" s="196"/>
      <c r="K19" s="196"/>
      <c r="L19" s="108">
        <f>1*23.2%</f>
        <v>0.23199999999999998</v>
      </c>
    </row>
    <row r="20" spans="1:12">
      <c r="A20" s="196"/>
      <c r="B20" s="196"/>
      <c r="C20" s="196"/>
      <c r="D20" s="196"/>
      <c r="E20" s="196"/>
      <c r="F20" s="99"/>
      <c r="G20" s="210" t="s">
        <v>72</v>
      </c>
      <c r="H20" s="211"/>
      <c r="I20" s="211"/>
      <c r="J20" s="211"/>
      <c r="K20" s="212"/>
      <c r="L20" s="108">
        <f>1*23.2%</f>
        <v>0.23199999999999998</v>
      </c>
    </row>
    <row r="21" spans="1:12" ht="15" customHeight="1">
      <c r="A21" s="196"/>
      <c r="B21" s="196"/>
      <c r="C21" s="196"/>
      <c r="D21" s="196"/>
      <c r="E21" s="196"/>
      <c r="F21" s="99"/>
      <c r="G21" s="186" t="s">
        <v>70</v>
      </c>
      <c r="H21" s="187"/>
      <c r="I21" s="187"/>
      <c r="J21" s="187"/>
      <c r="K21" s="188"/>
      <c r="L21" s="108">
        <f>1*23.2%</f>
        <v>0.23199999999999998</v>
      </c>
    </row>
    <row r="22" spans="1:12" ht="15" customHeight="1">
      <c r="A22" s="196"/>
      <c r="B22" s="196"/>
      <c r="C22" s="196"/>
      <c r="D22" s="196"/>
      <c r="E22" s="196"/>
      <c r="F22" s="99"/>
      <c r="G22" s="158" t="s">
        <v>90</v>
      </c>
      <c r="H22" s="159"/>
      <c r="I22" s="159"/>
      <c r="J22" s="159"/>
      <c r="K22" s="172"/>
      <c r="L22" s="108">
        <f>0.5*23.2%</f>
        <v>0.11599999999999999</v>
      </c>
    </row>
    <row r="23" spans="1:12">
      <c r="A23" s="196"/>
      <c r="B23" s="196"/>
      <c r="C23" s="196"/>
      <c r="D23" s="196"/>
      <c r="E23" s="196"/>
      <c r="F23" s="99"/>
      <c r="G23" s="186" t="s">
        <v>91</v>
      </c>
      <c r="H23" s="187"/>
      <c r="I23" s="187"/>
      <c r="J23" s="187"/>
      <c r="K23" s="188"/>
      <c r="L23" s="108">
        <f>1*23.2%</f>
        <v>0.23199999999999998</v>
      </c>
    </row>
    <row r="24" spans="1:12" ht="28.2" customHeight="1">
      <c r="A24" s="189"/>
      <c r="B24" s="190"/>
      <c r="C24" s="190"/>
      <c r="D24" s="190"/>
      <c r="E24" s="191"/>
      <c r="F24" s="99"/>
      <c r="G24" s="186" t="s">
        <v>133</v>
      </c>
      <c r="H24" s="187"/>
      <c r="I24" s="187"/>
      <c r="J24" s="187"/>
      <c r="K24" s="188"/>
      <c r="L24" s="108">
        <f>1*23.2%</f>
        <v>0.23199999999999998</v>
      </c>
    </row>
    <row r="25" spans="1:12">
      <c r="A25" s="189"/>
      <c r="B25" s="190"/>
      <c r="C25" s="190"/>
      <c r="D25" s="190"/>
      <c r="E25" s="191"/>
      <c r="F25" s="100"/>
      <c r="G25" s="186" t="s">
        <v>134</v>
      </c>
      <c r="H25" s="187"/>
      <c r="I25" s="187"/>
      <c r="J25" s="187"/>
      <c r="K25" s="188"/>
      <c r="L25" s="108">
        <f>1*23.2%</f>
        <v>0.23199999999999998</v>
      </c>
    </row>
    <row r="26" spans="1:12" ht="15.75" customHeight="1">
      <c r="A26" s="189"/>
      <c r="B26" s="190"/>
      <c r="C26" s="190"/>
      <c r="D26" s="190"/>
      <c r="E26" s="191"/>
      <c r="F26" s="100"/>
      <c r="G26" s="192" t="s">
        <v>92</v>
      </c>
      <c r="H26" s="193"/>
      <c r="I26" s="193"/>
      <c r="J26" s="193"/>
      <c r="K26" s="194"/>
      <c r="L26" s="108">
        <f>2*23.2%</f>
        <v>0.46399999999999997</v>
      </c>
    </row>
    <row r="27" spans="1:12" ht="15.75" customHeight="1">
      <c r="A27" s="189"/>
      <c r="B27" s="190"/>
      <c r="C27" s="190"/>
      <c r="D27" s="190"/>
      <c r="E27" s="191"/>
      <c r="F27" s="100"/>
      <c r="G27" s="186" t="s">
        <v>71</v>
      </c>
      <c r="H27" s="187"/>
      <c r="I27" s="187"/>
      <c r="J27" s="187"/>
      <c r="K27" s="188"/>
      <c r="L27" s="108">
        <f>1*23.2%</f>
        <v>0.23199999999999998</v>
      </c>
    </row>
    <row r="28" spans="1:12" ht="15" customHeight="1">
      <c r="A28" s="185"/>
      <c r="B28" s="185"/>
      <c r="C28" s="185"/>
      <c r="D28" s="185"/>
      <c r="E28" s="185"/>
      <c r="F28" s="100"/>
      <c r="G28" s="158" t="s">
        <v>93</v>
      </c>
      <c r="H28" s="159"/>
      <c r="I28" s="159"/>
      <c r="J28" s="159"/>
      <c r="K28" s="172"/>
      <c r="L28" s="108">
        <f>4.75*23.2%</f>
        <v>1.1019999999999999</v>
      </c>
    </row>
    <row r="29" spans="1:12" ht="15.75" customHeight="1">
      <c r="A29" s="185"/>
      <c r="B29" s="185"/>
      <c r="C29" s="185"/>
      <c r="D29" s="185"/>
      <c r="E29" s="185"/>
      <c r="F29" s="100"/>
      <c r="G29" s="158" t="s">
        <v>131</v>
      </c>
      <c r="H29" s="159"/>
      <c r="I29" s="159"/>
      <c r="J29" s="159"/>
      <c r="K29" s="172"/>
      <c r="L29" s="108">
        <f>3.5*23.2%</f>
        <v>0.81199999999999994</v>
      </c>
    </row>
    <row r="30" spans="1:12">
      <c r="A30" s="207"/>
      <c r="B30" s="207"/>
      <c r="C30" s="207"/>
      <c r="D30" s="207"/>
      <c r="E30" s="207"/>
      <c r="F30" s="40"/>
      <c r="G30" s="158" t="s">
        <v>94</v>
      </c>
      <c r="H30" s="159"/>
      <c r="I30" s="159"/>
      <c r="J30" s="159"/>
      <c r="K30" s="172"/>
      <c r="L30" s="108">
        <f>2*23.2%</f>
        <v>0.46399999999999997</v>
      </c>
    </row>
    <row r="31" spans="1:12" ht="14.4" customHeight="1">
      <c r="A31" s="207"/>
      <c r="B31" s="207"/>
      <c r="C31" s="207"/>
      <c r="D31" s="207"/>
      <c r="E31" s="207"/>
      <c r="F31" s="40"/>
      <c r="G31" s="158" t="s">
        <v>95</v>
      </c>
      <c r="H31" s="159"/>
      <c r="I31" s="159"/>
      <c r="J31" s="159"/>
      <c r="K31" s="172"/>
      <c r="L31" s="108">
        <f>0.5*23.2%</f>
        <v>0.11599999999999999</v>
      </c>
    </row>
    <row r="32" spans="1:12" ht="12.75" customHeight="1">
      <c r="A32" s="207"/>
      <c r="B32" s="207"/>
      <c r="C32" s="207"/>
      <c r="D32" s="207"/>
      <c r="E32" s="207"/>
      <c r="F32" s="40"/>
      <c r="G32" s="158" t="s">
        <v>96</v>
      </c>
      <c r="H32" s="159"/>
      <c r="I32" s="159"/>
      <c r="J32" s="159"/>
      <c r="K32" s="172"/>
      <c r="L32" s="108">
        <f>0.5*23.2%</f>
        <v>0.11599999999999999</v>
      </c>
    </row>
    <row r="33" spans="1:14" ht="15" customHeight="1">
      <c r="A33" s="207"/>
      <c r="B33" s="207"/>
      <c r="C33" s="207"/>
      <c r="D33" s="207"/>
      <c r="E33" s="207"/>
      <c r="F33" s="40"/>
      <c r="G33" s="158" t="s">
        <v>97</v>
      </c>
      <c r="H33" s="159"/>
      <c r="I33" s="159"/>
      <c r="J33" s="159"/>
      <c r="K33" s="172"/>
      <c r="L33" s="108">
        <f>12.5*23.2%</f>
        <v>2.9</v>
      </c>
    </row>
    <row r="34" spans="1:14">
      <c r="A34" s="235"/>
      <c r="B34" s="236"/>
      <c r="C34" s="236"/>
      <c r="D34" s="236"/>
      <c r="E34" s="237"/>
      <c r="F34" s="40"/>
      <c r="G34" s="189" t="s">
        <v>132</v>
      </c>
      <c r="H34" s="190"/>
      <c r="I34" s="190"/>
      <c r="J34" s="190"/>
      <c r="K34" s="191"/>
      <c r="L34" s="108">
        <f>2*23.2%</f>
        <v>0.46399999999999997</v>
      </c>
    </row>
    <row r="35" spans="1:14" ht="15" customHeight="1">
      <c r="A35" s="235"/>
      <c r="B35" s="236"/>
      <c r="C35" s="236"/>
      <c r="D35" s="236"/>
      <c r="E35" s="237"/>
      <c r="F35" s="40"/>
      <c r="G35" s="189" t="s">
        <v>98</v>
      </c>
      <c r="H35" s="190"/>
      <c r="I35" s="190"/>
      <c r="J35" s="190"/>
      <c r="K35" s="191"/>
      <c r="L35" s="108">
        <f>1*23.2%</f>
        <v>0.23199999999999998</v>
      </c>
    </row>
    <row r="36" spans="1:14" ht="15" customHeight="1">
      <c r="A36" s="235"/>
      <c r="B36" s="236"/>
      <c r="C36" s="236"/>
      <c r="D36" s="236"/>
      <c r="E36" s="237"/>
      <c r="F36" s="40"/>
      <c r="G36" s="189" t="s">
        <v>99</v>
      </c>
      <c r="H36" s="190"/>
      <c r="I36" s="190"/>
      <c r="J36" s="190"/>
      <c r="K36" s="225"/>
      <c r="L36" s="108">
        <f>1*23.2%</f>
        <v>0.23199999999999998</v>
      </c>
    </row>
    <row r="37" spans="1:14" ht="15" customHeight="1">
      <c r="A37" s="235"/>
      <c r="B37" s="236"/>
      <c r="C37" s="236"/>
      <c r="D37" s="236"/>
      <c r="E37" s="237"/>
      <c r="F37" s="40"/>
      <c r="G37" s="226"/>
      <c r="H37" s="227"/>
      <c r="I37" s="227"/>
      <c r="J37" s="227"/>
      <c r="K37" s="228"/>
      <c r="L37" s="117"/>
      <c r="M37" s="118"/>
    </row>
    <row r="38" spans="1:14" ht="15" customHeight="1">
      <c r="A38" s="165" t="s">
        <v>2</v>
      </c>
      <c r="B38" s="165"/>
      <c r="C38" s="165"/>
      <c r="D38" s="165"/>
      <c r="E38" s="165"/>
      <c r="F38" s="115">
        <v>5</v>
      </c>
      <c r="G38" s="233" t="s">
        <v>2</v>
      </c>
      <c r="H38" s="233"/>
      <c r="I38" s="233"/>
      <c r="J38" s="233"/>
      <c r="K38" s="233"/>
      <c r="L38" s="114">
        <v>9.57</v>
      </c>
      <c r="N38" s="116">
        <f>L38+F38+'Услуга №2'!F40+'Услуга №2'!M40+'Работа №1'!F40+'Работа №1'!M40+'Работа №2'!F40+'Работа №2'!M40+'Работа №3'!F40+'Работа №3'!M40+'Работа №4'!F40+'Работа №4'!M40</f>
        <v>14.57</v>
      </c>
    </row>
    <row r="39" spans="1:14" ht="98.25" hidden="1" customHeight="1">
      <c r="A39" s="165" t="s">
        <v>2</v>
      </c>
      <c r="B39" s="165"/>
      <c r="C39" s="165"/>
      <c r="D39" s="165"/>
      <c r="E39" s="69">
        <f>SUM(E17:E28)</f>
        <v>0</v>
      </c>
      <c r="F39" s="136"/>
      <c r="G39" s="166" t="s">
        <v>2</v>
      </c>
      <c r="H39" s="166"/>
      <c r="I39" s="166"/>
      <c r="J39" s="166"/>
      <c r="K39" s="166"/>
      <c r="L39" s="166"/>
      <c r="M39" s="166"/>
    </row>
    <row r="40" spans="1:14" hidden="1">
      <c r="A40" s="179" t="s">
        <v>15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</row>
    <row r="41" spans="1:14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4" ht="80.25" hidden="1" customHeight="1">
      <c r="A42" s="180" t="s">
        <v>6</v>
      </c>
      <c r="B42" s="180"/>
      <c r="C42" s="180"/>
      <c r="D42" s="180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181">
        <v>1</v>
      </c>
      <c r="B43" s="182"/>
      <c r="C43" s="182"/>
      <c r="D43" s="182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4" ht="15" hidden="1" customHeight="1">
      <c r="A44" s="168" t="s">
        <v>39</v>
      </c>
      <c r="B44" s="168"/>
      <c r="C44" s="168"/>
      <c r="D44" s="168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168" t="s">
        <v>40</v>
      </c>
      <c r="B45" s="168"/>
      <c r="C45" s="168"/>
      <c r="D45" s="168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168" t="s">
        <v>41</v>
      </c>
      <c r="B46" s="168"/>
      <c r="C46" s="168"/>
      <c r="D46" s="168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168"/>
      <c r="B47" s="168"/>
      <c r="C47" s="168"/>
      <c r="D47" s="168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4" ht="15" hidden="1" customHeight="1">
      <c r="A48" s="168"/>
      <c r="B48" s="168"/>
      <c r="C48" s="168"/>
      <c r="D48" s="168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173"/>
      <c r="B49" s="174"/>
      <c r="C49" s="174"/>
      <c r="D49" s="174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173"/>
      <c r="B50" s="174"/>
      <c r="C50" s="174"/>
      <c r="D50" s="174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173"/>
      <c r="B51" s="174"/>
      <c r="C51" s="174"/>
      <c r="D51" s="174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173"/>
      <c r="B52" s="174"/>
      <c r="C52" s="174"/>
      <c r="D52" s="174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173"/>
      <c r="B53" s="174"/>
      <c r="C53" s="174"/>
      <c r="D53" s="174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175"/>
      <c r="B54" s="176"/>
      <c r="C54" s="176"/>
      <c r="D54" s="176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175"/>
      <c r="B55" s="176"/>
      <c r="C55" s="176"/>
      <c r="D55" s="176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175"/>
      <c r="B56" s="176"/>
      <c r="C56" s="176"/>
      <c r="D56" s="176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175"/>
      <c r="B57" s="176"/>
      <c r="C57" s="176"/>
      <c r="D57" s="176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175"/>
      <c r="B58" s="176"/>
      <c r="C58" s="176"/>
      <c r="D58" s="176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175"/>
      <c r="B59" s="176"/>
      <c r="C59" s="176"/>
      <c r="D59" s="176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175"/>
      <c r="B60" s="176"/>
      <c r="C60" s="176"/>
      <c r="D60" s="176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175"/>
      <c r="B61" s="176"/>
      <c r="C61" s="176"/>
      <c r="D61" s="176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38" t="s">
        <v>59</v>
      </c>
      <c r="B62" s="238"/>
      <c r="C62" s="238"/>
      <c r="D62" s="23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30" t="s">
        <v>14</v>
      </c>
      <c r="B63" s="231"/>
      <c r="C63" s="231"/>
      <c r="D63" s="231"/>
      <c r="E63" s="231"/>
      <c r="F63" s="231"/>
      <c r="G63" s="231"/>
      <c r="H63" s="231"/>
      <c r="I63" s="231"/>
      <c r="J63" s="231"/>
      <c r="K63" s="232"/>
      <c r="L63" s="137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34" t="s">
        <v>76</v>
      </c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4"/>
    </row>
    <row r="67" spans="1:14" ht="69.599999999999994">
      <c r="A67" s="229" t="s">
        <v>3</v>
      </c>
      <c r="B67" s="229"/>
      <c r="C67" s="229"/>
      <c r="D67" s="229"/>
      <c r="E67" s="8" t="s">
        <v>4</v>
      </c>
      <c r="F67" s="9" t="s">
        <v>0</v>
      </c>
      <c r="G67" s="34" t="s">
        <v>52</v>
      </c>
      <c r="H67" s="34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04">
        <v>1</v>
      </c>
      <c r="B68" s="205"/>
      <c r="C68" s="205"/>
      <c r="D68" s="205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5">
        <v>7</v>
      </c>
      <c r="K68" s="36">
        <v>8</v>
      </c>
      <c r="L68" s="109"/>
      <c r="M68" s="27"/>
    </row>
    <row r="69" spans="1:14" ht="40.200000000000003" customHeight="1" thickBot="1">
      <c r="A69" s="206" t="s">
        <v>66</v>
      </c>
      <c r="B69" s="206"/>
      <c r="C69" s="206"/>
      <c r="D69" s="206"/>
      <c r="E69" s="37">
        <f>G69/12/F69</f>
        <v>38892.456833333337</v>
      </c>
      <c r="F69" s="37">
        <v>5</v>
      </c>
      <c r="G69" s="131">
        <v>2333547.41</v>
      </c>
      <c r="H69" s="37">
        <v>3038278.73</v>
      </c>
      <c r="I69" s="44">
        <v>203</v>
      </c>
      <c r="J69" s="37">
        <f>H69/I69</f>
        <v>14966.890295566502</v>
      </c>
      <c r="K69" s="57">
        <f>H69/13096029*100</f>
        <v>23.200000015271804</v>
      </c>
      <c r="L69" s="110"/>
      <c r="M69" s="15"/>
    </row>
    <row r="70" spans="1:14" ht="15" thickBot="1">
      <c r="A70" s="162" t="s">
        <v>47</v>
      </c>
      <c r="B70" s="162"/>
      <c r="C70" s="162"/>
      <c r="D70" s="162"/>
      <c r="E70" s="62"/>
      <c r="F70" s="134"/>
      <c r="G70" s="134"/>
      <c r="H70" s="66">
        <f>H69</f>
        <v>3038278.73</v>
      </c>
      <c r="I70" s="47"/>
      <c r="J70" s="63">
        <f>J69</f>
        <v>14966.890295566502</v>
      </c>
      <c r="K70" s="45"/>
      <c r="L70" s="45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157" t="s">
        <v>85</v>
      </c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1:14" ht="73.5" customHeight="1">
      <c r="A74" s="229" t="s">
        <v>17</v>
      </c>
      <c r="B74" s="229"/>
      <c r="C74" s="229"/>
      <c r="D74" s="229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6"/>
    </row>
    <row r="75" spans="1:14" ht="18.75" customHeight="1">
      <c r="A75" s="177">
        <v>1</v>
      </c>
      <c r="B75" s="178"/>
      <c r="C75" s="178"/>
      <c r="D75" s="178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167" t="s">
        <v>51</v>
      </c>
      <c r="B76" s="167"/>
      <c r="C76" s="167"/>
      <c r="D76" s="167"/>
      <c r="E76" s="29">
        <v>5</v>
      </c>
      <c r="F76" s="28">
        <v>12</v>
      </c>
      <c r="G76" s="37">
        <v>687.02</v>
      </c>
      <c r="H76" s="131">
        <f>41221.2*23.2%</f>
        <v>9563.3183999999983</v>
      </c>
      <c r="I76" s="44">
        <v>203</v>
      </c>
      <c r="J76" s="37">
        <f>H76/I76</f>
        <v>47.109942857142848</v>
      </c>
      <c r="K76" s="10"/>
      <c r="L76" s="10"/>
      <c r="M76" s="16"/>
    </row>
    <row r="77" spans="1:14" ht="15" thickBot="1">
      <c r="A77" s="167" t="s">
        <v>60</v>
      </c>
      <c r="B77" s="167"/>
      <c r="C77" s="167"/>
      <c r="D77" s="167"/>
      <c r="E77" s="29">
        <v>1</v>
      </c>
      <c r="F77" s="29">
        <v>12</v>
      </c>
      <c r="G77" s="37">
        <v>3743.23</v>
      </c>
      <c r="H77" s="131">
        <f>44918.8*23.2%</f>
        <v>10421.161599999999</v>
      </c>
      <c r="I77" s="44">
        <v>203</v>
      </c>
      <c r="J77" s="37">
        <f>H77/I77</f>
        <v>51.335771428571427</v>
      </c>
      <c r="K77" s="10"/>
      <c r="L77" s="10"/>
      <c r="M77" s="10"/>
    </row>
    <row r="78" spans="1:14" ht="15" thickBot="1">
      <c r="A78" s="213" t="s">
        <v>25</v>
      </c>
      <c r="B78" s="214"/>
      <c r="C78" s="214"/>
      <c r="D78" s="214"/>
      <c r="E78" s="53"/>
      <c r="F78" s="53"/>
      <c r="G78" s="53"/>
      <c r="H78" s="66">
        <f>SUM(H76:H77)</f>
        <v>19984.479999999996</v>
      </c>
      <c r="I78" s="47"/>
      <c r="J78" s="54">
        <f>SUM(J76:J77)</f>
        <v>98.445714285714274</v>
      </c>
      <c r="K78" s="10"/>
      <c r="L78" s="10"/>
      <c r="M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157" t="s">
        <v>16</v>
      </c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</row>
    <row r="81" spans="1:13" ht="73.5" customHeight="1">
      <c r="A81" s="229" t="s">
        <v>17</v>
      </c>
      <c r="B81" s="229"/>
      <c r="C81" s="229"/>
      <c r="D81" s="229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3" ht="18.75" customHeight="1">
      <c r="A82" s="177">
        <v>1</v>
      </c>
      <c r="B82" s="178"/>
      <c r="C82" s="178"/>
      <c r="D82" s="178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3">
      <c r="A83" s="167" t="s">
        <v>19</v>
      </c>
      <c r="B83" s="167"/>
      <c r="C83" s="167"/>
      <c r="D83" s="167"/>
      <c r="E83" s="29" t="s">
        <v>22</v>
      </c>
      <c r="F83" s="28">
        <f>H83/G83</f>
        <v>16.568058360799274</v>
      </c>
      <c r="G83" s="37">
        <v>6441.31</v>
      </c>
      <c r="H83" s="131">
        <f>460000*23.2%</f>
        <v>106719.99999999999</v>
      </c>
      <c r="I83" s="44">
        <v>203</v>
      </c>
      <c r="J83" s="37">
        <f t="shared" ref="J83:J88" si="2">H83/I83</f>
        <v>525.71428571428567</v>
      </c>
      <c r="K83" s="10"/>
      <c r="L83" s="10"/>
      <c r="M83" s="16"/>
    </row>
    <row r="84" spans="1:13">
      <c r="A84" s="167" t="s">
        <v>20</v>
      </c>
      <c r="B84" s="167"/>
      <c r="C84" s="167"/>
      <c r="D84" s="167"/>
      <c r="E84" s="29" t="s">
        <v>23</v>
      </c>
      <c r="F84" s="29">
        <f>H84/G84</f>
        <v>178.77021676940004</v>
      </c>
      <c r="G84" s="37">
        <v>1690.46</v>
      </c>
      <c r="H84" s="131">
        <f>1302603.02*23.2%</f>
        <v>302203.90064000001</v>
      </c>
      <c r="I84" s="44">
        <v>203</v>
      </c>
      <c r="J84" s="37">
        <f t="shared" si="2"/>
        <v>1488.6891657142858</v>
      </c>
      <c r="K84" s="10"/>
      <c r="L84" s="10"/>
      <c r="M84" s="10"/>
    </row>
    <row r="85" spans="1:13">
      <c r="A85" s="167" t="s">
        <v>49</v>
      </c>
      <c r="B85" s="167"/>
      <c r="C85" s="167"/>
      <c r="D85" s="167"/>
      <c r="E85" s="29" t="s">
        <v>24</v>
      </c>
      <c r="F85" s="29">
        <f t="shared" ref="F85:F86" si="3">H85/G85</f>
        <v>849.609375</v>
      </c>
      <c r="G85" s="37">
        <v>40.96</v>
      </c>
      <c r="H85" s="131">
        <f>150000*23.2%</f>
        <v>34800</v>
      </c>
      <c r="I85" s="44">
        <v>203</v>
      </c>
      <c r="J85" s="37">
        <f t="shared" si="2"/>
        <v>171.42857142857142</v>
      </c>
      <c r="K85" s="10"/>
      <c r="L85" s="10"/>
      <c r="M85" s="10"/>
    </row>
    <row r="86" spans="1:13">
      <c r="A86" s="239" t="s">
        <v>21</v>
      </c>
      <c r="B86" s="239"/>
      <c r="C86" s="239"/>
      <c r="D86" s="239"/>
      <c r="E86" s="52" t="s">
        <v>24</v>
      </c>
      <c r="F86" s="29">
        <f t="shared" si="3"/>
        <v>643.68818105616094</v>
      </c>
      <c r="G86" s="46">
        <v>59.65</v>
      </c>
      <c r="H86" s="133">
        <f>165500*23.2%</f>
        <v>38396</v>
      </c>
      <c r="I86" s="44">
        <v>203</v>
      </c>
      <c r="J86" s="46">
        <f t="shared" si="2"/>
        <v>189.14285714285714</v>
      </c>
      <c r="K86" s="10"/>
      <c r="L86" s="10"/>
      <c r="M86" s="10"/>
    </row>
    <row r="87" spans="1:13" ht="43.8" customHeight="1">
      <c r="A87" s="219" t="s">
        <v>109</v>
      </c>
      <c r="B87" s="220"/>
      <c r="C87" s="220"/>
      <c r="D87" s="221"/>
      <c r="E87" s="50" t="s">
        <v>27</v>
      </c>
      <c r="F87" s="126">
        <v>1</v>
      </c>
      <c r="G87" s="46"/>
      <c r="H87" s="130">
        <f>6796.98*23.2%</f>
        <v>1576.8993599999999</v>
      </c>
      <c r="I87" s="44">
        <v>203</v>
      </c>
      <c r="J87" s="46">
        <f t="shared" si="2"/>
        <v>7.7679771428571422</v>
      </c>
      <c r="K87" s="10"/>
      <c r="L87" s="10"/>
      <c r="M87" s="10"/>
    </row>
    <row r="88" spans="1:13" ht="15" thickBot="1">
      <c r="A88" s="219" t="s">
        <v>104</v>
      </c>
      <c r="B88" s="220"/>
      <c r="C88" s="220"/>
      <c r="D88" s="221"/>
      <c r="E88" s="50" t="s">
        <v>27</v>
      </c>
      <c r="F88" s="25">
        <v>1</v>
      </c>
      <c r="G88" s="8"/>
      <c r="H88" s="130">
        <f>27000*23.2%</f>
        <v>6264</v>
      </c>
      <c r="I88" s="44">
        <v>203</v>
      </c>
      <c r="J88" s="46">
        <f t="shared" si="2"/>
        <v>30.857142857142858</v>
      </c>
      <c r="K88" s="10"/>
      <c r="L88" s="10"/>
      <c r="M88" s="10"/>
    </row>
    <row r="89" spans="1:13" ht="15" thickBot="1">
      <c r="A89" s="213" t="s">
        <v>25</v>
      </c>
      <c r="B89" s="214"/>
      <c r="C89" s="214"/>
      <c r="D89" s="214"/>
      <c r="E89" s="53"/>
      <c r="F89" s="53"/>
      <c r="G89" s="53"/>
      <c r="H89" s="66">
        <f>SUM(H83:H88)</f>
        <v>489960.8</v>
      </c>
      <c r="I89" s="47"/>
      <c r="J89" s="54">
        <f>SUM(J83:J88)</f>
        <v>2413.6</v>
      </c>
      <c r="K89" s="10"/>
      <c r="L89" s="10"/>
      <c r="M89" s="10"/>
    </row>
    <row r="90" spans="1:13" ht="15.75" customHeight="1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10"/>
      <c r="L90" s="10"/>
      <c r="M90" s="10"/>
    </row>
    <row r="91" spans="1:13">
      <c r="A91" s="157" t="s">
        <v>26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</row>
    <row r="92" spans="1:13" ht="55.8">
      <c r="A92" s="215" t="s">
        <v>28</v>
      </c>
      <c r="B92" s="215"/>
      <c r="C92" s="215"/>
      <c r="D92" s="215"/>
      <c r="E92" s="25" t="s">
        <v>7</v>
      </c>
      <c r="F92" s="25" t="s">
        <v>18</v>
      </c>
      <c r="G92" s="8" t="s">
        <v>48</v>
      </c>
      <c r="H92" s="8" t="s">
        <v>74</v>
      </c>
      <c r="I92" s="8" t="s">
        <v>69</v>
      </c>
      <c r="J92" s="10"/>
      <c r="K92" s="10"/>
      <c r="L92" s="10"/>
    </row>
    <row r="93" spans="1:13" ht="15" customHeight="1">
      <c r="A93" s="219" t="s">
        <v>105</v>
      </c>
      <c r="B93" s="220"/>
      <c r="C93" s="220"/>
      <c r="D93" s="221"/>
      <c r="E93" s="50" t="s">
        <v>27</v>
      </c>
      <c r="F93" s="50">
        <v>1</v>
      </c>
      <c r="G93" s="130">
        <f>136560*23.2%</f>
        <v>31681.919999999998</v>
      </c>
      <c r="H93" s="44">
        <v>203</v>
      </c>
      <c r="I93" s="90">
        <f>G93/H93</f>
        <v>156.06857142857143</v>
      </c>
      <c r="J93" s="10"/>
      <c r="K93" s="10"/>
      <c r="L93" s="10"/>
    </row>
    <row r="94" spans="1:13" ht="15" customHeight="1">
      <c r="A94" s="219" t="s">
        <v>106</v>
      </c>
      <c r="B94" s="220"/>
      <c r="C94" s="220"/>
      <c r="D94" s="221"/>
      <c r="E94" s="50" t="s">
        <v>27</v>
      </c>
      <c r="F94" s="50">
        <v>1</v>
      </c>
      <c r="G94" s="130">
        <f>99000*23.2%</f>
        <v>22968</v>
      </c>
      <c r="H94" s="44">
        <v>203</v>
      </c>
      <c r="I94" s="90">
        <f t="shared" ref="I94:I98" si="4">G94/H94</f>
        <v>113.14285714285714</v>
      </c>
      <c r="J94" s="10"/>
      <c r="K94" s="10"/>
      <c r="L94" s="10"/>
    </row>
    <row r="95" spans="1:13" ht="15" customHeight="1">
      <c r="A95" s="219" t="s">
        <v>107</v>
      </c>
      <c r="B95" s="220"/>
      <c r="C95" s="220"/>
      <c r="D95" s="221"/>
      <c r="E95" s="50" t="s">
        <v>27</v>
      </c>
      <c r="F95" s="50">
        <v>1</v>
      </c>
      <c r="G95" s="130">
        <f>9600*23.2%</f>
        <v>2227.1999999999998</v>
      </c>
      <c r="H95" s="44">
        <v>203</v>
      </c>
      <c r="I95" s="90">
        <f t="shared" si="4"/>
        <v>10.97142857142857</v>
      </c>
      <c r="J95" s="10"/>
      <c r="K95" s="10"/>
      <c r="L95" s="10"/>
    </row>
    <row r="96" spans="1:13" ht="15" customHeight="1">
      <c r="A96" s="216" t="s">
        <v>108</v>
      </c>
      <c r="B96" s="217"/>
      <c r="C96" s="217"/>
      <c r="D96" s="218"/>
      <c r="E96" s="50" t="s">
        <v>27</v>
      </c>
      <c r="F96" s="50">
        <v>1</v>
      </c>
      <c r="G96" s="131">
        <f>40000*23.2%</f>
        <v>9280</v>
      </c>
      <c r="H96" s="44">
        <v>203</v>
      </c>
      <c r="I96" s="90">
        <f t="shared" si="4"/>
        <v>45.714285714285715</v>
      </c>
      <c r="J96" s="10"/>
      <c r="K96" s="10"/>
      <c r="L96" s="10"/>
    </row>
    <row r="97" spans="1:13" ht="28.5" customHeight="1">
      <c r="A97" s="219" t="s">
        <v>109</v>
      </c>
      <c r="B97" s="220"/>
      <c r="C97" s="220"/>
      <c r="D97" s="221"/>
      <c r="E97" s="50" t="s">
        <v>27</v>
      </c>
      <c r="F97" s="50">
        <v>1</v>
      </c>
      <c r="G97" s="132">
        <f>57196.86*23.2%</f>
        <v>13269.67152</v>
      </c>
      <c r="H97" s="44">
        <v>203</v>
      </c>
      <c r="I97" s="90">
        <f>G97/H97</f>
        <v>65.367840000000001</v>
      </c>
      <c r="J97" s="10"/>
      <c r="K97" s="15"/>
      <c r="L97" s="15"/>
    </row>
    <row r="98" spans="1:13" ht="16.5" customHeight="1" thickBot="1">
      <c r="A98" s="222" t="s">
        <v>135</v>
      </c>
      <c r="B98" s="223"/>
      <c r="C98" s="223"/>
      <c r="D98" s="224"/>
      <c r="E98" s="50" t="s">
        <v>27</v>
      </c>
      <c r="F98" s="50">
        <v>1</v>
      </c>
      <c r="G98" s="131">
        <f>3072*23.2%</f>
        <v>712.70399999999995</v>
      </c>
      <c r="H98" s="44">
        <v>203</v>
      </c>
      <c r="I98" s="90">
        <f t="shared" si="4"/>
        <v>3.5108571428571427</v>
      </c>
      <c r="J98" s="10"/>
      <c r="K98" s="10"/>
      <c r="L98" s="10"/>
    </row>
    <row r="99" spans="1:13" ht="15" customHeight="1" thickBot="1">
      <c r="A99" s="139" t="s">
        <v>54</v>
      </c>
      <c r="B99" s="140"/>
      <c r="C99" s="140"/>
      <c r="D99" s="140"/>
      <c r="E99" s="140"/>
      <c r="F99" s="140"/>
      <c r="G99" s="67">
        <f>SUM(G93:G98)</f>
        <v>80139.495519999997</v>
      </c>
      <c r="I99" s="32">
        <f>SUM(I93:I98)</f>
        <v>394.77584000000002</v>
      </c>
      <c r="K99" s="10"/>
      <c r="L99" s="10"/>
      <c r="M99" s="10"/>
    </row>
    <row r="100" spans="1:13" ht="37.200000000000003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1:13" ht="15" customHeight="1">
      <c r="A101" s="157" t="s">
        <v>50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</row>
    <row r="102" spans="1:13" ht="55.8">
      <c r="A102" s="160" t="s">
        <v>28</v>
      </c>
      <c r="B102" s="161"/>
      <c r="C102" s="161"/>
      <c r="D102" s="161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3" ht="44.4" customHeight="1">
      <c r="A103" s="158" t="s">
        <v>136</v>
      </c>
      <c r="B103" s="159"/>
      <c r="C103" s="159"/>
      <c r="D103" s="159"/>
      <c r="E103" s="50" t="s">
        <v>27</v>
      </c>
      <c r="F103" s="50">
        <v>1</v>
      </c>
      <c r="G103" s="130">
        <f>6000*23.2%</f>
        <v>1392</v>
      </c>
      <c r="H103" s="44">
        <v>203</v>
      </c>
      <c r="I103" s="91">
        <f>G103/H103</f>
        <v>6.8571428571428568</v>
      </c>
      <c r="J103" s="10"/>
      <c r="K103" s="10"/>
      <c r="L103" s="10"/>
      <c r="M103" s="10"/>
    </row>
    <row r="104" spans="1:13" ht="15" customHeight="1">
      <c r="A104" s="158" t="s">
        <v>110</v>
      </c>
      <c r="B104" s="159"/>
      <c r="C104" s="159"/>
      <c r="D104" s="159"/>
      <c r="E104" s="50" t="s">
        <v>27</v>
      </c>
      <c r="F104" s="50">
        <v>1</v>
      </c>
      <c r="G104" s="130">
        <f>34580*23.2%</f>
        <v>8022.5599999999995</v>
      </c>
      <c r="H104" s="44">
        <v>203</v>
      </c>
      <c r="I104" s="91">
        <f t="shared" ref="I104:I108" si="5">G104/H104</f>
        <v>39.519999999999996</v>
      </c>
      <c r="J104" s="10"/>
      <c r="K104" s="10"/>
      <c r="L104" s="10"/>
      <c r="M104" s="10"/>
    </row>
    <row r="105" spans="1:13" ht="29.4" customHeight="1">
      <c r="A105" s="158" t="s">
        <v>111</v>
      </c>
      <c r="B105" s="159"/>
      <c r="C105" s="159"/>
      <c r="D105" s="159"/>
      <c r="E105" s="50" t="s">
        <v>27</v>
      </c>
      <c r="F105" s="50">
        <v>1</v>
      </c>
      <c r="G105" s="130">
        <f>117715*23.2%</f>
        <v>27309.879999999997</v>
      </c>
      <c r="H105" s="44">
        <v>203</v>
      </c>
      <c r="I105" s="91">
        <f t="shared" si="5"/>
        <v>134.53142857142856</v>
      </c>
      <c r="J105" s="10"/>
      <c r="K105" s="10"/>
      <c r="L105" s="10"/>
      <c r="M105" s="10"/>
    </row>
    <row r="106" spans="1:13" ht="27" customHeight="1">
      <c r="A106" s="158" t="s">
        <v>112</v>
      </c>
      <c r="B106" s="159"/>
      <c r="C106" s="159"/>
      <c r="D106" s="159"/>
      <c r="E106" s="50" t="s">
        <v>27</v>
      </c>
      <c r="F106" s="50">
        <v>1</v>
      </c>
      <c r="G106" s="130">
        <f>190481.13*23.2%</f>
        <v>44191.622159999999</v>
      </c>
      <c r="H106" s="44">
        <v>203</v>
      </c>
      <c r="I106" s="91">
        <f t="shared" si="5"/>
        <v>217.69272000000001</v>
      </c>
      <c r="J106" s="10"/>
      <c r="K106" s="10"/>
      <c r="L106" s="10"/>
      <c r="M106" s="10"/>
    </row>
    <row r="107" spans="1:13" ht="18" customHeight="1">
      <c r="A107" s="158" t="s">
        <v>137</v>
      </c>
      <c r="B107" s="159"/>
      <c r="C107" s="159"/>
      <c r="D107" s="159"/>
      <c r="E107" s="50" t="s">
        <v>27</v>
      </c>
      <c r="F107" s="50">
        <v>1</v>
      </c>
      <c r="G107" s="132">
        <f>17512.01*23.2%</f>
        <v>4062.7863199999993</v>
      </c>
      <c r="H107" s="44">
        <v>203</v>
      </c>
      <c r="I107" s="91">
        <f t="shared" si="5"/>
        <v>20.013725714285712</v>
      </c>
      <c r="J107" s="10"/>
      <c r="K107" s="10"/>
      <c r="L107" s="10"/>
      <c r="M107" s="10"/>
    </row>
    <row r="108" spans="1:13" ht="42" customHeight="1" thickBot="1">
      <c r="A108" s="158" t="s">
        <v>113</v>
      </c>
      <c r="B108" s="159"/>
      <c r="C108" s="159"/>
      <c r="D108" s="159"/>
      <c r="E108" s="50" t="s">
        <v>27</v>
      </c>
      <c r="F108" s="50">
        <v>1</v>
      </c>
      <c r="G108" s="132">
        <f>6720*23.2%</f>
        <v>1559.04</v>
      </c>
      <c r="H108" s="44">
        <v>203</v>
      </c>
      <c r="I108" s="91">
        <f t="shared" si="5"/>
        <v>7.68</v>
      </c>
      <c r="J108" s="10"/>
      <c r="K108" s="10"/>
      <c r="L108" s="10"/>
      <c r="M108" s="10"/>
    </row>
    <row r="109" spans="1:13" ht="20.25" customHeight="1" thickBot="1">
      <c r="A109" s="163" t="s">
        <v>53</v>
      </c>
      <c r="B109" s="164"/>
      <c r="C109" s="164"/>
      <c r="D109" s="164"/>
      <c r="E109" s="88"/>
      <c r="F109" s="49"/>
      <c r="G109" s="66">
        <f>SUM(G103:G108)</f>
        <v>86537.888479999994</v>
      </c>
      <c r="H109" s="45"/>
      <c r="I109" s="32">
        <f>SUM(I103:I108)</f>
        <v>426.29501714285715</v>
      </c>
      <c r="J109" s="10"/>
      <c r="K109" s="33"/>
      <c r="L109" s="33"/>
      <c r="M109" s="10"/>
    </row>
    <row r="110" spans="1:13" s="76" customFormat="1" ht="20.25" customHeight="1">
      <c r="A110" s="77"/>
      <c r="B110" s="77"/>
      <c r="C110" s="77"/>
      <c r="D110" s="77"/>
      <c r="E110" s="77"/>
      <c r="F110" s="77"/>
      <c r="G110" s="77"/>
      <c r="H110" s="77"/>
      <c r="I110" s="71"/>
      <c r="J110" s="72"/>
      <c r="K110" s="73"/>
      <c r="L110" s="73"/>
      <c r="M110" s="78"/>
    </row>
    <row r="111" spans="1:13" ht="15" customHeight="1">
      <c r="A111" s="157" t="s">
        <v>138</v>
      </c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</row>
    <row r="112" spans="1:13" ht="55.8">
      <c r="A112" s="160" t="s">
        <v>28</v>
      </c>
      <c r="B112" s="161"/>
      <c r="C112" s="161"/>
      <c r="D112" s="161"/>
      <c r="E112" s="8" t="s">
        <v>75</v>
      </c>
      <c r="F112" s="8" t="s">
        <v>48</v>
      </c>
      <c r="G112" s="8" t="s">
        <v>74</v>
      </c>
      <c r="H112" s="8" t="s">
        <v>69</v>
      </c>
      <c r="I112" s="10"/>
      <c r="J112" s="10"/>
      <c r="K112" s="10"/>
      <c r="L112" s="10"/>
    </row>
    <row r="113" spans="1:15" ht="43.8" customHeight="1" thickBot="1">
      <c r="A113" s="158" t="s">
        <v>139</v>
      </c>
      <c r="B113" s="159"/>
      <c r="C113" s="159"/>
      <c r="D113" s="159"/>
      <c r="E113" s="50" t="s">
        <v>27</v>
      </c>
      <c r="F113" s="130">
        <f>7870*23.2%</f>
        <v>1825.84</v>
      </c>
      <c r="G113" s="44">
        <v>203</v>
      </c>
      <c r="H113" s="91">
        <f t="shared" ref="H113" si="6">F113/G113</f>
        <v>8.9942857142857147</v>
      </c>
      <c r="I113" s="10"/>
      <c r="J113" s="10"/>
      <c r="K113" s="10"/>
      <c r="L113" s="10"/>
    </row>
    <row r="114" spans="1:15" ht="20.25" customHeight="1" thickBot="1">
      <c r="A114" s="163" t="s">
        <v>140</v>
      </c>
      <c r="B114" s="164"/>
      <c r="C114" s="164"/>
      <c r="D114" s="164"/>
      <c r="E114" s="49"/>
      <c r="F114" s="66">
        <f>SUM(F113:F113)</f>
        <v>1825.84</v>
      </c>
      <c r="G114" s="45"/>
      <c r="H114" s="51">
        <f>SUM(H113:H113)</f>
        <v>8.9942857142857147</v>
      </c>
      <c r="I114" s="10"/>
      <c r="J114" s="33"/>
      <c r="K114" s="10"/>
      <c r="L114" s="10"/>
    </row>
    <row r="115" spans="1:15" s="76" customFormat="1" ht="20.25" customHeight="1">
      <c r="A115" s="77"/>
      <c r="B115" s="77"/>
      <c r="C115" s="77"/>
      <c r="D115" s="77"/>
      <c r="E115" s="127"/>
      <c r="F115" s="71"/>
      <c r="G115" s="72"/>
      <c r="H115" s="73"/>
      <c r="I115" s="74"/>
      <c r="J115" s="75"/>
      <c r="K115" s="74"/>
      <c r="L115" s="74"/>
    </row>
    <row r="116" spans="1:15" ht="15" customHeight="1">
      <c r="A116" s="157" t="s">
        <v>141</v>
      </c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</row>
    <row r="117" spans="1:15" ht="55.8">
      <c r="A117" s="160" t="s">
        <v>28</v>
      </c>
      <c r="B117" s="161"/>
      <c r="C117" s="161"/>
      <c r="D117" s="161"/>
      <c r="E117" s="8" t="s">
        <v>75</v>
      </c>
      <c r="F117" s="8" t="s">
        <v>48</v>
      </c>
      <c r="G117" s="8" t="s">
        <v>74</v>
      </c>
      <c r="H117" s="8" t="s">
        <v>69</v>
      </c>
      <c r="I117" s="10"/>
      <c r="J117" s="10"/>
      <c r="K117" s="10"/>
      <c r="L117" s="10"/>
    </row>
    <row r="118" spans="1:15" ht="15" thickBot="1">
      <c r="A118" s="158" t="s">
        <v>142</v>
      </c>
      <c r="B118" s="159"/>
      <c r="C118" s="159"/>
      <c r="D118" s="159"/>
      <c r="E118" s="50" t="s">
        <v>27</v>
      </c>
      <c r="F118" s="130">
        <f>29750*23.2%</f>
        <v>6901.9999999999991</v>
      </c>
      <c r="G118" s="44">
        <v>203</v>
      </c>
      <c r="H118" s="91">
        <f t="shared" ref="H118" si="7">F118/G118</f>
        <v>33.999999999999993</v>
      </c>
      <c r="I118" s="10"/>
      <c r="J118" s="10"/>
      <c r="K118" s="10"/>
      <c r="L118" s="10"/>
    </row>
    <row r="119" spans="1:15" ht="20.25" customHeight="1" thickBot="1">
      <c r="A119" s="163" t="s">
        <v>53</v>
      </c>
      <c r="B119" s="164"/>
      <c r="C119" s="164"/>
      <c r="D119" s="164"/>
      <c r="E119" s="49"/>
      <c r="F119" s="66">
        <f>SUM(F118:F118)</f>
        <v>6901.9999999999991</v>
      </c>
      <c r="G119" s="45"/>
      <c r="H119" s="51">
        <f>SUM(H118:H118)</f>
        <v>33.999999999999993</v>
      </c>
      <c r="I119" s="10"/>
      <c r="J119" s="33"/>
      <c r="K119" s="10"/>
      <c r="L119" s="10"/>
    </row>
    <row r="120" spans="1:15" ht="25.2" customHeight="1">
      <c r="A120" s="79"/>
      <c r="B120" s="79"/>
      <c r="C120" s="79"/>
      <c r="D120" s="79"/>
      <c r="E120" s="80"/>
      <c r="F120" s="81"/>
      <c r="G120" s="82"/>
      <c r="H120" s="81"/>
      <c r="I120" s="83"/>
      <c r="J120" s="64"/>
      <c r="K120" s="84"/>
      <c r="L120" s="84"/>
      <c r="M120" s="48"/>
    </row>
    <row r="121" spans="1:15" ht="15" customHeight="1">
      <c r="A121" s="157" t="s">
        <v>148</v>
      </c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</row>
    <row r="122" spans="1:15" ht="55.8">
      <c r="A122" s="160" t="s">
        <v>28</v>
      </c>
      <c r="B122" s="161"/>
      <c r="C122" s="161"/>
      <c r="D122" s="161"/>
      <c r="E122" s="8" t="s">
        <v>75</v>
      </c>
      <c r="F122" s="8" t="s">
        <v>48</v>
      </c>
      <c r="G122" s="8" t="s">
        <v>74</v>
      </c>
      <c r="H122" s="8" t="s">
        <v>69</v>
      </c>
      <c r="I122" s="10"/>
      <c r="J122" s="10"/>
      <c r="K122" s="10"/>
      <c r="L122" s="10"/>
    </row>
    <row r="123" spans="1:15">
      <c r="A123" s="158" t="s">
        <v>147</v>
      </c>
      <c r="B123" s="159"/>
      <c r="C123" s="159"/>
      <c r="D123" s="159"/>
      <c r="E123" s="50" t="s">
        <v>27</v>
      </c>
      <c r="F123" s="130">
        <f>4500*23.2%</f>
        <v>1044</v>
      </c>
      <c r="G123" s="44">
        <v>203</v>
      </c>
      <c r="H123" s="91">
        <f t="shared" ref="H123:H124" si="8">F123/G123</f>
        <v>5.1428571428571432</v>
      </c>
      <c r="I123" s="10"/>
      <c r="J123" s="10"/>
      <c r="K123" s="10"/>
      <c r="L123" s="10"/>
    </row>
    <row r="124" spans="1:15" ht="15.75" customHeight="1" thickBot="1">
      <c r="A124" s="158" t="s">
        <v>149</v>
      </c>
      <c r="B124" s="159"/>
      <c r="C124" s="159"/>
      <c r="D124" s="159"/>
      <c r="E124" s="50" t="s">
        <v>27</v>
      </c>
      <c r="F124" s="130">
        <f>17483*23.2%</f>
        <v>4056.0559999999996</v>
      </c>
      <c r="G124" s="44">
        <v>203</v>
      </c>
      <c r="H124" s="91">
        <f t="shared" si="8"/>
        <v>19.980571428571427</v>
      </c>
      <c r="I124" s="10"/>
      <c r="J124" s="10"/>
      <c r="K124" s="10"/>
      <c r="L124" s="10"/>
    </row>
    <row r="125" spans="1:15" ht="20.25" customHeight="1" thickBot="1">
      <c r="A125" s="163" t="s">
        <v>53</v>
      </c>
      <c r="B125" s="164"/>
      <c r="C125" s="164"/>
      <c r="D125" s="164"/>
      <c r="E125" s="49"/>
      <c r="F125" s="66">
        <f>SUM(F123:F124)</f>
        <v>5100.0559999999996</v>
      </c>
      <c r="G125" s="45"/>
      <c r="H125" s="51">
        <f>SUM(H123:H124)</f>
        <v>25.123428571428569</v>
      </c>
      <c r="I125" s="10"/>
      <c r="J125" s="33"/>
      <c r="K125" s="10"/>
      <c r="L125" s="10"/>
    </row>
    <row r="126" spans="1:15" ht="25.2" customHeight="1">
      <c r="A126" s="79"/>
      <c r="B126" s="79"/>
      <c r="C126" s="79"/>
      <c r="D126" s="79"/>
      <c r="E126" s="80"/>
      <c r="F126" s="81"/>
      <c r="G126" s="82"/>
      <c r="H126" s="81"/>
      <c r="I126" s="83"/>
      <c r="J126" s="64"/>
      <c r="K126" s="84"/>
      <c r="L126" s="84"/>
      <c r="M126" s="48"/>
    </row>
    <row r="127" spans="1:15" ht="15.6">
      <c r="A127" s="234" t="s">
        <v>68</v>
      </c>
      <c r="B127" s="234"/>
      <c r="C127" s="234"/>
      <c r="D127" s="234"/>
      <c r="E127" s="234"/>
      <c r="F127" s="234"/>
      <c r="G127" s="234"/>
      <c r="H127" s="234"/>
      <c r="I127" s="234"/>
      <c r="J127" s="234"/>
      <c r="K127" s="234"/>
      <c r="L127" s="234"/>
      <c r="M127" s="234"/>
    </row>
    <row r="128" spans="1:15" ht="69.599999999999994">
      <c r="A128" s="229" t="s">
        <v>3</v>
      </c>
      <c r="B128" s="229"/>
      <c r="C128" s="229"/>
      <c r="D128" s="229"/>
      <c r="E128" s="8" t="s">
        <v>4</v>
      </c>
      <c r="F128" s="9" t="s">
        <v>0</v>
      </c>
      <c r="G128" s="34" t="s">
        <v>52</v>
      </c>
      <c r="H128" s="34" t="s">
        <v>44</v>
      </c>
      <c r="I128" s="8" t="s">
        <v>63</v>
      </c>
      <c r="J128" s="8" t="s">
        <v>69</v>
      </c>
      <c r="K128" s="8" t="s">
        <v>46</v>
      </c>
      <c r="L128" s="27"/>
      <c r="M128" s="27"/>
      <c r="N128" s="128">
        <v>21290323</v>
      </c>
      <c r="O128">
        <v>62.83</v>
      </c>
    </row>
    <row r="129" spans="1:16">
      <c r="A129" s="204">
        <v>1</v>
      </c>
      <c r="B129" s="205"/>
      <c r="C129" s="205"/>
      <c r="D129" s="205"/>
      <c r="E129" s="25">
        <v>2</v>
      </c>
      <c r="F129" s="11">
        <v>3</v>
      </c>
      <c r="G129" s="25">
        <v>4</v>
      </c>
      <c r="H129" s="25">
        <v>5</v>
      </c>
      <c r="I129" s="26">
        <v>6</v>
      </c>
      <c r="J129" s="35">
        <v>7</v>
      </c>
      <c r="K129" s="36">
        <v>8</v>
      </c>
      <c r="L129" s="109"/>
      <c r="M129" s="27"/>
      <c r="N129">
        <f>11540394-1482000</f>
        <v>10058394</v>
      </c>
      <c r="O129">
        <v>21.58</v>
      </c>
      <c r="P129">
        <f>N129*1.302</f>
        <v>13096028.988</v>
      </c>
    </row>
    <row r="130" spans="1:16" ht="31.2" customHeight="1" thickBot="1">
      <c r="A130" s="206" t="s">
        <v>67</v>
      </c>
      <c r="B130" s="206"/>
      <c r="C130" s="206"/>
      <c r="D130" s="206"/>
      <c r="E130" s="37">
        <f>G130/12/F130</f>
        <v>23435.008098223614</v>
      </c>
      <c r="F130" s="37">
        <v>9.57</v>
      </c>
      <c r="G130" s="131">
        <v>2691276.33</v>
      </c>
      <c r="H130" s="37">
        <v>3504051.67</v>
      </c>
      <c r="I130" s="44">
        <v>203</v>
      </c>
      <c r="J130" s="37">
        <f>H130/I130</f>
        <v>17261.338275862068</v>
      </c>
      <c r="K130" s="57">
        <f>H130/15103671*100</f>
        <v>23.199999986758186</v>
      </c>
      <c r="L130" s="110"/>
      <c r="M130" s="15"/>
      <c r="N130" s="128">
        <f>N128-N129</f>
        <v>11231929</v>
      </c>
      <c r="O130">
        <v>41.25</v>
      </c>
      <c r="P130">
        <f>N130*1.302</f>
        <v>14623971.558</v>
      </c>
    </row>
    <row r="131" spans="1:16" ht="15" hidden="1" thickBot="1">
      <c r="A131" s="249"/>
      <c r="B131" s="250"/>
      <c r="C131" s="250"/>
      <c r="D131" s="250"/>
      <c r="E131" s="37">
        <v>17865.98</v>
      </c>
      <c r="F131" s="58">
        <v>4</v>
      </c>
      <c r="G131" s="44"/>
      <c r="H131" s="38">
        <f>H37</f>
        <v>0</v>
      </c>
      <c r="I131" s="37" t="e">
        <f t="shared" ref="I131:I152" si="9">F131/G131*H131</f>
        <v>#DIV/0!</v>
      </c>
      <c r="J131" s="37">
        <f t="shared" ref="J131:J152" si="10">E131*F131*12*1.302</f>
        <v>1116552.28608</v>
      </c>
      <c r="K131" s="59" t="s">
        <v>38</v>
      </c>
      <c r="L131" s="111"/>
      <c r="M131" s="31" t="e">
        <f t="shared" ref="M131:M155" si="11">I131*J131</f>
        <v>#DIV/0!</v>
      </c>
    </row>
    <row r="132" spans="1:16" ht="15" hidden="1" thickBot="1">
      <c r="A132" s="247"/>
      <c r="B132" s="247"/>
      <c r="C132" s="247"/>
      <c r="D132" s="247"/>
      <c r="E132" s="37">
        <v>9544</v>
      </c>
      <c r="F132" s="58">
        <v>1</v>
      </c>
      <c r="G132" s="44"/>
      <c r="H132" s="38">
        <f>H37</f>
        <v>0</v>
      </c>
      <c r="I132" s="37" t="e">
        <f t="shared" si="9"/>
        <v>#DIV/0!</v>
      </c>
      <c r="J132" s="37">
        <f t="shared" si="10"/>
        <v>149115.45600000001</v>
      </c>
      <c r="K132" s="38">
        <f>H132/11277167.39*100</f>
        <v>0</v>
      </c>
      <c r="L132" s="38"/>
      <c r="M132" s="14" t="e">
        <f t="shared" si="11"/>
        <v>#DIV/0!</v>
      </c>
    </row>
    <row r="133" spans="1:16" ht="15" hidden="1" customHeight="1" thickBot="1">
      <c r="A133" s="216"/>
      <c r="B133" s="217"/>
      <c r="C133" s="217"/>
      <c r="D133" s="217"/>
      <c r="E133" s="37">
        <v>11560</v>
      </c>
      <c r="F133" s="58">
        <v>1</v>
      </c>
      <c r="G133" s="44"/>
      <c r="H133" s="38">
        <f>H37</f>
        <v>0</v>
      </c>
      <c r="I133" s="37" t="e">
        <f t="shared" si="9"/>
        <v>#DIV/0!</v>
      </c>
      <c r="J133" s="37">
        <f t="shared" si="10"/>
        <v>180613.44</v>
      </c>
      <c r="K133" s="29"/>
      <c r="L133" s="29"/>
      <c r="M133" s="14" t="e">
        <f t="shared" si="11"/>
        <v>#DIV/0!</v>
      </c>
    </row>
    <row r="134" spans="1:16" ht="15" hidden="1" thickBot="1">
      <c r="A134" s="206"/>
      <c r="B134" s="206"/>
      <c r="C134" s="206"/>
      <c r="D134" s="206"/>
      <c r="E134" s="37">
        <v>9544</v>
      </c>
      <c r="F134" s="60">
        <v>0.5</v>
      </c>
      <c r="G134" s="44"/>
      <c r="H134" s="38">
        <f>H37</f>
        <v>0</v>
      </c>
      <c r="I134" s="37" t="e">
        <f t="shared" si="9"/>
        <v>#DIV/0!</v>
      </c>
      <c r="J134" s="37">
        <f t="shared" si="10"/>
        <v>74557.728000000003</v>
      </c>
      <c r="K134" s="29"/>
      <c r="L134" s="29"/>
      <c r="M134" s="14" t="e">
        <f t="shared" si="11"/>
        <v>#DIV/0!</v>
      </c>
    </row>
    <row r="135" spans="1:16" ht="15" hidden="1" thickBot="1">
      <c r="A135" s="206"/>
      <c r="B135" s="206"/>
      <c r="C135" s="206"/>
      <c r="D135" s="206"/>
      <c r="E135" s="37">
        <v>9544</v>
      </c>
      <c r="F135" s="58">
        <v>1</v>
      </c>
      <c r="G135" s="44"/>
      <c r="H135" s="38">
        <f>H37</f>
        <v>0</v>
      </c>
      <c r="I135" s="37" t="e">
        <f t="shared" si="9"/>
        <v>#DIV/0!</v>
      </c>
      <c r="J135" s="37">
        <f t="shared" si="10"/>
        <v>149115.45600000001</v>
      </c>
      <c r="K135" s="37"/>
      <c r="L135" s="37"/>
      <c r="M135" s="14" t="e">
        <f t="shared" si="11"/>
        <v>#DIV/0!</v>
      </c>
    </row>
    <row r="136" spans="1:16" ht="14.25" hidden="1" customHeight="1" thickBot="1">
      <c r="A136" s="206"/>
      <c r="B136" s="206"/>
      <c r="C136" s="206"/>
      <c r="D136" s="206"/>
      <c r="E136" s="37">
        <v>9544</v>
      </c>
      <c r="F136" s="58">
        <v>1</v>
      </c>
      <c r="G136" s="44"/>
      <c r="H136" s="38">
        <f>H37</f>
        <v>0</v>
      </c>
      <c r="I136" s="37" t="e">
        <f t="shared" si="9"/>
        <v>#DIV/0!</v>
      </c>
      <c r="J136" s="37">
        <f t="shared" si="10"/>
        <v>149115.45600000001</v>
      </c>
      <c r="K136" s="45"/>
      <c r="L136" s="45"/>
      <c r="M136" s="14" t="e">
        <f t="shared" si="11"/>
        <v>#DIV/0!</v>
      </c>
    </row>
    <row r="137" spans="1:16" ht="15" hidden="1" thickBot="1">
      <c r="A137" s="158"/>
      <c r="B137" s="159"/>
      <c r="C137" s="159"/>
      <c r="D137" s="159"/>
      <c r="E137" s="37">
        <v>9544</v>
      </c>
      <c r="F137" s="37"/>
      <c r="G137" s="44"/>
      <c r="H137" s="38">
        <f>H37</f>
        <v>0</v>
      </c>
      <c r="I137" s="37" t="e">
        <f t="shared" si="9"/>
        <v>#DIV/0!</v>
      </c>
      <c r="J137" s="37">
        <f t="shared" si="10"/>
        <v>0</v>
      </c>
      <c r="K137" s="45"/>
      <c r="L137" s="45"/>
      <c r="M137" s="14" t="e">
        <f t="shared" si="11"/>
        <v>#DIV/0!</v>
      </c>
    </row>
    <row r="138" spans="1:16" ht="15" hidden="1" thickBot="1">
      <c r="A138" s="158"/>
      <c r="B138" s="159"/>
      <c r="C138" s="159"/>
      <c r="D138" s="159"/>
      <c r="E138" s="37">
        <v>9544</v>
      </c>
      <c r="F138" s="61">
        <v>0.25</v>
      </c>
      <c r="G138" s="44"/>
      <c r="H138" s="38">
        <f>H37</f>
        <v>0</v>
      </c>
      <c r="I138" s="37" t="e">
        <f t="shared" si="9"/>
        <v>#DIV/0!</v>
      </c>
      <c r="J138" s="37">
        <f t="shared" si="10"/>
        <v>37278.864000000001</v>
      </c>
      <c r="K138" s="45"/>
      <c r="L138" s="45"/>
      <c r="M138" s="14" t="e">
        <f t="shared" si="11"/>
        <v>#DIV/0!</v>
      </c>
    </row>
    <row r="139" spans="1:16" ht="15" hidden="1" thickBot="1">
      <c r="A139" s="158"/>
      <c r="B139" s="159"/>
      <c r="C139" s="159"/>
      <c r="D139" s="159"/>
      <c r="E139" s="37">
        <v>9544</v>
      </c>
      <c r="F139" s="37"/>
      <c r="G139" s="44"/>
      <c r="H139" s="38">
        <f>H37</f>
        <v>0</v>
      </c>
      <c r="I139" s="37" t="e">
        <f t="shared" si="9"/>
        <v>#DIV/0!</v>
      </c>
      <c r="J139" s="37">
        <f t="shared" si="10"/>
        <v>0</v>
      </c>
      <c r="K139" s="45"/>
      <c r="L139" s="45"/>
      <c r="M139" s="14" t="e">
        <f t="shared" si="11"/>
        <v>#DIV/0!</v>
      </c>
    </row>
    <row r="140" spans="1:16" ht="15" hidden="1" thickBot="1">
      <c r="A140" s="158"/>
      <c r="B140" s="159"/>
      <c r="C140" s="159"/>
      <c r="D140" s="159"/>
      <c r="E140" s="37">
        <v>9544</v>
      </c>
      <c r="F140" s="60">
        <v>0.5</v>
      </c>
      <c r="G140" s="44"/>
      <c r="H140" s="38">
        <f>H37</f>
        <v>0</v>
      </c>
      <c r="I140" s="37" t="e">
        <f t="shared" si="9"/>
        <v>#DIV/0!</v>
      </c>
      <c r="J140" s="37">
        <f t="shared" si="10"/>
        <v>74557.728000000003</v>
      </c>
      <c r="K140" s="45"/>
      <c r="L140" s="45"/>
      <c r="M140" s="14" t="e">
        <f t="shared" si="11"/>
        <v>#DIV/0!</v>
      </c>
    </row>
    <row r="141" spans="1:16" ht="15.75" hidden="1" customHeight="1">
      <c r="A141" s="158"/>
      <c r="B141" s="159"/>
      <c r="C141" s="159"/>
      <c r="D141" s="159"/>
      <c r="E141" s="37">
        <v>9544</v>
      </c>
      <c r="F141" s="58">
        <v>1</v>
      </c>
      <c r="G141" s="44"/>
      <c r="H141" s="38">
        <f>H37</f>
        <v>0</v>
      </c>
      <c r="I141" s="37" t="e">
        <f t="shared" si="9"/>
        <v>#DIV/0!</v>
      </c>
      <c r="J141" s="37">
        <f t="shared" si="10"/>
        <v>149115.45600000001</v>
      </c>
      <c r="K141" s="45"/>
      <c r="L141" s="45"/>
      <c r="M141" s="14" t="e">
        <f t="shared" si="11"/>
        <v>#DIV/0!</v>
      </c>
    </row>
    <row r="142" spans="1:16" ht="15" hidden="1" customHeight="1">
      <c r="A142" s="206"/>
      <c r="B142" s="206"/>
      <c r="C142" s="206"/>
      <c r="D142" s="206"/>
      <c r="E142" s="37">
        <v>9544</v>
      </c>
      <c r="F142" s="58">
        <v>1</v>
      </c>
      <c r="G142" s="44"/>
      <c r="H142" s="38">
        <f>H37</f>
        <v>0</v>
      </c>
      <c r="I142" s="37" t="e">
        <f t="shared" si="9"/>
        <v>#DIV/0!</v>
      </c>
      <c r="J142" s="37">
        <f t="shared" si="10"/>
        <v>149115.45600000001</v>
      </c>
      <c r="K142" s="45"/>
      <c r="L142" s="45"/>
      <c r="M142" s="14" t="e">
        <f t="shared" si="11"/>
        <v>#DIV/0!</v>
      </c>
    </row>
    <row r="143" spans="1:16" ht="15" hidden="1" customHeight="1" thickBot="1">
      <c r="A143" s="206"/>
      <c r="B143" s="206"/>
      <c r="C143" s="206"/>
      <c r="D143" s="206"/>
      <c r="E143" s="37">
        <v>9544</v>
      </c>
      <c r="F143" s="60">
        <v>5.5</v>
      </c>
      <c r="G143" s="44"/>
      <c r="H143" s="38">
        <f>H37</f>
        <v>0</v>
      </c>
      <c r="I143" s="37" t="e">
        <f t="shared" si="9"/>
        <v>#DIV/0!</v>
      </c>
      <c r="J143" s="37">
        <f t="shared" si="10"/>
        <v>820135.00800000003</v>
      </c>
      <c r="K143" s="45"/>
      <c r="L143" s="45"/>
      <c r="M143" s="14" t="e">
        <f t="shared" si="11"/>
        <v>#DIV/0!</v>
      </c>
    </row>
    <row r="144" spans="1:16" ht="15" hidden="1" customHeight="1">
      <c r="A144" s="206"/>
      <c r="B144" s="206"/>
      <c r="C144" s="206"/>
      <c r="D144" s="206"/>
      <c r="E144" s="37">
        <v>9544</v>
      </c>
      <c r="F144" s="58">
        <v>1</v>
      </c>
      <c r="G144" s="44"/>
      <c r="H144" s="38">
        <f>H37</f>
        <v>0</v>
      </c>
      <c r="I144" s="37" t="e">
        <f t="shared" si="9"/>
        <v>#DIV/0!</v>
      </c>
      <c r="J144" s="37">
        <f t="shared" si="10"/>
        <v>149115.45600000001</v>
      </c>
      <c r="K144" s="45"/>
      <c r="L144" s="45"/>
      <c r="M144" s="14" t="e">
        <f t="shared" si="11"/>
        <v>#DIV/0!</v>
      </c>
    </row>
    <row r="145" spans="1:16" ht="15" hidden="1" customHeight="1">
      <c r="A145" s="206"/>
      <c r="B145" s="206"/>
      <c r="C145" s="206"/>
      <c r="D145" s="206"/>
      <c r="E145" s="37">
        <v>9544</v>
      </c>
      <c r="F145" s="60">
        <v>0.5</v>
      </c>
      <c r="G145" s="44"/>
      <c r="H145" s="38">
        <f>H37</f>
        <v>0</v>
      </c>
      <c r="I145" s="37" t="e">
        <f t="shared" si="9"/>
        <v>#DIV/0!</v>
      </c>
      <c r="J145" s="37">
        <f t="shared" si="10"/>
        <v>74557.728000000003</v>
      </c>
      <c r="K145" s="45"/>
      <c r="L145" s="45"/>
      <c r="M145" s="14" t="e">
        <f t="shared" si="11"/>
        <v>#DIV/0!</v>
      </c>
    </row>
    <row r="146" spans="1:16" ht="15" hidden="1" customHeight="1" thickBot="1">
      <c r="A146" s="206"/>
      <c r="B146" s="206"/>
      <c r="C146" s="206"/>
      <c r="D146" s="206"/>
      <c r="E146" s="37">
        <v>9544</v>
      </c>
      <c r="F146" s="60">
        <v>0.5</v>
      </c>
      <c r="G146" s="44"/>
      <c r="H146" s="38">
        <f>H37</f>
        <v>0</v>
      </c>
      <c r="I146" s="37" t="e">
        <f t="shared" si="9"/>
        <v>#DIV/0!</v>
      </c>
      <c r="J146" s="37">
        <f t="shared" si="10"/>
        <v>74557.728000000003</v>
      </c>
      <c r="K146" s="45"/>
      <c r="L146" s="45"/>
      <c r="M146" s="14" t="e">
        <f t="shared" si="11"/>
        <v>#DIV/0!</v>
      </c>
    </row>
    <row r="147" spans="1:16" ht="15" hidden="1" thickBot="1">
      <c r="A147" s="206"/>
      <c r="B147" s="206"/>
      <c r="C147" s="206"/>
      <c r="D147" s="206"/>
      <c r="E147" s="37">
        <v>9544</v>
      </c>
      <c r="F147" s="58">
        <v>1</v>
      </c>
      <c r="G147" s="44"/>
      <c r="H147" s="38">
        <f>H37</f>
        <v>0</v>
      </c>
      <c r="I147" s="37" t="e">
        <f t="shared" si="9"/>
        <v>#DIV/0!</v>
      </c>
      <c r="J147" s="37">
        <f t="shared" si="10"/>
        <v>149115.45600000001</v>
      </c>
      <c r="K147" s="45"/>
      <c r="L147" s="45"/>
      <c r="M147" s="14" t="e">
        <f t="shared" si="11"/>
        <v>#DIV/0!</v>
      </c>
    </row>
    <row r="148" spans="1:16" ht="15.75" hidden="1" customHeight="1">
      <c r="A148" s="206"/>
      <c r="B148" s="206"/>
      <c r="C148" s="206"/>
      <c r="D148" s="206"/>
      <c r="E148" s="37">
        <v>9544</v>
      </c>
      <c r="F148" s="58">
        <v>4</v>
      </c>
      <c r="G148" s="44"/>
      <c r="H148" s="38">
        <f>H37</f>
        <v>0</v>
      </c>
      <c r="I148" s="37" t="e">
        <f t="shared" si="9"/>
        <v>#DIV/0!</v>
      </c>
      <c r="J148" s="37">
        <f t="shared" si="10"/>
        <v>596461.82400000002</v>
      </c>
      <c r="K148" s="45"/>
      <c r="L148" s="45"/>
      <c r="M148" s="14" t="e">
        <f t="shared" si="11"/>
        <v>#DIV/0!</v>
      </c>
    </row>
    <row r="149" spans="1:16" ht="16.5" hidden="1" customHeight="1">
      <c r="A149" s="158"/>
      <c r="B149" s="159"/>
      <c r="C149" s="159"/>
      <c r="D149" s="159"/>
      <c r="E149" s="37">
        <v>9544</v>
      </c>
      <c r="F149" s="58">
        <v>1</v>
      </c>
      <c r="G149" s="44"/>
      <c r="H149" s="38">
        <f>H37</f>
        <v>0</v>
      </c>
      <c r="I149" s="37" t="e">
        <f t="shared" si="9"/>
        <v>#DIV/0!</v>
      </c>
      <c r="J149" s="37">
        <f t="shared" si="10"/>
        <v>149115.45600000001</v>
      </c>
      <c r="K149" s="45"/>
      <c r="L149" s="45"/>
      <c r="M149" s="14" t="e">
        <f t="shared" si="11"/>
        <v>#DIV/0!</v>
      </c>
    </row>
    <row r="150" spans="1:16" ht="16.5" hidden="1" customHeight="1">
      <c r="A150" s="158"/>
      <c r="B150" s="159"/>
      <c r="C150" s="159"/>
      <c r="D150" s="159"/>
      <c r="E150" s="37">
        <v>9544</v>
      </c>
      <c r="F150" s="61">
        <v>1.75</v>
      </c>
      <c r="G150" s="44"/>
      <c r="H150" s="38">
        <f>H37</f>
        <v>0</v>
      </c>
      <c r="I150" s="37" t="e">
        <f t="shared" si="9"/>
        <v>#DIV/0!</v>
      </c>
      <c r="J150" s="37">
        <f t="shared" si="10"/>
        <v>260952.04800000001</v>
      </c>
      <c r="K150" s="45"/>
      <c r="L150" s="45"/>
      <c r="M150" s="14" t="e">
        <f t="shared" si="11"/>
        <v>#DIV/0!</v>
      </c>
    </row>
    <row r="151" spans="1:16" ht="16.5" hidden="1" customHeight="1" thickBot="1">
      <c r="A151" s="158"/>
      <c r="B151" s="159"/>
      <c r="C151" s="159"/>
      <c r="D151" s="159"/>
      <c r="E151" s="37">
        <v>9544</v>
      </c>
      <c r="F151" s="38"/>
      <c r="G151" s="44"/>
      <c r="H151" s="38">
        <f>H37</f>
        <v>0</v>
      </c>
      <c r="I151" s="37" t="e">
        <f t="shared" si="9"/>
        <v>#DIV/0!</v>
      </c>
      <c r="J151" s="37">
        <f t="shared" si="10"/>
        <v>0</v>
      </c>
      <c r="K151" s="45"/>
      <c r="L151" s="45"/>
      <c r="M151" s="14" t="e">
        <f t="shared" si="11"/>
        <v>#DIV/0!</v>
      </c>
    </row>
    <row r="152" spans="1:16" ht="16.5" hidden="1" customHeight="1" thickBot="1">
      <c r="A152" s="158"/>
      <c r="B152" s="159"/>
      <c r="C152" s="159"/>
      <c r="D152" s="159"/>
      <c r="E152" s="37">
        <v>9544</v>
      </c>
      <c r="F152" s="60">
        <v>0.5</v>
      </c>
      <c r="G152" s="44"/>
      <c r="H152" s="38">
        <f>H37</f>
        <v>0</v>
      </c>
      <c r="I152" s="37" t="e">
        <f t="shared" si="9"/>
        <v>#DIV/0!</v>
      </c>
      <c r="J152" s="37">
        <f t="shared" si="10"/>
        <v>74557.728000000003</v>
      </c>
      <c r="K152" s="45"/>
      <c r="L152" s="45"/>
      <c r="M152" s="14" t="e">
        <f t="shared" si="11"/>
        <v>#DIV/0!</v>
      </c>
    </row>
    <row r="153" spans="1:16" ht="15" hidden="1" customHeight="1" thickBot="1">
      <c r="A153" s="158"/>
      <c r="B153" s="159"/>
      <c r="C153" s="159"/>
      <c r="D153" s="159"/>
      <c r="E153" s="37"/>
      <c r="F153" s="37"/>
      <c r="G153" s="37"/>
      <c r="H153" s="37"/>
      <c r="I153" s="37"/>
      <c r="J153" s="37"/>
      <c r="K153" s="45"/>
      <c r="L153" s="45"/>
      <c r="M153" s="14">
        <f t="shared" si="11"/>
        <v>0</v>
      </c>
    </row>
    <row r="154" spans="1:16" ht="15.75" hidden="1" customHeight="1">
      <c r="A154" s="158"/>
      <c r="B154" s="159"/>
      <c r="C154" s="159"/>
      <c r="D154" s="159"/>
      <c r="E154" s="37"/>
      <c r="F154" s="37"/>
      <c r="G154" s="37"/>
      <c r="H154" s="37"/>
      <c r="I154" s="37"/>
      <c r="J154" s="37"/>
      <c r="K154" s="45"/>
      <c r="L154" s="45"/>
      <c r="M154" s="14">
        <f t="shared" si="11"/>
        <v>0</v>
      </c>
    </row>
    <row r="155" spans="1:16" ht="14.25" hidden="1" customHeight="1" thickBot="1">
      <c r="A155" s="158"/>
      <c r="B155" s="159"/>
      <c r="C155" s="159"/>
      <c r="D155" s="159"/>
      <c r="E155" s="37"/>
      <c r="F155" s="37"/>
      <c r="G155" s="37"/>
      <c r="H155" s="37"/>
      <c r="I155" s="44">
        <v>105</v>
      </c>
      <c r="J155" s="46">
        <f>H155/I155</f>
        <v>0</v>
      </c>
      <c r="K155" s="45"/>
      <c r="L155" s="45"/>
      <c r="M155" s="30">
        <f t="shared" si="11"/>
        <v>0</v>
      </c>
    </row>
    <row r="156" spans="1:16" ht="15" thickBot="1">
      <c r="A156" s="162" t="s">
        <v>47</v>
      </c>
      <c r="B156" s="162"/>
      <c r="C156" s="162"/>
      <c r="D156" s="162"/>
      <c r="E156" s="62"/>
      <c r="F156" s="134"/>
      <c r="G156" s="134"/>
      <c r="H156" s="66">
        <f>H130</f>
        <v>3504051.67</v>
      </c>
      <c r="I156" s="47"/>
      <c r="J156" s="63">
        <f>J130</f>
        <v>17261.338275862068</v>
      </c>
      <c r="K156" s="45"/>
      <c r="L156" s="45"/>
      <c r="M156" s="15"/>
      <c r="P156">
        <f>H156/48.5%</f>
        <v>7224848.8041237118</v>
      </c>
    </row>
    <row r="157" spans="1:16" ht="22.2" customHeight="1">
      <c r="A157" s="10"/>
      <c r="B157" s="10"/>
      <c r="C157" s="10"/>
      <c r="D157" s="10"/>
      <c r="E157" s="10"/>
      <c r="F157" s="10"/>
      <c r="G157" s="10"/>
      <c r="H157" s="12"/>
      <c r="I157" s="12"/>
      <c r="J157" s="12"/>
      <c r="K157" s="10"/>
      <c r="L157" s="10"/>
      <c r="M157" s="10"/>
    </row>
    <row r="158" spans="1:16">
      <c r="A158" s="179" t="s">
        <v>61</v>
      </c>
      <c r="B158" s="179"/>
      <c r="C158" s="179"/>
      <c r="D158" s="179"/>
      <c r="E158" s="179"/>
      <c r="F158" s="179"/>
      <c r="G158" s="179"/>
      <c r="H158" s="179"/>
      <c r="I158" s="179"/>
      <c r="J158" s="179"/>
      <c r="K158" s="179"/>
      <c r="L158" s="135"/>
      <c r="M158" s="10"/>
    </row>
    <row r="159" spans="1:16" s="76" customFormat="1">
      <c r="A159" s="146"/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74"/>
    </row>
    <row r="160" spans="1:16" ht="55.8">
      <c r="A160" s="160" t="s">
        <v>28</v>
      </c>
      <c r="B160" s="161"/>
      <c r="C160" s="161"/>
      <c r="D160" s="161"/>
      <c r="E160" s="8" t="s">
        <v>75</v>
      </c>
      <c r="F160" s="8" t="s">
        <v>48</v>
      </c>
      <c r="G160" s="8" t="s">
        <v>74</v>
      </c>
      <c r="H160" s="8" t="s">
        <v>69</v>
      </c>
      <c r="I160" s="10"/>
      <c r="J160" s="10"/>
      <c r="K160" s="10"/>
      <c r="L160" s="10"/>
    </row>
    <row r="161" spans="1:13" ht="15" thickBot="1">
      <c r="A161" s="158" t="s">
        <v>151</v>
      </c>
      <c r="B161" s="159"/>
      <c r="C161" s="159"/>
      <c r="D161" s="159"/>
      <c r="E161" s="50" t="s">
        <v>27</v>
      </c>
      <c r="F161" s="130">
        <f>720*23.2%</f>
        <v>167.04</v>
      </c>
      <c r="G161" s="44">
        <v>203</v>
      </c>
      <c r="H161" s="91">
        <f t="shared" ref="H161" si="12">F161/G161</f>
        <v>0.82285714285714284</v>
      </c>
      <c r="I161" s="10"/>
      <c r="J161" s="10"/>
      <c r="K161" s="10"/>
      <c r="L161" s="10"/>
    </row>
    <row r="162" spans="1:13" ht="20.25" customHeight="1" thickBot="1">
      <c r="A162" s="163" t="s">
        <v>53</v>
      </c>
      <c r="B162" s="164"/>
      <c r="C162" s="164"/>
      <c r="D162" s="164"/>
      <c r="E162" s="49"/>
      <c r="F162" s="66">
        <f>SUM(F161:F161)</f>
        <v>167.04</v>
      </c>
      <c r="G162" s="45"/>
      <c r="H162" s="51">
        <f>SUM(H161:H161)</f>
        <v>0.82285714285714284</v>
      </c>
      <c r="I162" s="10"/>
      <c r="J162" s="33"/>
      <c r="K162" s="10"/>
      <c r="L162" s="10"/>
    </row>
    <row r="163" spans="1:13" s="76" customFormat="1">
      <c r="A163" s="146"/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74"/>
    </row>
    <row r="164" spans="1:13" ht="55.8">
      <c r="A164" s="160" t="s">
        <v>28</v>
      </c>
      <c r="B164" s="161"/>
      <c r="C164" s="161"/>
      <c r="D164" s="161"/>
      <c r="E164" s="8" t="s">
        <v>75</v>
      </c>
      <c r="F164" s="8" t="s">
        <v>48</v>
      </c>
      <c r="G164" s="8" t="s">
        <v>74</v>
      </c>
      <c r="H164" s="8" t="s">
        <v>69</v>
      </c>
      <c r="I164" s="10"/>
      <c r="J164" s="10"/>
      <c r="K164" s="10"/>
      <c r="L164" s="10"/>
    </row>
    <row r="165" spans="1:13" ht="51" customHeight="1" thickBot="1">
      <c r="A165" s="158" t="s">
        <v>153</v>
      </c>
      <c r="B165" s="159"/>
      <c r="C165" s="159"/>
      <c r="D165" s="159"/>
      <c r="E165" s="50" t="s">
        <v>27</v>
      </c>
      <c r="F165" s="130">
        <f>505800*23.2%</f>
        <v>117345.59999999999</v>
      </c>
      <c r="G165" s="44">
        <v>203</v>
      </c>
      <c r="H165" s="91">
        <f t="shared" ref="H165" si="13">F165/G165</f>
        <v>578.05714285714282</v>
      </c>
      <c r="I165" s="10"/>
      <c r="J165" s="10"/>
      <c r="K165" s="10"/>
      <c r="L165" s="10"/>
    </row>
    <row r="166" spans="1:13" ht="20.25" customHeight="1" thickBot="1">
      <c r="A166" s="163" t="s">
        <v>53</v>
      </c>
      <c r="B166" s="164"/>
      <c r="C166" s="164"/>
      <c r="D166" s="164"/>
      <c r="E166" s="49"/>
      <c r="F166" s="66">
        <f>SUM(F165:F165)</f>
        <v>117345.59999999999</v>
      </c>
      <c r="G166" s="45"/>
      <c r="H166" s="51">
        <f>SUM(H165:H165)</f>
        <v>578.05714285714282</v>
      </c>
      <c r="I166" s="10"/>
      <c r="J166" s="33"/>
      <c r="K166" s="10"/>
      <c r="L166" s="10"/>
    </row>
    <row r="167" spans="1:13" s="76" customFormat="1">
      <c r="A167" s="146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74"/>
    </row>
    <row r="168" spans="1:13" ht="55.8">
      <c r="A168" s="160" t="s">
        <v>62</v>
      </c>
      <c r="B168" s="161"/>
      <c r="C168" s="161"/>
      <c r="D168" s="202"/>
      <c r="E168" s="138" t="s">
        <v>7</v>
      </c>
      <c r="F168" s="138" t="s">
        <v>55</v>
      </c>
      <c r="G168" s="138" t="s">
        <v>42</v>
      </c>
      <c r="H168" s="138" t="s">
        <v>48</v>
      </c>
      <c r="I168" s="8" t="s">
        <v>63</v>
      </c>
      <c r="J168" s="8" t="s">
        <v>69</v>
      </c>
      <c r="K168" s="39"/>
      <c r="L168" s="27"/>
      <c r="M168" s="10"/>
    </row>
    <row r="169" spans="1:13" ht="36.75" customHeight="1">
      <c r="A169" s="158" t="s">
        <v>114</v>
      </c>
      <c r="B169" s="159"/>
      <c r="C169" s="159"/>
      <c r="D169" s="172"/>
      <c r="E169" s="138"/>
      <c r="F169" s="138"/>
      <c r="G169" s="138"/>
      <c r="H169" s="129">
        <f>450000*23.2%</f>
        <v>104400</v>
      </c>
      <c r="I169" s="44">
        <v>203</v>
      </c>
      <c r="J169" s="92">
        <f>H169/I169</f>
        <v>514.28571428571433</v>
      </c>
      <c r="K169" s="39"/>
      <c r="L169" s="27"/>
      <c r="M169" s="10"/>
    </row>
    <row r="170" spans="1:13" ht="34.5" customHeight="1" thickBot="1">
      <c r="A170" s="158" t="s">
        <v>115</v>
      </c>
      <c r="B170" s="159"/>
      <c r="C170" s="159"/>
      <c r="D170" s="172"/>
      <c r="E170" s="138"/>
      <c r="F170" s="138"/>
      <c r="G170" s="138"/>
      <c r="H170" s="129">
        <f>250000*23.2%</f>
        <v>57999.999999999993</v>
      </c>
      <c r="I170" s="44">
        <v>203</v>
      </c>
      <c r="J170" s="92">
        <f t="shared" ref="J170" si="14">H170/I170</f>
        <v>285.71428571428567</v>
      </c>
      <c r="K170" s="39"/>
      <c r="L170" s="27"/>
      <c r="M170" s="10"/>
    </row>
    <row r="171" spans="1:13" ht="15" thickBot="1">
      <c r="A171" s="244" t="s">
        <v>57</v>
      </c>
      <c r="B171" s="245"/>
      <c r="C171" s="245"/>
      <c r="D171" s="245"/>
      <c r="E171" s="245"/>
      <c r="F171" s="245"/>
      <c r="G171" s="246"/>
      <c r="H171" s="56">
        <f>H170+H169</f>
        <v>162400</v>
      </c>
      <c r="I171" s="55"/>
      <c r="J171" s="32">
        <f>SUM(J169:J170)</f>
        <v>800</v>
      </c>
      <c r="K171" s="10"/>
      <c r="L171" s="10"/>
      <c r="M171" s="10"/>
    </row>
    <row r="172" spans="1:13" ht="32.4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1:13" ht="55.8">
      <c r="A173" s="160" t="s">
        <v>62</v>
      </c>
      <c r="B173" s="161"/>
      <c r="C173" s="161"/>
      <c r="D173" s="202"/>
      <c r="E173" s="138" t="s">
        <v>116</v>
      </c>
      <c r="F173" s="138" t="s">
        <v>55</v>
      </c>
      <c r="G173" s="138" t="s">
        <v>42</v>
      </c>
      <c r="H173" s="138" t="s">
        <v>48</v>
      </c>
      <c r="I173" s="8" t="s">
        <v>63</v>
      </c>
      <c r="J173" s="8" t="s">
        <v>69</v>
      </c>
      <c r="K173" s="39"/>
      <c r="L173" s="27"/>
      <c r="M173" s="10"/>
    </row>
    <row r="174" spans="1:13">
      <c r="A174" s="158" t="s">
        <v>78</v>
      </c>
      <c r="B174" s="159"/>
      <c r="C174" s="159"/>
      <c r="D174" s="172"/>
      <c r="E174" s="138">
        <v>120</v>
      </c>
      <c r="F174" s="138"/>
      <c r="G174" s="138"/>
      <c r="H174" s="129">
        <f>50000*23.2%</f>
        <v>11600</v>
      </c>
      <c r="I174" s="44">
        <v>203</v>
      </c>
      <c r="J174" s="92">
        <f>H174/I174</f>
        <v>57.142857142857146</v>
      </c>
      <c r="K174" s="39"/>
      <c r="L174" s="27"/>
      <c r="M174" s="10"/>
    </row>
    <row r="175" spans="1:13">
      <c r="A175" s="158" t="s">
        <v>79</v>
      </c>
      <c r="B175" s="159"/>
      <c r="C175" s="159"/>
      <c r="D175" s="172"/>
      <c r="E175" s="138">
        <v>640</v>
      </c>
      <c r="F175" s="138"/>
      <c r="G175" s="138"/>
      <c r="H175" s="129">
        <f>50000*23.2%</f>
        <v>11600</v>
      </c>
      <c r="I175" s="44">
        <v>203</v>
      </c>
      <c r="J175" s="92">
        <f t="shared" ref="J175:J176" si="15">H175/I175</f>
        <v>57.142857142857146</v>
      </c>
      <c r="K175" s="39"/>
      <c r="L175" s="27"/>
      <c r="M175" s="10"/>
    </row>
    <row r="176" spans="1:13" ht="18" customHeight="1" thickBot="1">
      <c r="A176" s="158" t="s">
        <v>80</v>
      </c>
      <c r="B176" s="159"/>
      <c r="C176" s="159"/>
      <c r="D176" s="172"/>
      <c r="E176" s="138">
        <v>200</v>
      </c>
      <c r="F176" s="138"/>
      <c r="G176" s="138"/>
      <c r="H176" s="129">
        <f>50000*23.2%</f>
        <v>11600</v>
      </c>
      <c r="I176" s="44">
        <v>203</v>
      </c>
      <c r="J176" s="92">
        <f t="shared" si="15"/>
        <v>57.142857142857146</v>
      </c>
      <c r="K176" s="39"/>
      <c r="L176" s="27"/>
      <c r="M176" s="10"/>
    </row>
    <row r="177" spans="1:17" ht="15" thickBot="1">
      <c r="A177" s="244" t="s">
        <v>57</v>
      </c>
      <c r="B177" s="245"/>
      <c r="C177" s="245"/>
      <c r="D177" s="245"/>
      <c r="E177" s="245"/>
      <c r="F177" s="245"/>
      <c r="G177" s="246"/>
      <c r="H177" s="56">
        <f>SUM(H174:H176)</f>
        <v>34800</v>
      </c>
      <c r="I177" s="55"/>
      <c r="J177" s="32">
        <f>SUM(J174:J176)</f>
        <v>171.42857142857144</v>
      </c>
      <c r="K177" s="10"/>
      <c r="L177" s="10"/>
      <c r="M177" s="10"/>
    </row>
    <row r="178" spans="1:17" ht="25.2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1:17">
      <c r="A179" s="157" t="s">
        <v>29</v>
      </c>
      <c r="B179" s="157"/>
      <c r="C179" s="157"/>
      <c r="D179" s="157"/>
      <c r="E179" s="157"/>
      <c r="F179" s="157"/>
      <c r="G179" s="157"/>
      <c r="H179" s="157"/>
      <c r="I179" s="157"/>
      <c r="J179" s="157"/>
      <c r="K179" s="157"/>
      <c r="L179" s="157"/>
      <c r="M179" s="157"/>
    </row>
    <row r="180" spans="1:17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1:17" ht="57" customHeight="1">
      <c r="A181" s="199" t="s">
        <v>30</v>
      </c>
      <c r="B181" s="200"/>
      <c r="C181" s="201"/>
      <c r="D181" s="251" t="s">
        <v>31</v>
      </c>
      <c r="E181" s="252"/>
      <c r="F181" s="252"/>
      <c r="G181" s="252"/>
      <c r="H181" s="252"/>
      <c r="I181" s="252"/>
      <c r="J181" s="252"/>
      <c r="K181" s="252"/>
      <c r="L181" s="253"/>
      <c r="M181" s="254" t="s">
        <v>35</v>
      </c>
      <c r="N181" s="112"/>
      <c r="Q181" s="128">
        <f>H178+H172+H157+F126+F120+F115+G110+G100+H90+H79+H71</f>
        <v>0</v>
      </c>
    </row>
    <row r="182" spans="1:17" ht="24" customHeight="1">
      <c r="A182" s="9" t="s">
        <v>32</v>
      </c>
      <c r="B182" s="104" t="s">
        <v>33</v>
      </c>
      <c r="C182" s="9" t="s">
        <v>34</v>
      </c>
      <c r="D182" s="8" t="s">
        <v>120</v>
      </c>
      <c r="E182" s="8" t="s">
        <v>121</v>
      </c>
      <c r="F182" s="8" t="s">
        <v>122</v>
      </c>
      <c r="G182" s="8" t="s">
        <v>123</v>
      </c>
      <c r="H182" s="8" t="s">
        <v>144</v>
      </c>
      <c r="I182" s="8" t="s">
        <v>150</v>
      </c>
      <c r="J182" s="8" t="s">
        <v>124</v>
      </c>
      <c r="K182" s="34" t="s">
        <v>125</v>
      </c>
      <c r="L182" s="141" t="s">
        <v>123</v>
      </c>
      <c r="M182" s="260"/>
      <c r="N182" s="112"/>
    </row>
    <row r="183" spans="1:17" ht="15" thickBot="1">
      <c r="A183" s="14">
        <f>J70</f>
        <v>14966.890295566502</v>
      </c>
      <c r="B183" s="14"/>
      <c r="C183" s="14"/>
      <c r="D183" s="14">
        <f>J78</f>
        <v>98.445714285714274</v>
      </c>
      <c r="E183" s="14">
        <f>J89</f>
        <v>2413.6</v>
      </c>
      <c r="F183" s="14">
        <f>I99</f>
        <v>394.77584000000002</v>
      </c>
      <c r="G183" s="14">
        <f>I109</f>
        <v>426.29501714285715</v>
      </c>
      <c r="H183" s="14">
        <f>H114</f>
        <v>8.9942857142857147</v>
      </c>
      <c r="I183" s="14">
        <f>H125</f>
        <v>25.123428571428569</v>
      </c>
      <c r="J183" s="14">
        <f>H119</f>
        <v>33.999999999999993</v>
      </c>
      <c r="K183" s="94">
        <f>J156</f>
        <v>17261.338275862068</v>
      </c>
      <c r="L183" s="93">
        <f>J171+J177+H162+H166</f>
        <v>1550.3085714285714</v>
      </c>
      <c r="M183" s="93">
        <f>SUM(D183:L183)+A183</f>
        <v>37179.771428571425</v>
      </c>
      <c r="N183" s="113">
        <v>45993.941379310345</v>
      </c>
    </row>
    <row r="184" spans="1:17" ht="15" thickBo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>
        <v>1333824.3</v>
      </c>
      <c r="P184" s="89">
        <f>M183*203</f>
        <v>7547493.5999999996</v>
      </c>
    </row>
    <row r="185" spans="1:17" ht="15" thickBot="1">
      <c r="A185" s="13" t="s">
        <v>64</v>
      </c>
      <c r="B185" s="13"/>
      <c r="C185" s="13"/>
      <c r="D185" s="10"/>
      <c r="E185" s="10"/>
      <c r="F185" s="10"/>
      <c r="G185" s="10"/>
      <c r="H185" s="10"/>
      <c r="I185" s="10"/>
      <c r="J185" s="65">
        <f>H78+H89+G99+G109+F119+H70+H156+H171+H177+F114+F125+F162+F166</f>
        <v>7547493.5999999987</v>
      </c>
      <c r="K185" s="10"/>
      <c r="L185" s="10"/>
      <c r="M185" s="10"/>
      <c r="P185" s="128"/>
    </row>
    <row r="186" spans="1:17" ht="26.25" customHeight="1">
      <c r="A186" s="10"/>
      <c r="B186" s="10"/>
      <c r="C186" s="10"/>
      <c r="D186" s="10"/>
      <c r="E186" s="10"/>
      <c r="F186" s="10"/>
      <c r="G186" s="10"/>
      <c r="H186" s="10"/>
      <c r="I186" s="10"/>
      <c r="K186" s="10"/>
      <c r="L186" s="10"/>
      <c r="N186" s="248"/>
      <c r="O186" s="248"/>
    </row>
    <row r="187" spans="1:17" ht="17.25" customHeight="1">
      <c r="A187" s="2" t="s">
        <v>117</v>
      </c>
      <c r="B187" s="2"/>
      <c r="C187" s="2"/>
      <c r="I187" s="2" t="s">
        <v>118</v>
      </c>
    </row>
    <row r="188" spans="1:17" ht="9.75" customHeight="1"/>
    <row r="189" spans="1:17" ht="15.6">
      <c r="A189" s="101" t="s">
        <v>43</v>
      </c>
      <c r="B189" s="6"/>
    </row>
    <row r="190" spans="1:17" ht="15.6">
      <c r="A190" s="101" t="s">
        <v>143</v>
      </c>
      <c r="B190" s="6"/>
    </row>
    <row r="191" spans="1:17" ht="15.6">
      <c r="A191" s="101" t="s">
        <v>81</v>
      </c>
      <c r="C191" s="6"/>
    </row>
    <row r="192" spans="1:17" ht="15.6">
      <c r="A192" s="1"/>
      <c r="B192" s="1"/>
      <c r="C192" s="1"/>
    </row>
    <row r="194" spans="10:10">
      <c r="J194" s="261">
        <f>J185/23.2%</f>
        <v>32532299.999999996</v>
      </c>
    </row>
    <row r="197" spans="10:10">
      <c r="J197">
        <v>31996700</v>
      </c>
    </row>
    <row r="200" spans="10:10">
      <c r="J200">
        <f>J194-J197</f>
        <v>535599.99999999627</v>
      </c>
    </row>
  </sheetData>
  <mergeCells count="182">
    <mergeCell ref="A101:M101"/>
    <mergeCell ref="A102:D102"/>
    <mergeCell ref="A103:D103"/>
    <mergeCell ref="A98:D98"/>
    <mergeCell ref="A95:D95"/>
    <mergeCell ref="A96:D96"/>
    <mergeCell ref="A97:D97"/>
    <mergeCell ref="M181:M182"/>
    <mergeCell ref="N186:O186"/>
    <mergeCell ref="A116:M116"/>
    <mergeCell ref="A117:D117"/>
    <mergeCell ref="A121:M121"/>
    <mergeCell ref="A127:M127"/>
    <mergeCell ref="A147:D147"/>
    <mergeCell ref="A148:D148"/>
    <mergeCell ref="A158:K158"/>
    <mergeCell ref="A171:G171"/>
    <mergeCell ref="A118:D118"/>
    <mergeCell ref="A122:D122"/>
    <mergeCell ref="A123:D123"/>
    <mergeCell ref="A153:D153"/>
    <mergeCell ref="A154:D154"/>
    <mergeCell ref="A155:D155"/>
    <mergeCell ref="A156:D156"/>
    <mergeCell ref="A160:D160"/>
    <mergeCell ref="A174:D174"/>
    <mergeCell ref="A175:D175"/>
    <mergeCell ref="A177:G177"/>
    <mergeCell ref="A179:M179"/>
    <mergeCell ref="A181:C181"/>
    <mergeCell ref="A150:D150"/>
    <mergeCell ref="A151:D151"/>
    <mergeCell ref="A152:D152"/>
    <mergeCell ref="A176:D176"/>
    <mergeCell ref="A170:D170"/>
    <mergeCell ref="A173:D173"/>
    <mergeCell ref="A161:D161"/>
    <mergeCell ref="A162:D162"/>
    <mergeCell ref="A168:D168"/>
    <mergeCell ref="A169:D169"/>
    <mergeCell ref="D181:L181"/>
    <mergeCell ref="A164:D164"/>
    <mergeCell ref="A165:D165"/>
    <mergeCell ref="A166:D166"/>
    <mergeCell ref="A149:D149"/>
    <mergeCell ref="A128:D128"/>
    <mergeCell ref="A129:D129"/>
    <mergeCell ref="A130:D130"/>
    <mergeCell ref="A131:D131"/>
    <mergeCell ref="A132:D132"/>
    <mergeCell ref="A119:D119"/>
    <mergeCell ref="A124:D124"/>
    <mergeCell ref="A125:D125"/>
    <mergeCell ref="A144:D144"/>
    <mergeCell ref="A145:D145"/>
    <mergeCell ref="A146:D146"/>
    <mergeCell ref="A133:D133"/>
    <mergeCell ref="A138:D138"/>
    <mergeCell ref="A136:D136"/>
    <mergeCell ref="A137:D137"/>
    <mergeCell ref="A134:D134"/>
    <mergeCell ref="A135:D135"/>
    <mergeCell ref="A139:D139"/>
    <mergeCell ref="A140:D140"/>
    <mergeCell ref="A141:D141"/>
    <mergeCell ref="A142:D142"/>
    <mergeCell ref="A143:D143"/>
    <mergeCell ref="A104:D104"/>
    <mergeCell ref="A105:D105"/>
    <mergeCell ref="A106:D106"/>
    <mergeCell ref="A109:D109"/>
    <mergeCell ref="A113:D113"/>
    <mergeCell ref="A114:D114"/>
    <mergeCell ref="A107:D107"/>
    <mergeCell ref="A108:D108"/>
    <mergeCell ref="A111:M111"/>
    <mergeCell ref="A112:D112"/>
    <mergeCell ref="A77:D77"/>
    <mergeCell ref="A78:D78"/>
    <mergeCell ref="A81:D81"/>
    <mergeCell ref="A75:D75"/>
    <mergeCell ref="A76:D76"/>
    <mergeCell ref="A84:D84"/>
    <mergeCell ref="A89:D89"/>
    <mergeCell ref="A94:D94"/>
    <mergeCell ref="A85:D85"/>
    <mergeCell ref="A86:D86"/>
    <mergeCell ref="A87:D87"/>
    <mergeCell ref="A88:D88"/>
    <mergeCell ref="A80:M80"/>
    <mergeCell ref="A82:D82"/>
    <mergeCell ref="A83:D83"/>
    <mergeCell ref="A91:M91"/>
    <mergeCell ref="A92:D92"/>
    <mergeCell ref="A93:D93"/>
    <mergeCell ref="A74:D74"/>
    <mergeCell ref="A68:D68"/>
    <mergeCell ref="A69:D69"/>
    <mergeCell ref="A70:D70"/>
    <mergeCell ref="A59:D59"/>
    <mergeCell ref="A60:D60"/>
    <mergeCell ref="A61:D61"/>
    <mergeCell ref="A62:D62"/>
    <mergeCell ref="A63:K63"/>
    <mergeCell ref="A67:D67"/>
    <mergeCell ref="A66:M66"/>
    <mergeCell ref="A73:M73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45:D45"/>
    <mergeCell ref="A46:D46"/>
    <mergeCell ref="A38:E38"/>
    <mergeCell ref="G38:K38"/>
    <mergeCell ref="A53:D53"/>
    <mergeCell ref="A39:D39"/>
    <mergeCell ref="G39:M39"/>
    <mergeCell ref="A40:M40"/>
    <mergeCell ref="A42:D42"/>
    <mergeCell ref="A43:D43"/>
    <mergeCell ref="A44:D4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</mergeCells>
  <pageMargins left="0.70866141732283472" right="0.70866141732283472" top="0.15748031496062992" bottom="0.39370078740157483" header="0.31496062992125984" footer="0.31496062992125984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Q201"/>
  <sheetViews>
    <sheetView view="pageBreakPreview" topLeftCell="A4" zoomScale="60" zoomScaleNormal="70" workbookViewId="0">
      <selection activeCell="I190" sqref="I190"/>
    </sheetView>
  </sheetViews>
  <sheetFormatPr defaultRowHeight="14.4"/>
  <cols>
    <col min="1" max="1" width="10.6640625" customWidth="1"/>
    <col min="2" max="3" width="6.109375" customWidth="1"/>
    <col min="4" max="4" width="12.109375" customWidth="1"/>
    <col min="5" max="5" width="13" customWidth="1"/>
    <col min="6" max="6" width="11.88671875" customWidth="1"/>
    <col min="7" max="7" width="14.5546875" customWidth="1"/>
    <col min="8" max="8" width="14.33203125" customWidth="1"/>
    <col min="9" max="9" width="11.5546875" customWidth="1"/>
    <col min="10" max="10" width="13.44140625" customWidth="1"/>
    <col min="11" max="11" width="11.109375" customWidth="1"/>
    <col min="12" max="12" width="13.88671875" customWidth="1"/>
    <col min="13" max="13" width="13.109375" customWidth="1"/>
    <col min="14" max="14" width="12.5546875" customWidth="1"/>
    <col min="16" max="16" width="17.44140625" customWidth="1"/>
    <col min="17" max="17" width="14.5546875" customWidth="1"/>
  </cols>
  <sheetData>
    <row r="1" spans="1:14" hidden="1"/>
    <row r="2" spans="1:14" ht="15.6" hidden="1">
      <c r="A2" s="183"/>
      <c r="B2" s="183"/>
      <c r="C2" s="183"/>
      <c r="D2" s="183"/>
      <c r="E2" s="183"/>
      <c r="F2" s="183"/>
      <c r="G2" s="183"/>
    </row>
    <row r="3" spans="1:14" ht="15.75" hidden="1" customHeight="1">
      <c r="A3" s="183"/>
      <c r="B3" s="183"/>
      <c r="C3" s="41"/>
      <c r="D3" s="41"/>
      <c r="E3" s="86"/>
      <c r="F3" s="41"/>
      <c r="G3" s="41"/>
    </row>
    <row r="4" spans="1:14" ht="27.75" customHeight="1">
      <c r="A4" s="184"/>
      <c r="B4" s="184"/>
      <c r="C4" s="184"/>
      <c r="D4" s="102"/>
      <c r="E4" s="184"/>
      <c r="F4" s="184"/>
      <c r="G4" s="43"/>
      <c r="H4" s="256"/>
      <c r="I4" s="171"/>
      <c r="J4" s="171"/>
      <c r="K4" s="171"/>
      <c r="L4" s="106"/>
    </row>
    <row r="5" spans="1:14" ht="8.25" customHeight="1">
      <c r="A5" s="3"/>
      <c r="B5" s="3"/>
      <c r="C5" s="3"/>
      <c r="D5" s="85"/>
      <c r="E5" s="3"/>
      <c r="F5" s="3"/>
      <c r="G5" s="85"/>
    </row>
    <row r="6" spans="1:14" ht="7.5" customHeight="1">
      <c r="A6" s="87"/>
      <c r="B6" s="87"/>
      <c r="C6" s="87"/>
      <c r="D6" s="87"/>
      <c r="E6" s="87"/>
      <c r="F6" s="87"/>
      <c r="G6" s="87"/>
    </row>
    <row r="7" spans="1:14" ht="15.6">
      <c r="A7" s="169" t="s">
        <v>119</v>
      </c>
      <c r="B7" s="170"/>
      <c r="C7" s="170"/>
      <c r="D7" s="170"/>
      <c r="E7" s="170"/>
      <c r="F7" s="170"/>
      <c r="G7" s="171"/>
      <c r="H7" s="171"/>
      <c r="I7" s="171"/>
      <c r="J7" s="171"/>
      <c r="K7" s="171"/>
      <c r="L7" s="171"/>
      <c r="M7" s="171"/>
    </row>
    <row r="8" spans="1:14" ht="15.6">
      <c r="A8" s="169" t="s">
        <v>152</v>
      </c>
      <c r="B8" s="170"/>
      <c r="C8" s="170"/>
      <c r="D8" s="170"/>
      <c r="E8" s="170"/>
      <c r="F8" s="170"/>
      <c r="G8" s="171"/>
      <c r="H8" s="171"/>
      <c r="I8" s="171"/>
      <c r="J8" s="171"/>
      <c r="K8" s="171"/>
      <c r="L8" s="171"/>
      <c r="M8" s="171"/>
    </row>
    <row r="9" spans="1:14" ht="8.25" customHeight="1"/>
    <row r="10" spans="1:14" ht="8.2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4" ht="15.6">
      <c r="A11" s="7" t="s">
        <v>126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ht="17.25" customHeight="1">
      <c r="A12" s="208" t="s">
        <v>101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</row>
    <row r="13" spans="1:14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4" ht="15.6">
      <c r="A14" s="7" t="s">
        <v>102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4" ht="15.6">
      <c r="A15" s="7" t="s">
        <v>130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4" ht="51.75" customHeight="1">
      <c r="A16" s="195" t="s">
        <v>66</v>
      </c>
      <c r="B16" s="195"/>
      <c r="C16" s="195"/>
      <c r="D16" s="195"/>
      <c r="E16" s="195"/>
      <c r="F16" s="8" t="s">
        <v>65</v>
      </c>
      <c r="G16" s="195" t="s">
        <v>67</v>
      </c>
      <c r="H16" s="195"/>
      <c r="I16" s="195"/>
      <c r="J16" s="195"/>
      <c r="K16" s="195"/>
      <c r="L16" s="8" t="s">
        <v>65</v>
      </c>
      <c r="N16" s="116"/>
    </row>
    <row r="17" spans="1:12">
      <c r="A17" s="196" t="s">
        <v>86</v>
      </c>
      <c r="B17" s="196"/>
      <c r="C17" s="196"/>
      <c r="D17" s="196"/>
      <c r="E17" s="196"/>
      <c r="F17" s="108">
        <f>5*0.1%</f>
        <v>5.0000000000000001E-3</v>
      </c>
      <c r="G17" s="197" t="s">
        <v>1</v>
      </c>
      <c r="H17" s="197"/>
      <c r="I17" s="197"/>
      <c r="J17" s="197"/>
      <c r="K17" s="197"/>
      <c r="L17" s="108">
        <f>1*0.1%</f>
        <v>1E-3</v>
      </c>
    </row>
    <row r="18" spans="1:12">
      <c r="A18" s="196" t="s">
        <v>87</v>
      </c>
      <c r="B18" s="196"/>
      <c r="C18" s="196"/>
      <c r="D18" s="196"/>
      <c r="E18" s="196"/>
      <c r="F18" s="108">
        <f>10.08*0.1%</f>
        <v>1.008E-2</v>
      </c>
      <c r="G18" s="189" t="s">
        <v>88</v>
      </c>
      <c r="H18" s="190"/>
      <c r="I18" s="190"/>
      <c r="J18" s="190"/>
      <c r="K18" s="191"/>
      <c r="L18" s="108">
        <f>3*0.1%</f>
        <v>3.0000000000000001E-3</v>
      </c>
    </row>
    <row r="19" spans="1:12">
      <c r="A19" s="189" t="s">
        <v>100</v>
      </c>
      <c r="B19" s="190"/>
      <c r="C19" s="190"/>
      <c r="D19" s="190"/>
      <c r="E19" s="198"/>
      <c r="F19" s="108">
        <f>6.5*0.1%</f>
        <v>6.5000000000000006E-3</v>
      </c>
      <c r="G19" s="196" t="s">
        <v>89</v>
      </c>
      <c r="H19" s="196"/>
      <c r="I19" s="196"/>
      <c r="J19" s="196"/>
      <c r="K19" s="196"/>
      <c r="L19" s="108">
        <f>1*0.1%</f>
        <v>1E-3</v>
      </c>
    </row>
    <row r="20" spans="1:12">
      <c r="A20" s="196"/>
      <c r="B20" s="196"/>
      <c r="C20" s="196"/>
      <c r="D20" s="196"/>
      <c r="E20" s="196"/>
      <c r="F20" s="99"/>
      <c r="G20" s="210" t="s">
        <v>72</v>
      </c>
      <c r="H20" s="211"/>
      <c r="I20" s="211"/>
      <c r="J20" s="211"/>
      <c r="K20" s="212"/>
      <c r="L20" s="108">
        <f>1*0.1%</f>
        <v>1E-3</v>
      </c>
    </row>
    <row r="21" spans="1:12" ht="15" customHeight="1">
      <c r="A21" s="196"/>
      <c r="B21" s="196"/>
      <c r="C21" s="196"/>
      <c r="D21" s="196"/>
      <c r="E21" s="196"/>
      <c r="F21" s="99"/>
      <c r="G21" s="186" t="s">
        <v>70</v>
      </c>
      <c r="H21" s="187"/>
      <c r="I21" s="187"/>
      <c r="J21" s="187"/>
      <c r="K21" s="188"/>
      <c r="L21" s="108">
        <f>1*0.1%</f>
        <v>1E-3</v>
      </c>
    </row>
    <row r="22" spans="1:12" ht="15" customHeight="1">
      <c r="A22" s="196"/>
      <c r="B22" s="196"/>
      <c r="C22" s="196"/>
      <c r="D22" s="196"/>
      <c r="E22" s="196"/>
      <c r="F22" s="99"/>
      <c r="G22" s="158" t="s">
        <v>90</v>
      </c>
      <c r="H22" s="159"/>
      <c r="I22" s="159"/>
      <c r="J22" s="159"/>
      <c r="K22" s="172"/>
      <c r="L22" s="108">
        <f>0.5*0.1%</f>
        <v>5.0000000000000001E-4</v>
      </c>
    </row>
    <row r="23" spans="1:12">
      <c r="A23" s="196"/>
      <c r="B23" s="196"/>
      <c r="C23" s="196"/>
      <c r="D23" s="196"/>
      <c r="E23" s="196"/>
      <c r="F23" s="99"/>
      <c r="G23" s="186" t="s">
        <v>91</v>
      </c>
      <c r="H23" s="187"/>
      <c r="I23" s="187"/>
      <c r="J23" s="187"/>
      <c r="K23" s="188"/>
      <c r="L23" s="108">
        <f>1*0.1%</f>
        <v>1E-3</v>
      </c>
    </row>
    <row r="24" spans="1:12" ht="28.2" customHeight="1">
      <c r="A24" s="189"/>
      <c r="B24" s="190"/>
      <c r="C24" s="190"/>
      <c r="D24" s="190"/>
      <c r="E24" s="191"/>
      <c r="F24" s="99"/>
      <c r="G24" s="186" t="s">
        <v>133</v>
      </c>
      <c r="H24" s="187"/>
      <c r="I24" s="187"/>
      <c r="J24" s="187"/>
      <c r="K24" s="188"/>
      <c r="L24" s="108">
        <f>1*0.1%</f>
        <v>1E-3</v>
      </c>
    </row>
    <row r="25" spans="1:12">
      <c r="A25" s="189"/>
      <c r="B25" s="190"/>
      <c r="C25" s="190"/>
      <c r="D25" s="190"/>
      <c r="E25" s="191"/>
      <c r="F25" s="100"/>
      <c r="G25" s="186" t="s">
        <v>134</v>
      </c>
      <c r="H25" s="187"/>
      <c r="I25" s="187"/>
      <c r="J25" s="187"/>
      <c r="K25" s="188"/>
      <c r="L25" s="108">
        <f>1*0.1%</f>
        <v>1E-3</v>
      </c>
    </row>
    <row r="26" spans="1:12" ht="15.75" customHeight="1">
      <c r="A26" s="189"/>
      <c r="B26" s="190"/>
      <c r="C26" s="190"/>
      <c r="D26" s="190"/>
      <c r="E26" s="191"/>
      <c r="F26" s="100"/>
      <c r="G26" s="192" t="s">
        <v>92</v>
      </c>
      <c r="H26" s="193"/>
      <c r="I26" s="193"/>
      <c r="J26" s="193"/>
      <c r="K26" s="194"/>
      <c r="L26" s="108">
        <f>2*0.1%</f>
        <v>2E-3</v>
      </c>
    </row>
    <row r="27" spans="1:12" ht="15.75" customHeight="1">
      <c r="A27" s="189"/>
      <c r="B27" s="190"/>
      <c r="C27" s="190"/>
      <c r="D27" s="190"/>
      <c r="E27" s="191"/>
      <c r="F27" s="100"/>
      <c r="G27" s="186" t="s">
        <v>71</v>
      </c>
      <c r="H27" s="187"/>
      <c r="I27" s="187"/>
      <c r="J27" s="187"/>
      <c r="K27" s="188"/>
      <c r="L27" s="108">
        <f>1*0.1%</f>
        <v>1E-3</v>
      </c>
    </row>
    <row r="28" spans="1:12" ht="15" customHeight="1">
      <c r="A28" s="185"/>
      <c r="B28" s="185"/>
      <c r="C28" s="185"/>
      <c r="D28" s="185"/>
      <c r="E28" s="185"/>
      <c r="F28" s="100"/>
      <c r="G28" s="158" t="s">
        <v>93</v>
      </c>
      <c r="H28" s="159"/>
      <c r="I28" s="159"/>
      <c r="J28" s="159"/>
      <c r="K28" s="172"/>
      <c r="L28" s="108">
        <f>4.75*0.1%</f>
        <v>4.7499999999999999E-3</v>
      </c>
    </row>
    <row r="29" spans="1:12" ht="15.75" customHeight="1">
      <c r="A29" s="185"/>
      <c r="B29" s="185"/>
      <c r="C29" s="185"/>
      <c r="D29" s="185"/>
      <c r="E29" s="185"/>
      <c r="F29" s="100"/>
      <c r="G29" s="158" t="s">
        <v>131</v>
      </c>
      <c r="H29" s="159"/>
      <c r="I29" s="159"/>
      <c r="J29" s="159"/>
      <c r="K29" s="172"/>
      <c r="L29" s="108">
        <f>3.5*0.1%</f>
        <v>3.5000000000000001E-3</v>
      </c>
    </row>
    <row r="30" spans="1:12">
      <c r="A30" s="207"/>
      <c r="B30" s="207"/>
      <c r="C30" s="207"/>
      <c r="D30" s="207"/>
      <c r="E30" s="207"/>
      <c r="F30" s="40"/>
      <c r="G30" s="158" t="s">
        <v>94</v>
      </c>
      <c r="H30" s="159"/>
      <c r="I30" s="159"/>
      <c r="J30" s="159"/>
      <c r="K30" s="172"/>
      <c r="L30" s="108">
        <f>2*0.1%</f>
        <v>2E-3</v>
      </c>
    </row>
    <row r="31" spans="1:12" ht="14.4" customHeight="1">
      <c r="A31" s="207"/>
      <c r="B31" s="207"/>
      <c r="C31" s="207"/>
      <c r="D31" s="207"/>
      <c r="E31" s="207"/>
      <c r="F31" s="40"/>
      <c r="G31" s="158" t="s">
        <v>95</v>
      </c>
      <c r="H31" s="159"/>
      <c r="I31" s="159"/>
      <c r="J31" s="159"/>
      <c r="K31" s="172"/>
      <c r="L31" s="108">
        <f>0.5*0.1%</f>
        <v>5.0000000000000001E-4</v>
      </c>
    </row>
    <row r="32" spans="1:12" ht="12.75" customHeight="1">
      <c r="A32" s="207"/>
      <c r="B32" s="207"/>
      <c r="C32" s="207"/>
      <c r="D32" s="207"/>
      <c r="E32" s="207"/>
      <c r="F32" s="40"/>
      <c r="G32" s="158" t="s">
        <v>96</v>
      </c>
      <c r="H32" s="159"/>
      <c r="I32" s="159"/>
      <c r="J32" s="159"/>
      <c r="K32" s="172"/>
      <c r="L32" s="108">
        <f>0.5*0.1%</f>
        <v>5.0000000000000001E-4</v>
      </c>
    </row>
    <row r="33" spans="1:14" ht="15" customHeight="1">
      <c r="A33" s="207"/>
      <c r="B33" s="207"/>
      <c r="C33" s="207"/>
      <c r="D33" s="207"/>
      <c r="E33" s="207"/>
      <c r="F33" s="40"/>
      <c r="G33" s="158" t="s">
        <v>97</v>
      </c>
      <c r="H33" s="159"/>
      <c r="I33" s="159"/>
      <c r="J33" s="159"/>
      <c r="K33" s="172"/>
      <c r="L33" s="108">
        <f>12.5*0.1%</f>
        <v>1.2500000000000001E-2</v>
      </c>
    </row>
    <row r="34" spans="1:14">
      <c r="A34" s="235"/>
      <c r="B34" s="236"/>
      <c r="C34" s="236"/>
      <c r="D34" s="236"/>
      <c r="E34" s="237"/>
      <c r="F34" s="40"/>
      <c r="G34" s="189" t="s">
        <v>132</v>
      </c>
      <c r="H34" s="190"/>
      <c r="I34" s="190"/>
      <c r="J34" s="190"/>
      <c r="K34" s="191"/>
      <c r="L34" s="108">
        <f>2*0.1%</f>
        <v>2E-3</v>
      </c>
    </row>
    <row r="35" spans="1:14" ht="15" customHeight="1">
      <c r="A35" s="235"/>
      <c r="B35" s="236"/>
      <c r="C35" s="236"/>
      <c r="D35" s="236"/>
      <c r="E35" s="237"/>
      <c r="F35" s="40"/>
      <c r="G35" s="189" t="s">
        <v>98</v>
      </c>
      <c r="H35" s="190"/>
      <c r="I35" s="190"/>
      <c r="J35" s="190"/>
      <c r="K35" s="191"/>
      <c r="L35" s="108">
        <f>1*0.1%</f>
        <v>1E-3</v>
      </c>
    </row>
    <row r="36" spans="1:14" ht="15" customHeight="1">
      <c r="A36" s="235"/>
      <c r="B36" s="236"/>
      <c r="C36" s="236"/>
      <c r="D36" s="236"/>
      <c r="E36" s="237"/>
      <c r="F36" s="40"/>
      <c r="G36" s="189" t="s">
        <v>99</v>
      </c>
      <c r="H36" s="190"/>
      <c r="I36" s="190"/>
      <c r="J36" s="190"/>
      <c r="K36" s="225"/>
      <c r="L36" s="108">
        <f>1*0.1%</f>
        <v>1E-3</v>
      </c>
    </row>
    <row r="37" spans="1:14" ht="15" customHeight="1">
      <c r="A37" s="235"/>
      <c r="B37" s="236"/>
      <c r="C37" s="236"/>
      <c r="D37" s="236"/>
      <c r="E37" s="237"/>
      <c r="F37" s="40"/>
      <c r="G37" s="226"/>
      <c r="H37" s="227"/>
      <c r="I37" s="227"/>
      <c r="J37" s="227"/>
      <c r="K37" s="228"/>
      <c r="L37" s="117"/>
      <c r="M37" s="118"/>
    </row>
    <row r="38" spans="1:14" ht="15" customHeight="1">
      <c r="A38" s="165" t="s">
        <v>2</v>
      </c>
      <c r="B38" s="165"/>
      <c r="C38" s="165"/>
      <c r="D38" s="165"/>
      <c r="E38" s="165"/>
      <c r="F38" s="115">
        <v>0.02</v>
      </c>
      <c r="G38" s="233" t="s">
        <v>2</v>
      </c>
      <c r="H38" s="233"/>
      <c r="I38" s="233"/>
      <c r="J38" s="233"/>
      <c r="K38" s="233"/>
      <c r="L38" s="114">
        <v>0.04</v>
      </c>
      <c r="N38" s="116">
        <f>L38+F38+'Услуга №2'!F40+'Услуга №2'!M40+'Работа №1'!F40+'Работа №1'!M40+'Работа №2'!F40+'Работа №2'!M40+'Работа №3'!F40+'Работа №3'!M40+'Работа №4'!F40+'Работа №4'!M40</f>
        <v>0.06</v>
      </c>
    </row>
    <row r="39" spans="1:14" ht="98.25" hidden="1" customHeight="1">
      <c r="A39" s="165" t="s">
        <v>2</v>
      </c>
      <c r="B39" s="165"/>
      <c r="C39" s="165"/>
      <c r="D39" s="165"/>
      <c r="E39" s="69">
        <f>SUM(E17:E28)</f>
        <v>0</v>
      </c>
      <c r="F39" s="136"/>
      <c r="G39" s="166" t="s">
        <v>2</v>
      </c>
      <c r="H39" s="166"/>
      <c r="I39" s="166"/>
      <c r="J39" s="166"/>
      <c r="K39" s="166"/>
      <c r="L39" s="166"/>
      <c r="M39" s="166"/>
    </row>
    <row r="40" spans="1:14" hidden="1">
      <c r="A40" s="179" t="s">
        <v>15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</row>
    <row r="41" spans="1:14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4" ht="80.25" hidden="1" customHeight="1">
      <c r="A42" s="180" t="s">
        <v>6</v>
      </c>
      <c r="B42" s="180"/>
      <c r="C42" s="180"/>
      <c r="D42" s="180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181">
        <v>1</v>
      </c>
      <c r="B43" s="182"/>
      <c r="C43" s="182"/>
      <c r="D43" s="182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4" ht="15" hidden="1" customHeight="1">
      <c r="A44" s="168" t="s">
        <v>39</v>
      </c>
      <c r="B44" s="168"/>
      <c r="C44" s="168"/>
      <c r="D44" s="168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168" t="s">
        <v>40</v>
      </c>
      <c r="B45" s="168"/>
      <c r="C45" s="168"/>
      <c r="D45" s="168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168" t="s">
        <v>41</v>
      </c>
      <c r="B46" s="168"/>
      <c r="C46" s="168"/>
      <c r="D46" s="168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168"/>
      <c r="B47" s="168"/>
      <c r="C47" s="168"/>
      <c r="D47" s="168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4" ht="15" hidden="1" customHeight="1">
      <c r="A48" s="168"/>
      <c r="B48" s="168"/>
      <c r="C48" s="168"/>
      <c r="D48" s="168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173"/>
      <c r="B49" s="174"/>
      <c r="C49" s="174"/>
      <c r="D49" s="174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173"/>
      <c r="B50" s="174"/>
      <c r="C50" s="174"/>
      <c r="D50" s="174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173"/>
      <c r="B51" s="174"/>
      <c r="C51" s="174"/>
      <c r="D51" s="174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173"/>
      <c r="B52" s="174"/>
      <c r="C52" s="174"/>
      <c r="D52" s="174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173"/>
      <c r="B53" s="174"/>
      <c r="C53" s="174"/>
      <c r="D53" s="174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175"/>
      <c r="B54" s="176"/>
      <c r="C54" s="176"/>
      <c r="D54" s="176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175"/>
      <c r="B55" s="176"/>
      <c r="C55" s="176"/>
      <c r="D55" s="176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175"/>
      <c r="B56" s="176"/>
      <c r="C56" s="176"/>
      <c r="D56" s="176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175"/>
      <c r="B57" s="176"/>
      <c r="C57" s="176"/>
      <c r="D57" s="176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175"/>
      <c r="B58" s="176"/>
      <c r="C58" s="176"/>
      <c r="D58" s="176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175"/>
      <c r="B59" s="176"/>
      <c r="C59" s="176"/>
      <c r="D59" s="176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175"/>
      <c r="B60" s="176"/>
      <c r="C60" s="176"/>
      <c r="D60" s="176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175"/>
      <c r="B61" s="176"/>
      <c r="C61" s="176"/>
      <c r="D61" s="176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38" t="s">
        <v>59</v>
      </c>
      <c r="B62" s="238"/>
      <c r="C62" s="238"/>
      <c r="D62" s="23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30" t="s">
        <v>14</v>
      </c>
      <c r="B63" s="231"/>
      <c r="C63" s="231"/>
      <c r="D63" s="231"/>
      <c r="E63" s="231"/>
      <c r="F63" s="231"/>
      <c r="G63" s="231"/>
      <c r="H63" s="231"/>
      <c r="I63" s="231"/>
      <c r="J63" s="231"/>
      <c r="K63" s="232"/>
      <c r="L63" s="137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34" t="s">
        <v>76</v>
      </c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4"/>
    </row>
    <row r="67" spans="1:14" ht="69.599999999999994">
      <c r="A67" s="229" t="s">
        <v>3</v>
      </c>
      <c r="B67" s="229"/>
      <c r="C67" s="229"/>
      <c r="D67" s="229"/>
      <c r="E67" s="8" t="s">
        <v>4</v>
      </c>
      <c r="F67" s="9" t="s">
        <v>0</v>
      </c>
      <c r="G67" s="34" t="s">
        <v>52</v>
      </c>
      <c r="H67" s="34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04">
        <v>1</v>
      </c>
      <c r="B68" s="205"/>
      <c r="C68" s="205"/>
      <c r="D68" s="205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5">
        <v>7</v>
      </c>
      <c r="K68" s="36">
        <v>8</v>
      </c>
      <c r="L68" s="109"/>
      <c r="M68" s="27"/>
    </row>
    <row r="69" spans="1:14" ht="40.200000000000003" customHeight="1" thickBot="1">
      <c r="A69" s="206" t="s">
        <v>66</v>
      </c>
      <c r="B69" s="206"/>
      <c r="C69" s="206"/>
      <c r="D69" s="206"/>
      <c r="E69" s="37">
        <f>G69/12/F69</f>
        <v>41909.958333333328</v>
      </c>
      <c r="F69" s="37">
        <v>0.02</v>
      </c>
      <c r="G69" s="131">
        <v>10058.39</v>
      </c>
      <c r="H69" s="37">
        <v>13096.03</v>
      </c>
      <c r="I69" s="44">
        <v>1</v>
      </c>
      <c r="J69" s="37">
        <f>H69/I69</f>
        <v>13096.03</v>
      </c>
      <c r="K69" s="57">
        <f>H69/13096029*100</f>
        <v>0.10000000763590246</v>
      </c>
      <c r="L69" s="110"/>
      <c r="M69" s="15"/>
    </row>
    <row r="70" spans="1:14" ht="15" thickBot="1">
      <c r="A70" s="162" t="s">
        <v>47</v>
      </c>
      <c r="B70" s="162"/>
      <c r="C70" s="162"/>
      <c r="D70" s="162"/>
      <c r="E70" s="62"/>
      <c r="F70" s="134"/>
      <c r="G70" s="134"/>
      <c r="H70" s="66">
        <f>H69</f>
        <v>13096.03</v>
      </c>
      <c r="I70" s="47"/>
      <c r="J70" s="63">
        <f>J69</f>
        <v>13096.03</v>
      </c>
      <c r="K70" s="45"/>
      <c r="L70" s="45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157" t="s">
        <v>85</v>
      </c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1:14" ht="73.5" customHeight="1">
      <c r="A74" s="229" t="s">
        <v>17</v>
      </c>
      <c r="B74" s="229"/>
      <c r="C74" s="229"/>
      <c r="D74" s="229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6"/>
    </row>
    <row r="75" spans="1:14" ht="18.75" customHeight="1">
      <c r="A75" s="177">
        <v>1</v>
      </c>
      <c r="B75" s="178"/>
      <c r="C75" s="178"/>
      <c r="D75" s="178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167" t="s">
        <v>51</v>
      </c>
      <c r="B76" s="167"/>
      <c r="C76" s="167"/>
      <c r="D76" s="167"/>
      <c r="E76" s="29">
        <v>5</v>
      </c>
      <c r="F76" s="28">
        <v>12</v>
      </c>
      <c r="G76" s="37">
        <v>687.02</v>
      </c>
      <c r="H76" s="131">
        <f>41221.2*0.1%</f>
        <v>41.221199999999996</v>
      </c>
      <c r="I76" s="44">
        <v>1</v>
      </c>
      <c r="J76" s="37">
        <f>H76/I76</f>
        <v>41.221199999999996</v>
      </c>
      <c r="K76" s="10"/>
      <c r="L76" s="10"/>
      <c r="M76" s="16"/>
    </row>
    <row r="77" spans="1:14" ht="15" thickBot="1">
      <c r="A77" s="167" t="s">
        <v>60</v>
      </c>
      <c r="B77" s="167"/>
      <c r="C77" s="167"/>
      <c r="D77" s="167"/>
      <c r="E77" s="29">
        <v>1</v>
      </c>
      <c r="F77" s="29">
        <v>12</v>
      </c>
      <c r="G77" s="37">
        <v>3743.23</v>
      </c>
      <c r="H77" s="131">
        <f>44918.8*0.1%</f>
        <v>44.918800000000005</v>
      </c>
      <c r="I77" s="44">
        <v>1</v>
      </c>
      <c r="J77" s="37">
        <f>H77/I77</f>
        <v>44.918800000000005</v>
      </c>
      <c r="K77" s="10"/>
      <c r="L77" s="10"/>
      <c r="M77" s="10"/>
    </row>
    <row r="78" spans="1:14" ht="15" thickBot="1">
      <c r="A78" s="213" t="s">
        <v>25</v>
      </c>
      <c r="B78" s="214"/>
      <c r="C78" s="214"/>
      <c r="D78" s="214"/>
      <c r="E78" s="53"/>
      <c r="F78" s="53"/>
      <c r="G78" s="53"/>
      <c r="H78" s="66">
        <f>SUM(H76:H77)</f>
        <v>86.14</v>
      </c>
      <c r="I78" s="47"/>
      <c r="J78" s="54">
        <f>SUM(J76:J77)</f>
        <v>86.14</v>
      </c>
      <c r="K78" s="10"/>
      <c r="L78" s="10"/>
      <c r="M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157" t="s">
        <v>16</v>
      </c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</row>
    <row r="81" spans="1:13" ht="73.5" customHeight="1">
      <c r="A81" s="229" t="s">
        <v>17</v>
      </c>
      <c r="B81" s="229"/>
      <c r="C81" s="229"/>
      <c r="D81" s="229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3" ht="18.75" customHeight="1">
      <c r="A82" s="177">
        <v>1</v>
      </c>
      <c r="B82" s="178"/>
      <c r="C82" s="178"/>
      <c r="D82" s="178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3">
      <c r="A83" s="167" t="s">
        <v>19</v>
      </c>
      <c r="B83" s="167"/>
      <c r="C83" s="167"/>
      <c r="D83" s="167"/>
      <c r="E83" s="29" t="s">
        <v>22</v>
      </c>
      <c r="F83" s="28">
        <f>H83/G83</f>
        <v>7.1414044658617573E-2</v>
      </c>
      <c r="G83" s="37">
        <v>6441.31</v>
      </c>
      <c r="H83" s="131">
        <f>460000*0.1%</f>
        <v>460</v>
      </c>
      <c r="I83" s="44">
        <v>1</v>
      </c>
      <c r="J83" s="37">
        <f t="shared" ref="J83:J88" si="2">H83/I83</f>
        <v>460</v>
      </c>
      <c r="K83" s="10"/>
      <c r="L83" s="10"/>
      <c r="M83" s="16"/>
    </row>
    <row r="84" spans="1:13">
      <c r="A84" s="167" t="s">
        <v>20</v>
      </c>
      <c r="B84" s="167"/>
      <c r="C84" s="167"/>
      <c r="D84" s="167"/>
      <c r="E84" s="29" t="s">
        <v>23</v>
      </c>
      <c r="F84" s="29">
        <f>H84/G84</f>
        <v>0.77056127917844841</v>
      </c>
      <c r="G84" s="37">
        <v>1690.46</v>
      </c>
      <c r="H84" s="131">
        <f>1302603.02*0.1%</f>
        <v>1302.60302</v>
      </c>
      <c r="I84" s="44">
        <v>1</v>
      </c>
      <c r="J84" s="37">
        <f t="shared" si="2"/>
        <v>1302.60302</v>
      </c>
      <c r="K84" s="10"/>
      <c r="L84" s="10"/>
      <c r="M84" s="10"/>
    </row>
    <row r="85" spans="1:13">
      <c r="A85" s="167" t="s">
        <v>49</v>
      </c>
      <c r="B85" s="167"/>
      <c r="C85" s="167"/>
      <c r="D85" s="167"/>
      <c r="E85" s="29" t="s">
        <v>24</v>
      </c>
      <c r="F85" s="29">
        <f t="shared" ref="F85:F86" si="3">H85/G85</f>
        <v>3.662109375</v>
      </c>
      <c r="G85" s="37">
        <v>40.96</v>
      </c>
      <c r="H85" s="131">
        <f>150000*0.1%</f>
        <v>150</v>
      </c>
      <c r="I85" s="44">
        <v>1</v>
      </c>
      <c r="J85" s="37">
        <f t="shared" si="2"/>
        <v>150</v>
      </c>
      <c r="K85" s="10"/>
      <c r="L85" s="10"/>
      <c r="M85" s="10"/>
    </row>
    <row r="86" spans="1:13">
      <c r="A86" s="239" t="s">
        <v>21</v>
      </c>
      <c r="B86" s="239"/>
      <c r="C86" s="239"/>
      <c r="D86" s="239"/>
      <c r="E86" s="52" t="s">
        <v>24</v>
      </c>
      <c r="F86" s="29">
        <f t="shared" si="3"/>
        <v>2.774518021793797</v>
      </c>
      <c r="G86" s="46">
        <v>59.65</v>
      </c>
      <c r="H86" s="133">
        <f>165500*0.1%</f>
        <v>165.5</v>
      </c>
      <c r="I86" s="44">
        <v>1</v>
      </c>
      <c r="J86" s="46">
        <f t="shared" si="2"/>
        <v>165.5</v>
      </c>
      <c r="K86" s="10"/>
      <c r="L86" s="10"/>
      <c r="M86" s="10"/>
    </row>
    <row r="87" spans="1:13" ht="43.8" customHeight="1">
      <c r="A87" s="219" t="s">
        <v>109</v>
      </c>
      <c r="B87" s="220"/>
      <c r="C87" s="220"/>
      <c r="D87" s="221"/>
      <c r="E87" s="50" t="s">
        <v>27</v>
      </c>
      <c r="F87" s="126">
        <v>1</v>
      </c>
      <c r="G87" s="46"/>
      <c r="H87" s="130">
        <f>6796.98*0.1%</f>
        <v>6.7969799999999996</v>
      </c>
      <c r="I87" s="44">
        <v>1</v>
      </c>
      <c r="J87" s="46">
        <f t="shared" si="2"/>
        <v>6.7969799999999996</v>
      </c>
      <c r="K87" s="10"/>
      <c r="L87" s="10"/>
      <c r="M87" s="10"/>
    </row>
    <row r="88" spans="1:13" ht="15" thickBot="1">
      <c r="A88" s="219" t="s">
        <v>104</v>
      </c>
      <c r="B88" s="220"/>
      <c r="C88" s="220"/>
      <c r="D88" s="221"/>
      <c r="E88" s="50" t="s">
        <v>27</v>
      </c>
      <c r="F88" s="25">
        <v>1</v>
      </c>
      <c r="G88" s="8"/>
      <c r="H88" s="130">
        <f>27000*0.1%</f>
        <v>27</v>
      </c>
      <c r="I88" s="44">
        <v>1</v>
      </c>
      <c r="J88" s="46">
        <f t="shared" si="2"/>
        <v>27</v>
      </c>
      <c r="K88" s="10"/>
      <c r="L88" s="10"/>
      <c r="M88" s="10"/>
    </row>
    <row r="89" spans="1:13" ht="15" thickBot="1">
      <c r="A89" s="213" t="s">
        <v>25</v>
      </c>
      <c r="B89" s="214"/>
      <c r="C89" s="214"/>
      <c r="D89" s="214"/>
      <c r="E89" s="53"/>
      <c r="F89" s="53"/>
      <c r="G89" s="53"/>
      <c r="H89" s="66">
        <f>SUM(H83:H88)</f>
        <v>2111.9</v>
      </c>
      <c r="I89" s="47"/>
      <c r="J89" s="54">
        <f>SUM(J83:J88)</f>
        <v>2111.9</v>
      </c>
      <c r="K89" s="10"/>
      <c r="L89" s="10"/>
      <c r="M89" s="10"/>
    </row>
    <row r="90" spans="1:13" ht="15.75" customHeight="1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10"/>
      <c r="L90" s="10"/>
      <c r="M90" s="10"/>
    </row>
    <row r="91" spans="1:13">
      <c r="A91" s="157" t="s">
        <v>26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</row>
    <row r="92" spans="1:13" ht="69.599999999999994">
      <c r="A92" s="215" t="s">
        <v>28</v>
      </c>
      <c r="B92" s="215"/>
      <c r="C92" s="215"/>
      <c r="D92" s="215"/>
      <c r="E92" s="25" t="s">
        <v>7</v>
      </c>
      <c r="F92" s="25" t="s">
        <v>18</v>
      </c>
      <c r="G92" s="8" t="s">
        <v>48</v>
      </c>
      <c r="H92" s="8" t="s">
        <v>74</v>
      </c>
      <c r="I92" s="8" t="s">
        <v>69</v>
      </c>
      <c r="J92" s="10"/>
      <c r="K92" s="10"/>
      <c r="L92" s="10"/>
    </row>
    <row r="93" spans="1:13" ht="15" customHeight="1">
      <c r="A93" s="219" t="s">
        <v>105</v>
      </c>
      <c r="B93" s="220"/>
      <c r="C93" s="220"/>
      <c r="D93" s="221"/>
      <c r="E93" s="50" t="s">
        <v>27</v>
      </c>
      <c r="F93" s="50">
        <v>1</v>
      </c>
      <c r="G93" s="130">
        <f>136560*0.1%</f>
        <v>136.56</v>
      </c>
      <c r="H93" s="44">
        <v>1</v>
      </c>
      <c r="I93" s="90">
        <f>G93/H93</f>
        <v>136.56</v>
      </c>
      <c r="J93" s="10"/>
      <c r="K93" s="10"/>
      <c r="L93" s="10"/>
    </row>
    <row r="94" spans="1:13" ht="15" customHeight="1">
      <c r="A94" s="219" t="s">
        <v>106</v>
      </c>
      <c r="B94" s="220"/>
      <c r="C94" s="220"/>
      <c r="D94" s="221"/>
      <c r="E94" s="50" t="s">
        <v>27</v>
      </c>
      <c r="F94" s="50">
        <v>1</v>
      </c>
      <c r="G94" s="130">
        <f>99000*0.1%</f>
        <v>99</v>
      </c>
      <c r="H94" s="44">
        <v>1</v>
      </c>
      <c r="I94" s="90">
        <f t="shared" ref="I94:I98" si="4">G94/H94</f>
        <v>99</v>
      </c>
      <c r="J94" s="10"/>
      <c r="K94" s="10"/>
      <c r="L94" s="10"/>
    </row>
    <row r="95" spans="1:13" ht="15" customHeight="1">
      <c r="A95" s="219" t="s">
        <v>107</v>
      </c>
      <c r="B95" s="220"/>
      <c r="C95" s="220"/>
      <c r="D95" s="221"/>
      <c r="E95" s="50" t="s">
        <v>27</v>
      </c>
      <c r="F95" s="50">
        <v>1</v>
      </c>
      <c r="G95" s="130">
        <f>9600*0.1%</f>
        <v>9.6</v>
      </c>
      <c r="H95" s="44">
        <v>1</v>
      </c>
      <c r="I95" s="90">
        <f t="shared" si="4"/>
        <v>9.6</v>
      </c>
      <c r="J95" s="10"/>
      <c r="K95" s="10"/>
      <c r="L95" s="10"/>
    </row>
    <row r="96" spans="1:13" ht="15" customHeight="1">
      <c r="A96" s="216" t="s">
        <v>108</v>
      </c>
      <c r="B96" s="217"/>
      <c r="C96" s="217"/>
      <c r="D96" s="218"/>
      <c r="E96" s="50" t="s">
        <v>27</v>
      </c>
      <c r="F96" s="50">
        <v>1</v>
      </c>
      <c r="G96" s="131">
        <f>40000*0.1%</f>
        <v>40</v>
      </c>
      <c r="H96" s="44">
        <v>1</v>
      </c>
      <c r="I96" s="90">
        <f t="shared" si="4"/>
        <v>40</v>
      </c>
      <c r="J96" s="10"/>
      <c r="K96" s="10"/>
      <c r="L96" s="10"/>
    </row>
    <row r="97" spans="1:13" ht="28.5" customHeight="1">
      <c r="A97" s="219" t="s">
        <v>109</v>
      </c>
      <c r="B97" s="220"/>
      <c r="C97" s="220"/>
      <c r="D97" s="221"/>
      <c r="E97" s="50" t="s">
        <v>27</v>
      </c>
      <c r="F97" s="50">
        <v>1</v>
      </c>
      <c r="G97" s="132">
        <f>57196.86*0.1%</f>
        <v>57.196860000000001</v>
      </c>
      <c r="H97" s="44">
        <v>1</v>
      </c>
      <c r="I97" s="90">
        <f>G97/H97</f>
        <v>57.196860000000001</v>
      </c>
      <c r="J97" s="10"/>
      <c r="K97" s="15"/>
      <c r="L97" s="15"/>
    </row>
    <row r="98" spans="1:13" ht="16.5" customHeight="1" thickBot="1">
      <c r="A98" s="222" t="s">
        <v>135</v>
      </c>
      <c r="B98" s="223"/>
      <c r="C98" s="223"/>
      <c r="D98" s="224"/>
      <c r="E98" s="50" t="s">
        <v>27</v>
      </c>
      <c r="F98" s="50">
        <v>1</v>
      </c>
      <c r="G98" s="131">
        <f>3072*0.1%</f>
        <v>3.0720000000000001</v>
      </c>
      <c r="H98" s="44">
        <v>1</v>
      </c>
      <c r="I98" s="90">
        <f t="shared" si="4"/>
        <v>3.0720000000000001</v>
      </c>
      <c r="J98" s="10"/>
      <c r="K98" s="10"/>
      <c r="L98" s="10"/>
    </row>
    <row r="99" spans="1:13" ht="15" customHeight="1" thickBot="1">
      <c r="A99" s="139" t="s">
        <v>54</v>
      </c>
      <c r="B99" s="140"/>
      <c r="C99" s="140"/>
      <c r="D99" s="140"/>
      <c r="E99" s="140"/>
      <c r="F99" s="140"/>
      <c r="G99" s="67">
        <f>SUM(G93:G98)</f>
        <v>345.42885999999999</v>
      </c>
      <c r="I99" s="32">
        <f>SUM(I93:I98)</f>
        <v>345.42885999999999</v>
      </c>
      <c r="K99" s="10"/>
      <c r="L99" s="10"/>
      <c r="M99" s="10"/>
    </row>
    <row r="100" spans="1:13" ht="37.200000000000003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1:13" ht="15" customHeight="1">
      <c r="A101" s="157" t="s">
        <v>50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</row>
    <row r="102" spans="1:13" ht="69.599999999999994">
      <c r="A102" s="160" t="s">
        <v>28</v>
      </c>
      <c r="B102" s="161"/>
      <c r="C102" s="161"/>
      <c r="D102" s="161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3" ht="44.4" customHeight="1">
      <c r="A103" s="158" t="s">
        <v>136</v>
      </c>
      <c r="B103" s="159"/>
      <c r="C103" s="159"/>
      <c r="D103" s="159"/>
      <c r="E103" s="50" t="s">
        <v>27</v>
      </c>
      <c r="F103" s="50">
        <v>1</v>
      </c>
      <c r="G103" s="130">
        <f>6000*0.1%</f>
        <v>6</v>
      </c>
      <c r="H103" s="44">
        <v>1</v>
      </c>
      <c r="I103" s="91">
        <f>G103/H103</f>
        <v>6</v>
      </c>
      <c r="J103" s="10"/>
      <c r="K103" s="10"/>
      <c r="L103" s="10"/>
      <c r="M103" s="10"/>
    </row>
    <row r="104" spans="1:13" ht="15" customHeight="1">
      <c r="A104" s="158" t="s">
        <v>110</v>
      </c>
      <c r="B104" s="159"/>
      <c r="C104" s="159"/>
      <c r="D104" s="159"/>
      <c r="E104" s="50" t="s">
        <v>27</v>
      </c>
      <c r="F104" s="50">
        <v>1</v>
      </c>
      <c r="G104" s="130">
        <f>34580*0.1%</f>
        <v>34.58</v>
      </c>
      <c r="H104" s="44">
        <v>1</v>
      </c>
      <c r="I104" s="91">
        <f t="shared" ref="I104:I108" si="5">G104/H104</f>
        <v>34.58</v>
      </c>
      <c r="J104" s="10"/>
      <c r="K104" s="10"/>
      <c r="L104" s="10"/>
      <c r="M104" s="10"/>
    </row>
    <row r="105" spans="1:13" ht="29.4" customHeight="1">
      <c r="A105" s="158" t="s">
        <v>111</v>
      </c>
      <c r="B105" s="159"/>
      <c r="C105" s="159"/>
      <c r="D105" s="159"/>
      <c r="E105" s="50" t="s">
        <v>27</v>
      </c>
      <c r="F105" s="50">
        <v>1</v>
      </c>
      <c r="G105" s="130">
        <f>117715*0.1%</f>
        <v>117.715</v>
      </c>
      <c r="H105" s="44">
        <v>1</v>
      </c>
      <c r="I105" s="91">
        <f t="shared" si="5"/>
        <v>117.715</v>
      </c>
      <c r="J105" s="10"/>
      <c r="K105" s="10"/>
      <c r="L105" s="10"/>
      <c r="M105" s="10"/>
    </row>
    <row r="106" spans="1:13" ht="27" customHeight="1">
      <c r="A106" s="158" t="s">
        <v>112</v>
      </c>
      <c r="B106" s="159"/>
      <c r="C106" s="159"/>
      <c r="D106" s="159"/>
      <c r="E106" s="50" t="s">
        <v>27</v>
      </c>
      <c r="F106" s="50">
        <v>1</v>
      </c>
      <c r="G106" s="130">
        <f>190481.13*0.1%</f>
        <v>190.48113000000001</v>
      </c>
      <c r="H106" s="44">
        <v>1</v>
      </c>
      <c r="I106" s="91">
        <f t="shared" si="5"/>
        <v>190.48113000000001</v>
      </c>
      <c r="J106" s="10"/>
      <c r="K106" s="10"/>
      <c r="L106" s="10"/>
      <c r="M106" s="10"/>
    </row>
    <row r="107" spans="1:13" ht="18" customHeight="1">
      <c r="A107" s="158" t="s">
        <v>137</v>
      </c>
      <c r="B107" s="159"/>
      <c r="C107" s="159"/>
      <c r="D107" s="159"/>
      <c r="E107" s="50" t="s">
        <v>27</v>
      </c>
      <c r="F107" s="50">
        <v>1</v>
      </c>
      <c r="G107" s="132">
        <f>17512.01*0.1%</f>
        <v>17.51201</v>
      </c>
      <c r="H107" s="44">
        <v>1</v>
      </c>
      <c r="I107" s="91">
        <f t="shared" si="5"/>
        <v>17.51201</v>
      </c>
      <c r="J107" s="10"/>
      <c r="K107" s="10"/>
      <c r="L107" s="10"/>
      <c r="M107" s="10"/>
    </row>
    <row r="108" spans="1:13" ht="42" customHeight="1" thickBot="1">
      <c r="A108" s="158" t="s">
        <v>113</v>
      </c>
      <c r="B108" s="159"/>
      <c r="C108" s="159"/>
      <c r="D108" s="159"/>
      <c r="E108" s="50" t="s">
        <v>27</v>
      </c>
      <c r="F108" s="50">
        <v>1</v>
      </c>
      <c r="G108" s="132">
        <f>6720*0.1%</f>
        <v>6.72</v>
      </c>
      <c r="H108" s="44">
        <v>1</v>
      </c>
      <c r="I108" s="91">
        <f t="shared" si="5"/>
        <v>6.72</v>
      </c>
      <c r="J108" s="10"/>
      <c r="K108" s="10"/>
      <c r="L108" s="10"/>
      <c r="M108" s="10"/>
    </row>
    <row r="109" spans="1:13" ht="20.25" customHeight="1" thickBot="1">
      <c r="A109" s="163" t="s">
        <v>53</v>
      </c>
      <c r="B109" s="164"/>
      <c r="C109" s="164"/>
      <c r="D109" s="164"/>
      <c r="E109" s="88"/>
      <c r="F109" s="49"/>
      <c r="G109" s="66">
        <f>SUM(G103:G108)</f>
        <v>373.00814000000003</v>
      </c>
      <c r="H109" s="45"/>
      <c r="I109" s="32">
        <f>SUM(I103:I108)</f>
        <v>373.00814000000003</v>
      </c>
      <c r="J109" s="10"/>
      <c r="K109" s="33"/>
      <c r="L109" s="33"/>
      <c r="M109" s="10"/>
    </row>
    <row r="110" spans="1:13" s="76" customFormat="1" ht="20.25" customHeight="1">
      <c r="A110" s="77"/>
      <c r="B110" s="77"/>
      <c r="C110" s="77"/>
      <c r="D110" s="77"/>
      <c r="E110" s="77"/>
      <c r="F110" s="77"/>
      <c r="G110" s="77"/>
      <c r="H110" s="77"/>
      <c r="I110" s="71"/>
      <c r="J110" s="72"/>
      <c r="K110" s="73"/>
      <c r="L110" s="73"/>
      <c r="M110" s="78"/>
    </row>
    <row r="111" spans="1:13" ht="15" customHeight="1">
      <c r="A111" s="157" t="s">
        <v>138</v>
      </c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</row>
    <row r="112" spans="1:13" ht="55.8">
      <c r="A112" s="160" t="s">
        <v>28</v>
      </c>
      <c r="B112" s="161"/>
      <c r="C112" s="161"/>
      <c r="D112" s="161"/>
      <c r="E112" s="8" t="s">
        <v>75</v>
      </c>
      <c r="F112" s="8" t="s">
        <v>48</v>
      </c>
      <c r="G112" s="8" t="s">
        <v>74</v>
      </c>
      <c r="H112" s="8" t="s">
        <v>69</v>
      </c>
      <c r="I112" s="10"/>
      <c r="J112" s="10"/>
      <c r="K112" s="10"/>
      <c r="L112" s="10"/>
    </row>
    <row r="113" spans="1:15" ht="43.8" customHeight="1" thickBot="1">
      <c r="A113" s="158" t="s">
        <v>139</v>
      </c>
      <c r="B113" s="159"/>
      <c r="C113" s="159"/>
      <c r="D113" s="159"/>
      <c r="E113" s="50" t="s">
        <v>27</v>
      </c>
      <c r="F113" s="130">
        <f>7870*0.1%</f>
        <v>7.87</v>
      </c>
      <c r="G113" s="44">
        <v>1</v>
      </c>
      <c r="H113" s="91">
        <f t="shared" ref="H113" si="6">F113/G113</f>
        <v>7.87</v>
      </c>
      <c r="I113" s="10"/>
      <c r="J113" s="10"/>
      <c r="K113" s="10"/>
      <c r="L113" s="10"/>
    </row>
    <row r="114" spans="1:15" ht="20.25" customHeight="1" thickBot="1">
      <c r="A114" s="163" t="s">
        <v>140</v>
      </c>
      <c r="B114" s="164"/>
      <c r="C114" s="164"/>
      <c r="D114" s="164"/>
      <c r="E114" s="49"/>
      <c r="F114" s="66">
        <f>SUM(F113:F113)</f>
        <v>7.87</v>
      </c>
      <c r="G114" s="45"/>
      <c r="H114" s="51">
        <f>SUM(H113:H113)</f>
        <v>7.87</v>
      </c>
      <c r="I114" s="10"/>
      <c r="J114" s="33"/>
      <c r="K114" s="10"/>
      <c r="L114" s="10"/>
    </row>
    <row r="115" spans="1:15" s="76" customFormat="1" ht="20.25" customHeight="1">
      <c r="A115" s="77"/>
      <c r="B115" s="77"/>
      <c r="C115" s="77"/>
      <c r="D115" s="77"/>
      <c r="E115" s="127"/>
      <c r="F115" s="71"/>
      <c r="G115" s="72"/>
      <c r="H115" s="73"/>
      <c r="I115" s="74"/>
      <c r="J115" s="75"/>
      <c r="K115" s="74"/>
      <c r="L115" s="74"/>
    </row>
    <row r="116" spans="1:15" ht="15" customHeight="1">
      <c r="A116" s="157" t="s">
        <v>141</v>
      </c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</row>
    <row r="117" spans="1:15" ht="55.8">
      <c r="A117" s="160" t="s">
        <v>28</v>
      </c>
      <c r="B117" s="161"/>
      <c r="C117" s="161"/>
      <c r="D117" s="161"/>
      <c r="E117" s="8" t="s">
        <v>75</v>
      </c>
      <c r="F117" s="8" t="s">
        <v>48</v>
      </c>
      <c r="G117" s="8" t="s">
        <v>74</v>
      </c>
      <c r="H117" s="8" t="s">
        <v>69</v>
      </c>
      <c r="I117" s="10"/>
      <c r="J117" s="10"/>
      <c r="K117" s="10"/>
      <c r="L117" s="10"/>
    </row>
    <row r="118" spans="1:15" ht="15" thickBot="1">
      <c r="A118" s="158" t="s">
        <v>142</v>
      </c>
      <c r="B118" s="159"/>
      <c r="C118" s="159"/>
      <c r="D118" s="159"/>
      <c r="E118" s="50" t="s">
        <v>27</v>
      </c>
      <c r="F118" s="130">
        <f>29750*0.1%</f>
        <v>29.75</v>
      </c>
      <c r="G118" s="44">
        <v>1</v>
      </c>
      <c r="H118" s="91">
        <f t="shared" ref="H118" si="7">F118/G118</f>
        <v>29.75</v>
      </c>
      <c r="I118" s="10"/>
      <c r="J118" s="10"/>
      <c r="K118" s="10"/>
      <c r="L118" s="10"/>
    </row>
    <row r="119" spans="1:15" ht="20.25" customHeight="1" thickBot="1">
      <c r="A119" s="163" t="s">
        <v>53</v>
      </c>
      <c r="B119" s="164"/>
      <c r="C119" s="164"/>
      <c r="D119" s="164"/>
      <c r="E119" s="49"/>
      <c r="F119" s="66">
        <f>SUM(F118:F118)</f>
        <v>29.75</v>
      </c>
      <c r="G119" s="45"/>
      <c r="H119" s="51">
        <f>SUM(H118:H118)</f>
        <v>29.75</v>
      </c>
      <c r="I119" s="10"/>
      <c r="J119" s="33"/>
      <c r="K119" s="10"/>
      <c r="L119" s="10"/>
    </row>
    <row r="120" spans="1:15" ht="25.2" customHeight="1">
      <c r="A120" s="79"/>
      <c r="B120" s="79"/>
      <c r="C120" s="79"/>
      <c r="D120" s="79"/>
      <c r="E120" s="80"/>
      <c r="F120" s="81"/>
      <c r="G120" s="82"/>
      <c r="H120" s="81"/>
      <c r="I120" s="83"/>
      <c r="J120" s="64"/>
      <c r="K120" s="84"/>
      <c r="L120" s="84"/>
      <c r="M120" s="48"/>
    </row>
    <row r="121" spans="1:15" ht="15" customHeight="1">
      <c r="A121" s="157" t="s">
        <v>148</v>
      </c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</row>
    <row r="122" spans="1:15" ht="55.8">
      <c r="A122" s="160" t="s">
        <v>28</v>
      </c>
      <c r="B122" s="161"/>
      <c r="C122" s="161"/>
      <c r="D122" s="161"/>
      <c r="E122" s="8" t="s">
        <v>75</v>
      </c>
      <c r="F122" s="8" t="s">
        <v>48</v>
      </c>
      <c r="G122" s="8" t="s">
        <v>74</v>
      </c>
      <c r="H122" s="8" t="s">
        <v>69</v>
      </c>
      <c r="I122" s="10"/>
      <c r="J122" s="10"/>
      <c r="K122" s="10"/>
      <c r="L122" s="10"/>
    </row>
    <row r="123" spans="1:15">
      <c r="A123" s="158" t="s">
        <v>147</v>
      </c>
      <c r="B123" s="159"/>
      <c r="C123" s="159"/>
      <c r="D123" s="159"/>
      <c r="E123" s="50" t="s">
        <v>27</v>
      </c>
      <c r="F123" s="130">
        <f>4500*0.1%</f>
        <v>4.5</v>
      </c>
      <c r="G123" s="44">
        <v>1</v>
      </c>
      <c r="H123" s="91">
        <f t="shared" ref="H123:H124" si="8">F123/G123</f>
        <v>4.5</v>
      </c>
      <c r="I123" s="10"/>
      <c r="J123" s="10"/>
      <c r="K123" s="10"/>
      <c r="L123" s="10"/>
    </row>
    <row r="124" spans="1:15" ht="15.75" customHeight="1" thickBot="1">
      <c r="A124" s="158" t="s">
        <v>149</v>
      </c>
      <c r="B124" s="159"/>
      <c r="C124" s="159"/>
      <c r="D124" s="159"/>
      <c r="E124" s="50" t="s">
        <v>27</v>
      </c>
      <c r="F124" s="130">
        <f>17483*0.1%</f>
        <v>17.483000000000001</v>
      </c>
      <c r="G124" s="44">
        <v>1</v>
      </c>
      <c r="H124" s="91">
        <f t="shared" si="8"/>
        <v>17.483000000000001</v>
      </c>
      <c r="I124" s="10"/>
      <c r="J124" s="10"/>
      <c r="K124" s="10"/>
      <c r="L124" s="10"/>
    </row>
    <row r="125" spans="1:15" ht="20.25" customHeight="1" thickBot="1">
      <c r="A125" s="163" t="s">
        <v>53</v>
      </c>
      <c r="B125" s="164"/>
      <c r="C125" s="164"/>
      <c r="D125" s="164"/>
      <c r="E125" s="49"/>
      <c r="F125" s="66">
        <f>SUM(F123:F124)</f>
        <v>21.983000000000001</v>
      </c>
      <c r="G125" s="45"/>
      <c r="H125" s="51">
        <f>SUM(H123:H124)</f>
        <v>21.983000000000001</v>
      </c>
      <c r="I125" s="10"/>
      <c r="J125" s="33"/>
      <c r="K125" s="10"/>
      <c r="L125" s="10"/>
    </row>
    <row r="126" spans="1:15" ht="25.2" customHeight="1">
      <c r="A126" s="79"/>
      <c r="B126" s="79"/>
      <c r="C126" s="79"/>
      <c r="D126" s="79"/>
      <c r="E126" s="80"/>
      <c r="F126" s="81"/>
      <c r="G126" s="82"/>
      <c r="H126" s="81"/>
      <c r="I126" s="83"/>
      <c r="J126" s="64"/>
      <c r="K126" s="84"/>
      <c r="L126" s="84"/>
      <c r="M126" s="48"/>
    </row>
    <row r="127" spans="1:15" ht="15.6">
      <c r="A127" s="234" t="s">
        <v>68</v>
      </c>
      <c r="B127" s="234"/>
      <c r="C127" s="234"/>
      <c r="D127" s="234"/>
      <c r="E127" s="234"/>
      <c r="F127" s="234"/>
      <c r="G127" s="234"/>
      <c r="H127" s="234"/>
      <c r="I127" s="234"/>
      <c r="J127" s="234"/>
      <c r="K127" s="234"/>
      <c r="L127" s="234"/>
      <c r="M127" s="234"/>
    </row>
    <row r="128" spans="1:15" ht="69.599999999999994">
      <c r="A128" s="229" t="s">
        <v>3</v>
      </c>
      <c r="B128" s="229"/>
      <c r="C128" s="229"/>
      <c r="D128" s="229"/>
      <c r="E128" s="8" t="s">
        <v>4</v>
      </c>
      <c r="F128" s="9" t="s">
        <v>0</v>
      </c>
      <c r="G128" s="34" t="s">
        <v>52</v>
      </c>
      <c r="H128" s="34" t="s">
        <v>44</v>
      </c>
      <c r="I128" s="8" t="s">
        <v>63</v>
      </c>
      <c r="J128" s="8" t="s">
        <v>69</v>
      </c>
      <c r="K128" s="8" t="s">
        <v>46</v>
      </c>
      <c r="L128" s="27"/>
      <c r="M128" s="27"/>
      <c r="N128" s="128">
        <v>21290323</v>
      </c>
      <c r="O128">
        <v>62.83</v>
      </c>
    </row>
    <row r="129" spans="1:16">
      <c r="A129" s="204">
        <v>1</v>
      </c>
      <c r="B129" s="205"/>
      <c r="C129" s="205"/>
      <c r="D129" s="205"/>
      <c r="E129" s="25">
        <v>2</v>
      </c>
      <c r="F129" s="11">
        <v>3</v>
      </c>
      <c r="G129" s="25">
        <v>4</v>
      </c>
      <c r="H129" s="25">
        <v>5</v>
      </c>
      <c r="I129" s="26">
        <v>6</v>
      </c>
      <c r="J129" s="35">
        <v>7</v>
      </c>
      <c r="K129" s="36">
        <v>8</v>
      </c>
      <c r="L129" s="109"/>
      <c r="M129" s="27"/>
      <c r="N129">
        <f>11540394-1482000</f>
        <v>10058394</v>
      </c>
      <c r="O129">
        <v>21.58</v>
      </c>
      <c r="P129">
        <f>N129*1.302</f>
        <v>13096028.988</v>
      </c>
    </row>
    <row r="130" spans="1:16" ht="31.2" customHeight="1" thickBot="1">
      <c r="A130" s="206" t="s">
        <v>67</v>
      </c>
      <c r="B130" s="206"/>
      <c r="C130" s="206"/>
      <c r="D130" s="206"/>
      <c r="E130" s="37">
        <f>G130/12/F130</f>
        <v>24167.354166666664</v>
      </c>
      <c r="F130" s="37">
        <v>0.04</v>
      </c>
      <c r="G130" s="131">
        <v>11600.33</v>
      </c>
      <c r="H130" s="37">
        <v>15103.67</v>
      </c>
      <c r="I130" s="44">
        <v>1</v>
      </c>
      <c r="J130" s="37">
        <f>H130/I130</f>
        <v>15103.67</v>
      </c>
      <c r="K130" s="57">
        <f>H130/15103671*100</f>
        <v>9.9999993379093072E-2</v>
      </c>
      <c r="L130" s="110"/>
      <c r="M130" s="15"/>
      <c r="N130" s="128">
        <f>N128-N129</f>
        <v>11231929</v>
      </c>
      <c r="O130">
        <v>41.25</v>
      </c>
      <c r="P130">
        <f>N130*1.302</f>
        <v>14623971.558</v>
      </c>
    </row>
    <row r="131" spans="1:16" ht="15" hidden="1" thickBot="1">
      <c r="A131" s="249"/>
      <c r="B131" s="250"/>
      <c r="C131" s="250"/>
      <c r="D131" s="250"/>
      <c r="E131" s="37">
        <v>17865.98</v>
      </c>
      <c r="F131" s="58">
        <v>4</v>
      </c>
      <c r="G131" s="44"/>
      <c r="H131" s="38">
        <f>H37</f>
        <v>0</v>
      </c>
      <c r="I131" s="37" t="e">
        <f t="shared" ref="I131:I152" si="9">F131/G131*H131</f>
        <v>#DIV/0!</v>
      </c>
      <c r="J131" s="37">
        <f t="shared" ref="J131:J152" si="10">E131*F131*12*1.302</f>
        <v>1116552.28608</v>
      </c>
      <c r="K131" s="59" t="s">
        <v>38</v>
      </c>
      <c r="L131" s="111"/>
      <c r="M131" s="31" t="e">
        <f t="shared" ref="M131:M155" si="11">I131*J131</f>
        <v>#DIV/0!</v>
      </c>
    </row>
    <row r="132" spans="1:16" ht="15" hidden="1" thickBot="1">
      <c r="A132" s="247"/>
      <c r="B132" s="247"/>
      <c r="C132" s="247"/>
      <c r="D132" s="247"/>
      <c r="E132" s="37">
        <v>9544</v>
      </c>
      <c r="F132" s="58">
        <v>1</v>
      </c>
      <c r="G132" s="44"/>
      <c r="H132" s="38">
        <f>H37</f>
        <v>0</v>
      </c>
      <c r="I132" s="37" t="e">
        <f t="shared" si="9"/>
        <v>#DIV/0!</v>
      </c>
      <c r="J132" s="37">
        <f t="shared" si="10"/>
        <v>149115.45600000001</v>
      </c>
      <c r="K132" s="38">
        <f>H132/11277167.39*100</f>
        <v>0</v>
      </c>
      <c r="L132" s="38"/>
      <c r="M132" s="14" t="e">
        <f t="shared" si="11"/>
        <v>#DIV/0!</v>
      </c>
    </row>
    <row r="133" spans="1:16" ht="15" hidden="1" customHeight="1" thickBot="1">
      <c r="A133" s="216"/>
      <c r="B133" s="217"/>
      <c r="C133" s="217"/>
      <c r="D133" s="217"/>
      <c r="E133" s="37">
        <v>11560</v>
      </c>
      <c r="F133" s="58">
        <v>1</v>
      </c>
      <c r="G133" s="44"/>
      <c r="H133" s="38">
        <f>H37</f>
        <v>0</v>
      </c>
      <c r="I133" s="37" t="e">
        <f t="shared" si="9"/>
        <v>#DIV/0!</v>
      </c>
      <c r="J133" s="37">
        <f t="shared" si="10"/>
        <v>180613.44</v>
      </c>
      <c r="K133" s="29"/>
      <c r="L133" s="29"/>
      <c r="M133" s="14" t="e">
        <f t="shared" si="11"/>
        <v>#DIV/0!</v>
      </c>
    </row>
    <row r="134" spans="1:16" ht="15" hidden="1" thickBot="1">
      <c r="A134" s="206"/>
      <c r="B134" s="206"/>
      <c r="C134" s="206"/>
      <c r="D134" s="206"/>
      <c r="E134" s="37">
        <v>9544</v>
      </c>
      <c r="F134" s="60">
        <v>0.5</v>
      </c>
      <c r="G134" s="44"/>
      <c r="H134" s="38">
        <f>H37</f>
        <v>0</v>
      </c>
      <c r="I134" s="37" t="e">
        <f t="shared" si="9"/>
        <v>#DIV/0!</v>
      </c>
      <c r="J134" s="37">
        <f t="shared" si="10"/>
        <v>74557.728000000003</v>
      </c>
      <c r="K134" s="29"/>
      <c r="L134" s="29"/>
      <c r="M134" s="14" t="e">
        <f t="shared" si="11"/>
        <v>#DIV/0!</v>
      </c>
    </row>
    <row r="135" spans="1:16" ht="15" hidden="1" thickBot="1">
      <c r="A135" s="206"/>
      <c r="B135" s="206"/>
      <c r="C135" s="206"/>
      <c r="D135" s="206"/>
      <c r="E135" s="37">
        <v>9544</v>
      </c>
      <c r="F135" s="58">
        <v>1</v>
      </c>
      <c r="G135" s="44"/>
      <c r="H135" s="38">
        <f>H37</f>
        <v>0</v>
      </c>
      <c r="I135" s="37" t="e">
        <f t="shared" si="9"/>
        <v>#DIV/0!</v>
      </c>
      <c r="J135" s="37">
        <f t="shared" si="10"/>
        <v>149115.45600000001</v>
      </c>
      <c r="K135" s="37"/>
      <c r="L135" s="37"/>
      <c r="M135" s="14" t="e">
        <f t="shared" si="11"/>
        <v>#DIV/0!</v>
      </c>
    </row>
    <row r="136" spans="1:16" ht="14.25" hidden="1" customHeight="1">
      <c r="A136" s="206"/>
      <c r="B136" s="206"/>
      <c r="C136" s="206"/>
      <c r="D136" s="206"/>
      <c r="E136" s="37">
        <v>9544</v>
      </c>
      <c r="F136" s="58">
        <v>1</v>
      </c>
      <c r="G136" s="44"/>
      <c r="H136" s="38">
        <f>H37</f>
        <v>0</v>
      </c>
      <c r="I136" s="37" t="e">
        <f t="shared" si="9"/>
        <v>#DIV/0!</v>
      </c>
      <c r="J136" s="37">
        <f t="shared" si="10"/>
        <v>149115.45600000001</v>
      </c>
      <c r="K136" s="45"/>
      <c r="L136" s="45"/>
      <c r="M136" s="14" t="e">
        <f t="shared" si="11"/>
        <v>#DIV/0!</v>
      </c>
    </row>
    <row r="137" spans="1:16" ht="15" hidden="1" thickBot="1">
      <c r="A137" s="158"/>
      <c r="B137" s="159"/>
      <c r="C137" s="159"/>
      <c r="D137" s="159"/>
      <c r="E137" s="37">
        <v>9544</v>
      </c>
      <c r="F137" s="37"/>
      <c r="G137" s="44"/>
      <c r="H137" s="38">
        <f>H37</f>
        <v>0</v>
      </c>
      <c r="I137" s="37" t="e">
        <f t="shared" si="9"/>
        <v>#DIV/0!</v>
      </c>
      <c r="J137" s="37">
        <f t="shared" si="10"/>
        <v>0</v>
      </c>
      <c r="K137" s="45"/>
      <c r="L137" s="45"/>
      <c r="M137" s="14" t="e">
        <f t="shared" si="11"/>
        <v>#DIV/0!</v>
      </c>
    </row>
    <row r="138" spans="1:16" ht="15" hidden="1" thickBot="1">
      <c r="A138" s="158"/>
      <c r="B138" s="159"/>
      <c r="C138" s="159"/>
      <c r="D138" s="159"/>
      <c r="E138" s="37">
        <v>9544</v>
      </c>
      <c r="F138" s="61">
        <v>0.25</v>
      </c>
      <c r="G138" s="44"/>
      <c r="H138" s="38">
        <f>H37</f>
        <v>0</v>
      </c>
      <c r="I138" s="37" t="e">
        <f t="shared" si="9"/>
        <v>#DIV/0!</v>
      </c>
      <c r="J138" s="37">
        <f t="shared" si="10"/>
        <v>37278.864000000001</v>
      </c>
      <c r="K138" s="45"/>
      <c r="L138" s="45"/>
      <c r="M138" s="14" t="e">
        <f t="shared" si="11"/>
        <v>#DIV/0!</v>
      </c>
    </row>
    <row r="139" spans="1:16" ht="15" hidden="1" thickBot="1">
      <c r="A139" s="158"/>
      <c r="B139" s="159"/>
      <c r="C139" s="159"/>
      <c r="D139" s="159"/>
      <c r="E139" s="37">
        <v>9544</v>
      </c>
      <c r="F139" s="37"/>
      <c r="G139" s="44"/>
      <c r="H139" s="38">
        <f>H37</f>
        <v>0</v>
      </c>
      <c r="I139" s="37" t="e">
        <f t="shared" si="9"/>
        <v>#DIV/0!</v>
      </c>
      <c r="J139" s="37">
        <f t="shared" si="10"/>
        <v>0</v>
      </c>
      <c r="K139" s="45"/>
      <c r="L139" s="45"/>
      <c r="M139" s="14" t="e">
        <f t="shared" si="11"/>
        <v>#DIV/0!</v>
      </c>
    </row>
    <row r="140" spans="1:16" ht="15" hidden="1" thickBot="1">
      <c r="A140" s="158"/>
      <c r="B140" s="159"/>
      <c r="C140" s="159"/>
      <c r="D140" s="159"/>
      <c r="E140" s="37">
        <v>9544</v>
      </c>
      <c r="F140" s="60">
        <v>0.5</v>
      </c>
      <c r="G140" s="44"/>
      <c r="H140" s="38">
        <f>H37</f>
        <v>0</v>
      </c>
      <c r="I140" s="37" t="e">
        <f t="shared" si="9"/>
        <v>#DIV/0!</v>
      </c>
      <c r="J140" s="37">
        <f t="shared" si="10"/>
        <v>74557.728000000003</v>
      </c>
      <c r="K140" s="45"/>
      <c r="L140" s="45"/>
      <c r="M140" s="14" t="e">
        <f t="shared" si="11"/>
        <v>#DIV/0!</v>
      </c>
    </row>
    <row r="141" spans="1:16" ht="15.75" hidden="1" customHeight="1">
      <c r="A141" s="158"/>
      <c r="B141" s="159"/>
      <c r="C141" s="159"/>
      <c r="D141" s="159"/>
      <c r="E141" s="37">
        <v>9544</v>
      </c>
      <c r="F141" s="58">
        <v>1</v>
      </c>
      <c r="G141" s="44"/>
      <c r="H141" s="38">
        <f>H37</f>
        <v>0</v>
      </c>
      <c r="I141" s="37" t="e">
        <f t="shared" si="9"/>
        <v>#DIV/0!</v>
      </c>
      <c r="J141" s="37">
        <f t="shared" si="10"/>
        <v>149115.45600000001</v>
      </c>
      <c r="K141" s="45"/>
      <c r="L141" s="45"/>
      <c r="M141" s="14" t="e">
        <f t="shared" si="11"/>
        <v>#DIV/0!</v>
      </c>
    </row>
    <row r="142" spans="1:16" ht="15" hidden="1" customHeight="1" thickBot="1">
      <c r="A142" s="206"/>
      <c r="B142" s="206"/>
      <c r="C142" s="206"/>
      <c r="D142" s="206"/>
      <c r="E142" s="37">
        <v>9544</v>
      </c>
      <c r="F142" s="58">
        <v>1</v>
      </c>
      <c r="G142" s="44"/>
      <c r="H142" s="38">
        <f>H37</f>
        <v>0</v>
      </c>
      <c r="I142" s="37" t="e">
        <f t="shared" si="9"/>
        <v>#DIV/0!</v>
      </c>
      <c r="J142" s="37">
        <f t="shared" si="10"/>
        <v>149115.45600000001</v>
      </c>
      <c r="K142" s="45"/>
      <c r="L142" s="45"/>
      <c r="M142" s="14" t="e">
        <f t="shared" si="11"/>
        <v>#DIV/0!</v>
      </c>
    </row>
    <row r="143" spans="1:16" ht="15" hidden="1" customHeight="1">
      <c r="A143" s="206"/>
      <c r="B143" s="206"/>
      <c r="C143" s="206"/>
      <c r="D143" s="206"/>
      <c r="E143" s="37">
        <v>9544</v>
      </c>
      <c r="F143" s="60">
        <v>5.5</v>
      </c>
      <c r="G143" s="44"/>
      <c r="H143" s="38">
        <f>H37</f>
        <v>0</v>
      </c>
      <c r="I143" s="37" t="e">
        <f t="shared" si="9"/>
        <v>#DIV/0!</v>
      </c>
      <c r="J143" s="37">
        <f t="shared" si="10"/>
        <v>820135.00800000003</v>
      </c>
      <c r="K143" s="45"/>
      <c r="L143" s="45"/>
      <c r="M143" s="14" t="e">
        <f t="shared" si="11"/>
        <v>#DIV/0!</v>
      </c>
    </row>
    <row r="144" spans="1:16" ht="15" hidden="1" customHeight="1">
      <c r="A144" s="206"/>
      <c r="B144" s="206"/>
      <c r="C144" s="206"/>
      <c r="D144" s="206"/>
      <c r="E144" s="37">
        <v>9544</v>
      </c>
      <c r="F144" s="58">
        <v>1</v>
      </c>
      <c r="G144" s="44"/>
      <c r="H144" s="38">
        <f>H37</f>
        <v>0</v>
      </c>
      <c r="I144" s="37" t="e">
        <f t="shared" si="9"/>
        <v>#DIV/0!</v>
      </c>
      <c r="J144" s="37">
        <f t="shared" si="10"/>
        <v>149115.45600000001</v>
      </c>
      <c r="K144" s="45"/>
      <c r="L144" s="45"/>
      <c r="M144" s="14" t="e">
        <f t="shared" si="11"/>
        <v>#DIV/0!</v>
      </c>
    </row>
    <row r="145" spans="1:16" ht="15" hidden="1" customHeight="1" thickBot="1">
      <c r="A145" s="206"/>
      <c r="B145" s="206"/>
      <c r="C145" s="206"/>
      <c r="D145" s="206"/>
      <c r="E145" s="37">
        <v>9544</v>
      </c>
      <c r="F145" s="60">
        <v>0.5</v>
      </c>
      <c r="G145" s="44"/>
      <c r="H145" s="38">
        <f>H37</f>
        <v>0</v>
      </c>
      <c r="I145" s="37" t="e">
        <f t="shared" si="9"/>
        <v>#DIV/0!</v>
      </c>
      <c r="J145" s="37">
        <f t="shared" si="10"/>
        <v>74557.728000000003</v>
      </c>
      <c r="K145" s="45"/>
      <c r="L145" s="45"/>
      <c r="M145" s="14" t="e">
        <f t="shared" si="11"/>
        <v>#DIV/0!</v>
      </c>
    </row>
    <row r="146" spans="1:16" ht="15" hidden="1" customHeight="1" thickBot="1">
      <c r="A146" s="206"/>
      <c r="B146" s="206"/>
      <c r="C146" s="206"/>
      <c r="D146" s="206"/>
      <c r="E146" s="37">
        <v>9544</v>
      </c>
      <c r="F146" s="60">
        <v>0.5</v>
      </c>
      <c r="G146" s="44"/>
      <c r="H146" s="38">
        <f>H37</f>
        <v>0</v>
      </c>
      <c r="I146" s="37" t="e">
        <f t="shared" si="9"/>
        <v>#DIV/0!</v>
      </c>
      <c r="J146" s="37">
        <f t="shared" si="10"/>
        <v>74557.728000000003</v>
      </c>
      <c r="K146" s="45"/>
      <c r="L146" s="45"/>
      <c r="M146" s="14" t="e">
        <f t="shared" si="11"/>
        <v>#DIV/0!</v>
      </c>
    </row>
    <row r="147" spans="1:16" ht="15" hidden="1" thickBot="1">
      <c r="A147" s="206"/>
      <c r="B147" s="206"/>
      <c r="C147" s="206"/>
      <c r="D147" s="206"/>
      <c r="E147" s="37">
        <v>9544</v>
      </c>
      <c r="F147" s="58">
        <v>1</v>
      </c>
      <c r="G147" s="44"/>
      <c r="H147" s="38">
        <f>H37</f>
        <v>0</v>
      </c>
      <c r="I147" s="37" t="e">
        <f t="shared" si="9"/>
        <v>#DIV/0!</v>
      </c>
      <c r="J147" s="37">
        <f t="shared" si="10"/>
        <v>149115.45600000001</v>
      </c>
      <c r="K147" s="45"/>
      <c r="L147" s="45"/>
      <c r="M147" s="14" t="e">
        <f t="shared" si="11"/>
        <v>#DIV/0!</v>
      </c>
    </row>
    <row r="148" spans="1:16" ht="15.75" hidden="1" customHeight="1">
      <c r="A148" s="206"/>
      <c r="B148" s="206"/>
      <c r="C148" s="206"/>
      <c r="D148" s="206"/>
      <c r="E148" s="37">
        <v>9544</v>
      </c>
      <c r="F148" s="58">
        <v>4</v>
      </c>
      <c r="G148" s="44"/>
      <c r="H148" s="38">
        <f>H37</f>
        <v>0</v>
      </c>
      <c r="I148" s="37" t="e">
        <f t="shared" si="9"/>
        <v>#DIV/0!</v>
      </c>
      <c r="J148" s="37">
        <f t="shared" si="10"/>
        <v>596461.82400000002</v>
      </c>
      <c r="K148" s="45"/>
      <c r="L148" s="45"/>
      <c r="M148" s="14" t="e">
        <f t="shared" si="11"/>
        <v>#DIV/0!</v>
      </c>
    </row>
    <row r="149" spans="1:16" ht="16.5" hidden="1" customHeight="1">
      <c r="A149" s="158"/>
      <c r="B149" s="159"/>
      <c r="C149" s="159"/>
      <c r="D149" s="159"/>
      <c r="E149" s="37">
        <v>9544</v>
      </c>
      <c r="F149" s="58">
        <v>1</v>
      </c>
      <c r="G149" s="44"/>
      <c r="H149" s="38">
        <f>H37</f>
        <v>0</v>
      </c>
      <c r="I149" s="37" t="e">
        <f t="shared" si="9"/>
        <v>#DIV/0!</v>
      </c>
      <c r="J149" s="37">
        <f t="shared" si="10"/>
        <v>149115.45600000001</v>
      </c>
      <c r="K149" s="45"/>
      <c r="L149" s="45"/>
      <c r="M149" s="14" t="e">
        <f t="shared" si="11"/>
        <v>#DIV/0!</v>
      </c>
    </row>
    <row r="150" spans="1:16" ht="16.5" hidden="1" customHeight="1">
      <c r="A150" s="158"/>
      <c r="B150" s="159"/>
      <c r="C150" s="159"/>
      <c r="D150" s="159"/>
      <c r="E150" s="37">
        <v>9544</v>
      </c>
      <c r="F150" s="61">
        <v>1.75</v>
      </c>
      <c r="G150" s="44"/>
      <c r="H150" s="38">
        <f>H37</f>
        <v>0</v>
      </c>
      <c r="I150" s="37" t="e">
        <f t="shared" si="9"/>
        <v>#DIV/0!</v>
      </c>
      <c r="J150" s="37">
        <f t="shared" si="10"/>
        <v>260952.04800000001</v>
      </c>
      <c r="K150" s="45"/>
      <c r="L150" s="45"/>
      <c r="M150" s="14" t="e">
        <f t="shared" si="11"/>
        <v>#DIV/0!</v>
      </c>
    </row>
    <row r="151" spans="1:16" ht="16.5" hidden="1" customHeight="1" thickBot="1">
      <c r="A151" s="158"/>
      <c r="B151" s="159"/>
      <c r="C151" s="159"/>
      <c r="D151" s="159"/>
      <c r="E151" s="37">
        <v>9544</v>
      </c>
      <c r="F151" s="38"/>
      <c r="G151" s="44"/>
      <c r="H151" s="38">
        <f>H37</f>
        <v>0</v>
      </c>
      <c r="I151" s="37" t="e">
        <f t="shared" si="9"/>
        <v>#DIV/0!</v>
      </c>
      <c r="J151" s="37">
        <f t="shared" si="10"/>
        <v>0</v>
      </c>
      <c r="K151" s="45"/>
      <c r="L151" s="45"/>
      <c r="M151" s="14" t="e">
        <f t="shared" si="11"/>
        <v>#DIV/0!</v>
      </c>
    </row>
    <row r="152" spans="1:16" ht="16.5" hidden="1" customHeight="1" thickBot="1">
      <c r="A152" s="158"/>
      <c r="B152" s="159"/>
      <c r="C152" s="159"/>
      <c r="D152" s="159"/>
      <c r="E152" s="37">
        <v>9544</v>
      </c>
      <c r="F152" s="60">
        <v>0.5</v>
      </c>
      <c r="G152" s="44"/>
      <c r="H152" s="38">
        <f>H37</f>
        <v>0</v>
      </c>
      <c r="I152" s="37" t="e">
        <f t="shared" si="9"/>
        <v>#DIV/0!</v>
      </c>
      <c r="J152" s="37">
        <f t="shared" si="10"/>
        <v>74557.728000000003</v>
      </c>
      <c r="K152" s="45"/>
      <c r="L152" s="45"/>
      <c r="M152" s="14" t="e">
        <f t="shared" si="11"/>
        <v>#DIV/0!</v>
      </c>
    </row>
    <row r="153" spans="1:16" ht="15" hidden="1" customHeight="1" thickBot="1">
      <c r="A153" s="158"/>
      <c r="B153" s="159"/>
      <c r="C153" s="159"/>
      <c r="D153" s="159"/>
      <c r="E153" s="37"/>
      <c r="F153" s="37"/>
      <c r="G153" s="37"/>
      <c r="H153" s="37"/>
      <c r="I153" s="37"/>
      <c r="J153" s="37"/>
      <c r="K153" s="45"/>
      <c r="L153" s="45"/>
      <c r="M153" s="14">
        <f t="shared" si="11"/>
        <v>0</v>
      </c>
    </row>
    <row r="154" spans="1:16" ht="15.75" hidden="1" customHeight="1">
      <c r="A154" s="158"/>
      <c r="B154" s="159"/>
      <c r="C154" s="159"/>
      <c r="D154" s="159"/>
      <c r="E154" s="37"/>
      <c r="F154" s="37"/>
      <c r="G154" s="37"/>
      <c r="H154" s="37"/>
      <c r="I154" s="37"/>
      <c r="J154" s="37"/>
      <c r="K154" s="45"/>
      <c r="L154" s="45"/>
      <c r="M154" s="14">
        <f t="shared" si="11"/>
        <v>0</v>
      </c>
    </row>
    <row r="155" spans="1:16" ht="14.25" hidden="1" customHeight="1" thickBot="1">
      <c r="A155" s="158"/>
      <c r="B155" s="159"/>
      <c r="C155" s="159"/>
      <c r="D155" s="159"/>
      <c r="E155" s="37"/>
      <c r="F155" s="37"/>
      <c r="G155" s="37"/>
      <c r="H155" s="37"/>
      <c r="I155" s="44">
        <v>105</v>
      </c>
      <c r="J155" s="46">
        <f>H155/I155</f>
        <v>0</v>
      </c>
      <c r="K155" s="45"/>
      <c r="L155" s="45"/>
      <c r="M155" s="30">
        <f t="shared" si="11"/>
        <v>0</v>
      </c>
    </row>
    <row r="156" spans="1:16" ht="15" thickBot="1">
      <c r="A156" s="162" t="s">
        <v>47</v>
      </c>
      <c r="B156" s="162"/>
      <c r="C156" s="162"/>
      <c r="D156" s="162"/>
      <c r="E156" s="62"/>
      <c r="F156" s="134"/>
      <c r="G156" s="134"/>
      <c r="H156" s="66">
        <f>H130</f>
        <v>15103.67</v>
      </c>
      <c r="I156" s="47"/>
      <c r="J156" s="63">
        <f>J130</f>
        <v>15103.67</v>
      </c>
      <c r="K156" s="45"/>
      <c r="L156" s="45"/>
      <c r="M156" s="15"/>
      <c r="P156">
        <f>H156/48.5%</f>
        <v>31141.587628865982</v>
      </c>
    </row>
    <row r="157" spans="1:16" ht="22.2" customHeight="1">
      <c r="A157" s="10"/>
      <c r="B157" s="10"/>
      <c r="C157" s="10"/>
      <c r="D157" s="10"/>
      <c r="E157" s="10"/>
      <c r="F157" s="10"/>
      <c r="G157" s="10"/>
      <c r="H157" s="12"/>
      <c r="I157" s="12"/>
      <c r="J157" s="12"/>
      <c r="K157" s="10"/>
      <c r="L157" s="10"/>
      <c r="M157" s="10"/>
    </row>
    <row r="158" spans="1:16">
      <c r="A158" s="179" t="s">
        <v>61</v>
      </c>
      <c r="B158" s="179"/>
      <c r="C158" s="179"/>
      <c r="D158" s="179"/>
      <c r="E158" s="179"/>
      <c r="F158" s="179"/>
      <c r="G158" s="179"/>
      <c r="H158" s="179"/>
      <c r="I158" s="179"/>
      <c r="J158" s="179"/>
      <c r="K158" s="179"/>
      <c r="L158" s="135"/>
      <c r="M158" s="10"/>
    </row>
    <row r="159" spans="1:16" s="76" customFormat="1">
      <c r="A159" s="146"/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74"/>
    </row>
    <row r="160" spans="1:16" ht="55.8">
      <c r="A160" s="160" t="s">
        <v>28</v>
      </c>
      <c r="B160" s="161"/>
      <c r="C160" s="161"/>
      <c r="D160" s="161"/>
      <c r="E160" s="8" t="s">
        <v>75</v>
      </c>
      <c r="F160" s="8" t="s">
        <v>48</v>
      </c>
      <c r="G160" s="8" t="s">
        <v>74</v>
      </c>
      <c r="H160" s="8" t="s">
        <v>69</v>
      </c>
      <c r="I160" s="10"/>
      <c r="J160" s="10"/>
      <c r="K160" s="10"/>
      <c r="L160" s="10"/>
    </row>
    <row r="161" spans="1:13" ht="15" thickBot="1">
      <c r="A161" s="158" t="s">
        <v>151</v>
      </c>
      <c r="B161" s="159"/>
      <c r="C161" s="159"/>
      <c r="D161" s="159"/>
      <c r="E161" s="50" t="s">
        <v>27</v>
      </c>
      <c r="F161" s="130">
        <f>720*0.1%</f>
        <v>0.72</v>
      </c>
      <c r="G161" s="44">
        <v>1</v>
      </c>
      <c r="H161" s="91">
        <f t="shared" ref="H161" si="12">F161/G161</f>
        <v>0.72</v>
      </c>
      <c r="I161" s="10"/>
      <c r="J161" s="10"/>
      <c r="K161" s="10"/>
      <c r="L161" s="10"/>
    </row>
    <row r="162" spans="1:13" ht="20.25" customHeight="1" thickBot="1">
      <c r="A162" s="163" t="s">
        <v>53</v>
      </c>
      <c r="B162" s="164"/>
      <c r="C162" s="164"/>
      <c r="D162" s="164"/>
      <c r="E162" s="49"/>
      <c r="F162" s="66">
        <f>SUM(F161:F161)</f>
        <v>0.72</v>
      </c>
      <c r="G162" s="45"/>
      <c r="H162" s="51">
        <f>SUM(H161:H161)</f>
        <v>0.72</v>
      </c>
      <c r="I162" s="10"/>
      <c r="J162" s="33"/>
      <c r="K162" s="10"/>
      <c r="L162" s="10"/>
    </row>
    <row r="163" spans="1:13" s="76" customFormat="1">
      <c r="A163" s="146"/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74"/>
    </row>
    <row r="164" spans="1:13" ht="55.8">
      <c r="A164" s="160" t="s">
        <v>28</v>
      </c>
      <c r="B164" s="161"/>
      <c r="C164" s="161"/>
      <c r="D164" s="161"/>
      <c r="E164" s="8" t="s">
        <v>75</v>
      </c>
      <c r="F164" s="8" t="s">
        <v>48</v>
      </c>
      <c r="G164" s="8" t="s">
        <v>74</v>
      </c>
      <c r="H164" s="8" t="s">
        <v>69</v>
      </c>
      <c r="I164" s="10"/>
      <c r="J164" s="10"/>
      <c r="K164" s="10"/>
      <c r="L164" s="10"/>
    </row>
    <row r="165" spans="1:13" ht="51" customHeight="1" thickBot="1">
      <c r="A165" s="158" t="s">
        <v>153</v>
      </c>
      <c r="B165" s="159"/>
      <c r="C165" s="159"/>
      <c r="D165" s="159"/>
      <c r="E165" s="50" t="s">
        <v>27</v>
      </c>
      <c r="F165" s="130">
        <f>505800*0.1%</f>
        <v>505.8</v>
      </c>
      <c r="G165" s="44">
        <v>1</v>
      </c>
      <c r="H165" s="91">
        <f t="shared" ref="H165" si="13">F165/G165</f>
        <v>505.8</v>
      </c>
      <c r="I165" s="10"/>
      <c r="J165" s="10"/>
      <c r="K165" s="10"/>
      <c r="L165" s="10"/>
    </row>
    <row r="166" spans="1:13" ht="20.25" customHeight="1" thickBot="1">
      <c r="A166" s="163" t="s">
        <v>53</v>
      </c>
      <c r="B166" s="164"/>
      <c r="C166" s="164"/>
      <c r="D166" s="164"/>
      <c r="E166" s="49"/>
      <c r="F166" s="66">
        <f>SUM(F165:F165)</f>
        <v>505.8</v>
      </c>
      <c r="G166" s="45"/>
      <c r="H166" s="51">
        <f>SUM(H165:H165)</f>
        <v>505.8</v>
      </c>
      <c r="I166" s="10"/>
      <c r="J166" s="33"/>
      <c r="K166" s="10"/>
      <c r="L166" s="10"/>
    </row>
    <row r="167" spans="1:13" s="76" customFormat="1">
      <c r="A167" s="146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74"/>
    </row>
    <row r="168" spans="1:13" ht="55.8">
      <c r="A168" s="160" t="s">
        <v>62</v>
      </c>
      <c r="B168" s="161"/>
      <c r="C168" s="161"/>
      <c r="D168" s="202"/>
      <c r="E168" s="138" t="s">
        <v>7</v>
      </c>
      <c r="F168" s="138" t="s">
        <v>55</v>
      </c>
      <c r="G168" s="138" t="s">
        <v>42</v>
      </c>
      <c r="H168" s="138" t="s">
        <v>48</v>
      </c>
      <c r="I168" s="8" t="s">
        <v>63</v>
      </c>
      <c r="J168" s="8" t="s">
        <v>69</v>
      </c>
      <c r="K168" s="39"/>
      <c r="L168" s="27"/>
      <c r="M168" s="10"/>
    </row>
    <row r="169" spans="1:13" ht="36.75" customHeight="1">
      <c r="A169" s="158" t="s">
        <v>114</v>
      </c>
      <c r="B169" s="159"/>
      <c r="C169" s="159"/>
      <c r="D169" s="172"/>
      <c r="E169" s="138"/>
      <c r="F169" s="138"/>
      <c r="G169" s="138"/>
      <c r="H169" s="129">
        <f>450000*0.1%</f>
        <v>450</v>
      </c>
      <c r="I169" s="44">
        <v>1</v>
      </c>
      <c r="J169" s="92">
        <f>H169/I169</f>
        <v>450</v>
      </c>
      <c r="K169" s="39"/>
      <c r="L169" s="27"/>
      <c r="M169" s="10"/>
    </row>
    <row r="170" spans="1:13" ht="34.5" customHeight="1" thickBot="1">
      <c r="A170" s="158" t="s">
        <v>115</v>
      </c>
      <c r="B170" s="159"/>
      <c r="C170" s="159"/>
      <c r="D170" s="172"/>
      <c r="E170" s="138"/>
      <c r="F170" s="138"/>
      <c r="G170" s="138"/>
      <c r="H170" s="129">
        <f>250000*0.1%</f>
        <v>250</v>
      </c>
      <c r="I170" s="44">
        <v>1</v>
      </c>
      <c r="J170" s="92">
        <f t="shared" ref="J170" si="14">H170/I170</f>
        <v>250</v>
      </c>
      <c r="K170" s="39"/>
      <c r="L170" s="27"/>
      <c r="M170" s="10"/>
    </row>
    <row r="171" spans="1:13" ht="15" thickBot="1">
      <c r="A171" s="244" t="s">
        <v>57</v>
      </c>
      <c r="B171" s="245"/>
      <c r="C171" s="245"/>
      <c r="D171" s="245"/>
      <c r="E171" s="245"/>
      <c r="F171" s="245"/>
      <c r="G171" s="246"/>
      <c r="H171" s="56">
        <f>H170+H169</f>
        <v>700</v>
      </c>
      <c r="I171" s="55"/>
      <c r="J171" s="32">
        <f>SUM(J169:J170)</f>
        <v>700</v>
      </c>
      <c r="K171" s="10"/>
      <c r="L171" s="10"/>
      <c r="M171" s="10"/>
    </row>
    <row r="172" spans="1:13" ht="32.4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1:13" ht="55.8">
      <c r="A173" s="160" t="s">
        <v>62</v>
      </c>
      <c r="B173" s="161"/>
      <c r="C173" s="161"/>
      <c r="D173" s="202"/>
      <c r="E173" s="138" t="s">
        <v>116</v>
      </c>
      <c r="F173" s="138" t="s">
        <v>55</v>
      </c>
      <c r="G173" s="138" t="s">
        <v>42</v>
      </c>
      <c r="H173" s="138" t="s">
        <v>48</v>
      </c>
      <c r="I173" s="8" t="s">
        <v>63</v>
      </c>
      <c r="J173" s="8" t="s">
        <v>69</v>
      </c>
      <c r="K173" s="39"/>
      <c r="L173" s="27"/>
      <c r="M173" s="10"/>
    </row>
    <row r="174" spans="1:13">
      <c r="A174" s="158" t="s">
        <v>78</v>
      </c>
      <c r="B174" s="159"/>
      <c r="C174" s="159"/>
      <c r="D174" s="172"/>
      <c r="E174" s="138">
        <v>120</v>
      </c>
      <c r="F174" s="138"/>
      <c r="G174" s="138"/>
      <c r="H174" s="129">
        <f>50000*0.1%</f>
        <v>50</v>
      </c>
      <c r="I174" s="44">
        <v>1</v>
      </c>
      <c r="J174" s="92">
        <f>H174/I174</f>
        <v>50</v>
      </c>
      <c r="K174" s="39"/>
      <c r="L174" s="27"/>
      <c r="M174" s="10"/>
    </row>
    <row r="175" spans="1:13">
      <c r="A175" s="158" t="s">
        <v>79</v>
      </c>
      <c r="B175" s="159"/>
      <c r="C175" s="159"/>
      <c r="D175" s="172"/>
      <c r="E175" s="138">
        <v>640</v>
      </c>
      <c r="F175" s="138"/>
      <c r="G175" s="138"/>
      <c r="H175" s="129">
        <f>50000*0.1%</f>
        <v>50</v>
      </c>
      <c r="I175" s="44">
        <v>1</v>
      </c>
      <c r="J175" s="92">
        <f t="shared" ref="J175:J176" si="15">H175/I175</f>
        <v>50</v>
      </c>
      <c r="K175" s="39"/>
      <c r="L175" s="27"/>
      <c r="M175" s="10"/>
    </row>
    <row r="176" spans="1:13" ht="18" customHeight="1" thickBot="1">
      <c r="A176" s="158" t="s">
        <v>80</v>
      </c>
      <c r="B176" s="159"/>
      <c r="C176" s="159"/>
      <c r="D176" s="172"/>
      <c r="E176" s="138">
        <v>200</v>
      </c>
      <c r="F176" s="138"/>
      <c r="G176" s="138"/>
      <c r="H176" s="129">
        <f>50000*0.1%</f>
        <v>50</v>
      </c>
      <c r="I176" s="44">
        <v>1</v>
      </c>
      <c r="J176" s="92">
        <f t="shared" si="15"/>
        <v>50</v>
      </c>
      <c r="K176" s="39"/>
      <c r="L176" s="27"/>
      <c r="M176" s="10"/>
    </row>
    <row r="177" spans="1:17" ht="15" thickBot="1">
      <c r="A177" s="244" t="s">
        <v>57</v>
      </c>
      <c r="B177" s="245"/>
      <c r="C177" s="245"/>
      <c r="D177" s="245"/>
      <c r="E177" s="245"/>
      <c r="F177" s="245"/>
      <c r="G177" s="246"/>
      <c r="H177" s="56">
        <f>SUM(H174:H176)</f>
        <v>150</v>
      </c>
      <c r="I177" s="55"/>
      <c r="J177" s="32">
        <f>SUM(J174:J176)</f>
        <v>150</v>
      </c>
      <c r="K177" s="10"/>
      <c r="L177" s="10"/>
      <c r="M177" s="10"/>
    </row>
    <row r="178" spans="1:17" ht="25.2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1:17">
      <c r="A179" s="157" t="s">
        <v>29</v>
      </c>
      <c r="B179" s="157"/>
      <c r="C179" s="157"/>
      <c r="D179" s="157"/>
      <c r="E179" s="157"/>
      <c r="F179" s="157"/>
      <c r="G179" s="157"/>
      <c r="H179" s="157"/>
      <c r="I179" s="157"/>
      <c r="J179" s="157"/>
      <c r="K179" s="157"/>
      <c r="L179" s="157"/>
      <c r="M179" s="157"/>
    </row>
    <row r="180" spans="1:17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1:17" ht="57" customHeight="1">
      <c r="A181" s="199" t="s">
        <v>30</v>
      </c>
      <c r="B181" s="200"/>
      <c r="C181" s="201"/>
      <c r="D181" s="251" t="s">
        <v>31</v>
      </c>
      <c r="E181" s="252"/>
      <c r="F181" s="252"/>
      <c r="G181" s="252"/>
      <c r="H181" s="252"/>
      <c r="I181" s="252"/>
      <c r="J181" s="252"/>
      <c r="K181" s="252"/>
      <c r="L181" s="253"/>
      <c r="M181" s="254" t="s">
        <v>35</v>
      </c>
      <c r="N181" s="112"/>
      <c r="Q181" s="128">
        <f>H178+H172+H157+F126+F120+F115+G110+G100+H90+H79+H71</f>
        <v>0</v>
      </c>
    </row>
    <row r="182" spans="1:17" ht="24" customHeight="1">
      <c r="A182" s="9" t="s">
        <v>32</v>
      </c>
      <c r="B182" s="104" t="s">
        <v>33</v>
      </c>
      <c r="C182" s="9" t="s">
        <v>34</v>
      </c>
      <c r="D182" s="8" t="s">
        <v>120</v>
      </c>
      <c r="E182" s="8" t="s">
        <v>121</v>
      </c>
      <c r="F182" s="8" t="s">
        <v>122</v>
      </c>
      <c r="G182" s="8" t="s">
        <v>123</v>
      </c>
      <c r="H182" s="8" t="s">
        <v>144</v>
      </c>
      <c r="I182" s="8" t="s">
        <v>150</v>
      </c>
      <c r="J182" s="8" t="s">
        <v>124</v>
      </c>
      <c r="K182" s="34" t="s">
        <v>125</v>
      </c>
      <c r="L182" s="141" t="s">
        <v>123</v>
      </c>
      <c r="M182" s="260"/>
      <c r="N182" s="112"/>
    </row>
    <row r="183" spans="1:17" ht="15" thickBot="1">
      <c r="A183" s="14">
        <f>J70</f>
        <v>13096.03</v>
      </c>
      <c r="B183" s="14"/>
      <c r="C183" s="14"/>
      <c r="D183" s="14">
        <f>J78</f>
        <v>86.14</v>
      </c>
      <c r="E183" s="14">
        <f>J89</f>
        <v>2111.9</v>
      </c>
      <c r="F183" s="14">
        <f>I99</f>
        <v>345.42885999999999</v>
      </c>
      <c r="G183" s="14">
        <f>I109</f>
        <v>373.00814000000003</v>
      </c>
      <c r="H183" s="14">
        <f>H114</f>
        <v>7.87</v>
      </c>
      <c r="I183" s="14">
        <f>H125</f>
        <v>21.983000000000001</v>
      </c>
      <c r="J183" s="14">
        <f>H119</f>
        <v>29.75</v>
      </c>
      <c r="K183" s="94">
        <f>J156</f>
        <v>15103.67</v>
      </c>
      <c r="L183" s="93">
        <f>J171+J177+H162+H166</f>
        <v>1356.52</v>
      </c>
      <c r="M183" s="93">
        <f>SUM(D183:L183)+A183</f>
        <v>32532.300000000003</v>
      </c>
      <c r="N183" s="113"/>
    </row>
    <row r="184" spans="1:17" ht="15" thickBo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P184" s="89">
        <f>M183*1</f>
        <v>32532.300000000003</v>
      </c>
    </row>
    <row r="185" spans="1:17" ht="15" thickBot="1">
      <c r="A185" s="13" t="s">
        <v>64</v>
      </c>
      <c r="B185" s="13"/>
      <c r="C185" s="13"/>
      <c r="D185" s="10"/>
      <c r="E185" s="10"/>
      <c r="F185" s="10"/>
      <c r="G185" s="10"/>
      <c r="H185" s="10"/>
      <c r="I185" s="10"/>
      <c r="J185" s="65">
        <f>H78+H89+G99+G109+F119+H70+H156+H171+H177+F114+F125+F162+F166</f>
        <v>32532.300000000003</v>
      </c>
      <c r="K185" s="10"/>
      <c r="L185" s="10"/>
      <c r="M185" s="10"/>
      <c r="P185" s="128"/>
    </row>
    <row r="186" spans="1:17" ht="26.25" customHeight="1">
      <c r="A186" s="10"/>
      <c r="B186" s="10"/>
      <c r="C186" s="10"/>
      <c r="D186" s="10"/>
      <c r="E186" s="10"/>
      <c r="F186" s="10"/>
      <c r="G186" s="10"/>
      <c r="H186" s="10"/>
      <c r="I186" s="10"/>
      <c r="K186" s="10"/>
      <c r="L186" s="10"/>
      <c r="N186" s="248"/>
      <c r="O186" s="248"/>
    </row>
    <row r="187" spans="1:17" ht="17.25" customHeight="1">
      <c r="A187" s="2" t="s">
        <v>117</v>
      </c>
      <c r="B187" s="2"/>
      <c r="C187" s="2"/>
      <c r="I187" s="2" t="s">
        <v>118</v>
      </c>
    </row>
    <row r="188" spans="1:17" ht="9.75" customHeight="1"/>
    <row r="189" spans="1:17" ht="15.6">
      <c r="A189" s="101" t="s">
        <v>43</v>
      </c>
      <c r="B189" s="6"/>
    </row>
    <row r="190" spans="1:17" ht="15.6">
      <c r="A190" s="101" t="s">
        <v>143</v>
      </c>
      <c r="B190" s="6"/>
    </row>
    <row r="191" spans="1:17" ht="15.6">
      <c r="A191" s="101" t="s">
        <v>81</v>
      </c>
      <c r="C191" s="6"/>
    </row>
    <row r="192" spans="1:17" ht="15.6">
      <c r="A192" s="1"/>
      <c r="B192" s="1"/>
      <c r="C192" s="1"/>
    </row>
    <row r="194" spans="8:10">
      <c r="J194" s="261">
        <f>J185/0.1%</f>
        <v>32532300.000000004</v>
      </c>
    </row>
    <row r="195" spans="8:10">
      <c r="J195">
        <f>J194-32532300</f>
        <v>0</v>
      </c>
    </row>
    <row r="196" spans="8:10">
      <c r="H196">
        <f>L70+L156</f>
        <v>0</v>
      </c>
    </row>
    <row r="198" spans="8:10">
      <c r="H198">
        <f>K177+K171+I162+L156+I125+I119+I114+J109+J99+K89+K78+L70</f>
        <v>0</v>
      </c>
      <c r="J198">
        <v>31996700</v>
      </c>
    </row>
    <row r="201" spans="8:10">
      <c r="J201">
        <f>J194-J198</f>
        <v>535600.00000000373</v>
      </c>
    </row>
  </sheetData>
  <mergeCells count="182">
    <mergeCell ref="A101:M101"/>
    <mergeCell ref="A102:D102"/>
    <mergeCell ref="A103:D103"/>
    <mergeCell ref="A98:D98"/>
    <mergeCell ref="A95:D95"/>
    <mergeCell ref="A96:D96"/>
    <mergeCell ref="A97:D97"/>
    <mergeCell ref="M181:M182"/>
    <mergeCell ref="N186:O186"/>
    <mergeCell ref="A116:M116"/>
    <mergeCell ref="A117:D117"/>
    <mergeCell ref="A121:M121"/>
    <mergeCell ref="A127:M127"/>
    <mergeCell ref="A147:D147"/>
    <mergeCell ref="A148:D148"/>
    <mergeCell ref="A158:K158"/>
    <mergeCell ref="A171:G171"/>
    <mergeCell ref="A122:D122"/>
    <mergeCell ref="A152:D152"/>
    <mergeCell ref="A153:D153"/>
    <mergeCell ref="A174:D174"/>
    <mergeCell ref="A175:D175"/>
    <mergeCell ref="A176:D176"/>
    <mergeCell ref="A155:D155"/>
    <mergeCell ref="A156:D156"/>
    <mergeCell ref="A173:D173"/>
    <mergeCell ref="A177:G177"/>
    <mergeCell ref="A179:M179"/>
    <mergeCell ref="A181:C181"/>
    <mergeCell ref="A149:D149"/>
    <mergeCell ref="A150:D150"/>
    <mergeCell ref="A151:D151"/>
    <mergeCell ref="A168:D168"/>
    <mergeCell ref="A169:D169"/>
    <mergeCell ref="A170:D170"/>
    <mergeCell ref="A154:D154"/>
    <mergeCell ref="A160:D160"/>
    <mergeCell ref="A161:D161"/>
    <mergeCell ref="A162:D162"/>
    <mergeCell ref="D181:L181"/>
    <mergeCell ref="A164:D164"/>
    <mergeCell ref="A165:D165"/>
    <mergeCell ref="A166:D166"/>
    <mergeCell ref="A143:D143"/>
    <mergeCell ref="A144:D144"/>
    <mergeCell ref="A145:D145"/>
    <mergeCell ref="A146:D146"/>
    <mergeCell ref="A132:D132"/>
    <mergeCell ref="A137:D137"/>
    <mergeCell ref="A135:D135"/>
    <mergeCell ref="A136:D136"/>
    <mergeCell ref="A133:D133"/>
    <mergeCell ref="A134:D134"/>
    <mergeCell ref="A138:D138"/>
    <mergeCell ref="A139:D139"/>
    <mergeCell ref="A140:D140"/>
    <mergeCell ref="A141:D141"/>
    <mergeCell ref="A142:D142"/>
    <mergeCell ref="A128:D128"/>
    <mergeCell ref="A129:D129"/>
    <mergeCell ref="A130:D130"/>
    <mergeCell ref="A131:D131"/>
    <mergeCell ref="A118:D118"/>
    <mergeCell ref="A119:D119"/>
    <mergeCell ref="A123:D123"/>
    <mergeCell ref="A124:D124"/>
    <mergeCell ref="A125:D125"/>
    <mergeCell ref="A114:D114"/>
    <mergeCell ref="A104:D104"/>
    <mergeCell ref="A105:D105"/>
    <mergeCell ref="A106:D106"/>
    <mergeCell ref="A109:D109"/>
    <mergeCell ref="A113:D113"/>
    <mergeCell ref="A107:D107"/>
    <mergeCell ref="A108:D108"/>
    <mergeCell ref="A111:M111"/>
    <mergeCell ref="A112:D112"/>
    <mergeCell ref="A77:D77"/>
    <mergeCell ref="A78:D78"/>
    <mergeCell ref="A81:D81"/>
    <mergeCell ref="A75:D75"/>
    <mergeCell ref="A76:D76"/>
    <mergeCell ref="A84:D84"/>
    <mergeCell ref="A89:D89"/>
    <mergeCell ref="A94:D94"/>
    <mergeCell ref="A85:D85"/>
    <mergeCell ref="A86:D86"/>
    <mergeCell ref="A87:D87"/>
    <mergeCell ref="A88:D88"/>
    <mergeCell ref="A80:M80"/>
    <mergeCell ref="A82:D82"/>
    <mergeCell ref="A83:D83"/>
    <mergeCell ref="A91:M91"/>
    <mergeCell ref="A92:D92"/>
    <mergeCell ref="A93:D93"/>
    <mergeCell ref="A74:D74"/>
    <mergeCell ref="A68:D68"/>
    <mergeCell ref="A69:D69"/>
    <mergeCell ref="A70:D70"/>
    <mergeCell ref="A59:D59"/>
    <mergeCell ref="A60:D60"/>
    <mergeCell ref="A61:D61"/>
    <mergeCell ref="A62:D62"/>
    <mergeCell ref="A63:K63"/>
    <mergeCell ref="A67:D67"/>
    <mergeCell ref="A66:M66"/>
    <mergeCell ref="A73:M73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45:D45"/>
    <mergeCell ref="A46:D46"/>
    <mergeCell ref="A38:E38"/>
    <mergeCell ref="G38:K38"/>
    <mergeCell ref="A53:D53"/>
    <mergeCell ref="A39:D39"/>
    <mergeCell ref="G39:M39"/>
    <mergeCell ref="A40:M40"/>
    <mergeCell ref="A42:D42"/>
    <mergeCell ref="A43:D43"/>
    <mergeCell ref="A44:D4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</mergeCells>
  <pageMargins left="0.51181102362204722" right="0.31496062992125984" top="0.15748031496062992" bottom="0.39370078740157483" header="0.31496062992125984" footer="0.31496062992125984"/>
  <pageSetup paperSize="9" scale="6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Q196"/>
  <sheetViews>
    <sheetView tabSelected="1" view="pageBreakPreview" topLeftCell="A4" zoomScale="60" zoomScaleNormal="80" workbookViewId="0">
      <selection activeCell="R33" sqref="R33"/>
    </sheetView>
  </sheetViews>
  <sheetFormatPr defaultRowHeight="14.4"/>
  <cols>
    <col min="1" max="1" width="10.44140625" customWidth="1"/>
    <col min="2" max="3" width="6.5546875" customWidth="1"/>
    <col min="4" max="4" width="11.33203125" customWidth="1"/>
    <col min="5" max="5" width="11.44140625" customWidth="1"/>
    <col min="6" max="6" width="11.109375" customWidth="1"/>
    <col min="7" max="7" width="12.33203125" customWidth="1"/>
    <col min="8" max="8" width="13" customWidth="1"/>
    <col min="9" max="9" width="10.109375" customWidth="1"/>
    <col min="10" max="10" width="11.6640625" customWidth="1"/>
    <col min="11" max="11" width="12.33203125" customWidth="1"/>
    <col min="12" max="12" width="13.88671875" customWidth="1"/>
    <col min="13" max="13" width="12.5546875" customWidth="1"/>
    <col min="14" max="14" width="10.109375" bestFit="1" customWidth="1"/>
    <col min="16" max="16" width="11.33203125" customWidth="1"/>
  </cols>
  <sheetData>
    <row r="1" spans="1:14" hidden="1"/>
    <row r="2" spans="1:14" ht="15.6" hidden="1">
      <c r="A2" s="183"/>
      <c r="B2" s="183"/>
      <c r="C2" s="183"/>
      <c r="D2" s="183"/>
      <c r="E2" s="183"/>
      <c r="F2" s="183"/>
      <c r="G2" s="183"/>
    </row>
    <row r="3" spans="1:14" ht="15.75" hidden="1" customHeight="1">
      <c r="A3" s="183"/>
      <c r="B3" s="183"/>
      <c r="C3" s="41"/>
      <c r="D3" s="41"/>
      <c r="E3" s="86"/>
      <c r="F3" s="41"/>
      <c r="G3" s="41"/>
    </row>
    <row r="4" spans="1:14" ht="27.75" customHeight="1">
      <c r="A4" s="184"/>
      <c r="B4" s="184"/>
      <c r="C4" s="184"/>
      <c r="D4" s="102"/>
      <c r="E4" s="184"/>
      <c r="F4" s="184"/>
      <c r="G4" s="43"/>
      <c r="H4" s="256"/>
      <c r="I4" s="171"/>
      <c r="J4" s="171"/>
      <c r="K4" s="171"/>
      <c r="L4" s="106"/>
    </row>
    <row r="5" spans="1:14" ht="7.5" customHeight="1">
      <c r="A5" s="3"/>
      <c r="B5" s="3"/>
      <c r="C5" s="3"/>
      <c r="D5" s="85"/>
      <c r="E5" s="3"/>
      <c r="F5" s="3"/>
      <c r="G5" s="85"/>
    </row>
    <row r="6" spans="1:14">
      <c r="A6" s="87"/>
      <c r="B6" s="87"/>
      <c r="C6" s="87"/>
      <c r="D6" s="87"/>
      <c r="E6" s="87"/>
      <c r="F6" s="87"/>
      <c r="G6" s="87"/>
    </row>
    <row r="7" spans="1:14" ht="15.6">
      <c r="A7" s="169" t="s">
        <v>119</v>
      </c>
      <c r="B7" s="170"/>
      <c r="C7" s="170"/>
      <c r="D7" s="170"/>
      <c r="E7" s="170"/>
      <c r="F7" s="170"/>
      <c r="G7" s="171"/>
      <c r="H7" s="171"/>
      <c r="I7" s="171"/>
      <c r="J7" s="171"/>
      <c r="K7" s="171"/>
      <c r="L7" s="171"/>
      <c r="M7" s="171"/>
    </row>
    <row r="8" spans="1:14" ht="15.6">
      <c r="A8" s="169" t="s">
        <v>152</v>
      </c>
      <c r="B8" s="170"/>
      <c r="C8" s="170"/>
      <c r="D8" s="170"/>
      <c r="E8" s="170"/>
      <c r="F8" s="170"/>
      <c r="G8" s="171"/>
      <c r="H8" s="171"/>
      <c r="I8" s="171"/>
      <c r="J8" s="171"/>
      <c r="K8" s="171"/>
      <c r="L8" s="171"/>
      <c r="M8" s="171"/>
    </row>
    <row r="9" spans="1:14" ht="12" customHeight="1"/>
    <row r="10" spans="1:14" ht="7.5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4" ht="15.6">
      <c r="A11" s="7" t="s">
        <v>126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ht="17.25" customHeight="1">
      <c r="A12" s="208" t="s">
        <v>103</v>
      </c>
      <c r="B12" s="209"/>
      <c r="C12" s="209"/>
      <c r="D12" s="209"/>
      <c r="E12" s="209"/>
      <c r="F12" s="209"/>
      <c r="G12" s="209"/>
      <c r="H12" s="209"/>
      <c r="I12" s="209"/>
      <c r="J12" s="209"/>
      <c r="K12" s="209"/>
      <c r="L12" s="209"/>
      <c r="M12" s="209"/>
    </row>
    <row r="13" spans="1:14" ht="15.6">
      <c r="A13" s="7" t="s">
        <v>58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spans="1:14" ht="15.6">
      <c r="A14" s="7" t="s">
        <v>102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4" ht="15.6">
      <c r="A15" s="7" t="s">
        <v>130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4" ht="51.75" customHeight="1">
      <c r="A16" s="195" t="s">
        <v>66</v>
      </c>
      <c r="B16" s="195"/>
      <c r="C16" s="195"/>
      <c r="D16" s="195"/>
      <c r="E16" s="195"/>
      <c r="F16" s="8" t="s">
        <v>65</v>
      </c>
      <c r="G16" s="195" t="s">
        <v>67</v>
      </c>
      <c r="H16" s="195"/>
      <c r="I16" s="195"/>
      <c r="J16" s="195"/>
      <c r="K16" s="195"/>
      <c r="L16" s="8" t="s">
        <v>65</v>
      </c>
      <c r="N16" s="116"/>
    </row>
    <row r="17" spans="1:12">
      <c r="A17" s="196" t="s">
        <v>86</v>
      </c>
      <c r="B17" s="196"/>
      <c r="C17" s="196"/>
      <c r="D17" s="196"/>
      <c r="E17" s="196"/>
      <c r="F17" s="108">
        <f>5*0.1%</f>
        <v>5.0000000000000001E-3</v>
      </c>
      <c r="G17" s="197" t="s">
        <v>1</v>
      </c>
      <c r="H17" s="197"/>
      <c r="I17" s="197"/>
      <c r="J17" s="197"/>
      <c r="K17" s="197"/>
      <c r="L17" s="108">
        <f>1*0.1%</f>
        <v>1E-3</v>
      </c>
    </row>
    <row r="18" spans="1:12">
      <c r="A18" s="196" t="s">
        <v>87</v>
      </c>
      <c r="B18" s="196"/>
      <c r="C18" s="196"/>
      <c r="D18" s="196"/>
      <c r="E18" s="196"/>
      <c r="F18" s="108">
        <f>10.08*0.1%</f>
        <v>1.008E-2</v>
      </c>
      <c r="G18" s="189" t="s">
        <v>88</v>
      </c>
      <c r="H18" s="190"/>
      <c r="I18" s="190"/>
      <c r="J18" s="190"/>
      <c r="K18" s="191"/>
      <c r="L18" s="108">
        <f>3*0.1%</f>
        <v>3.0000000000000001E-3</v>
      </c>
    </row>
    <row r="19" spans="1:12">
      <c r="A19" s="189" t="s">
        <v>100</v>
      </c>
      <c r="B19" s="190"/>
      <c r="C19" s="190"/>
      <c r="D19" s="190"/>
      <c r="E19" s="198"/>
      <c r="F19" s="108">
        <f>6.5*0.1%</f>
        <v>6.5000000000000006E-3</v>
      </c>
      <c r="G19" s="196" t="s">
        <v>89</v>
      </c>
      <c r="H19" s="196"/>
      <c r="I19" s="196"/>
      <c r="J19" s="196"/>
      <c r="K19" s="196"/>
      <c r="L19" s="108">
        <f>1*0.1%</f>
        <v>1E-3</v>
      </c>
    </row>
    <row r="20" spans="1:12">
      <c r="A20" s="196"/>
      <c r="B20" s="196"/>
      <c r="C20" s="196"/>
      <c r="D20" s="196"/>
      <c r="E20" s="196"/>
      <c r="F20" s="99"/>
      <c r="G20" s="210" t="s">
        <v>72</v>
      </c>
      <c r="H20" s="211"/>
      <c r="I20" s="211"/>
      <c r="J20" s="211"/>
      <c r="K20" s="212"/>
      <c r="L20" s="108">
        <f>1*0.1%</f>
        <v>1E-3</v>
      </c>
    </row>
    <row r="21" spans="1:12" ht="15" customHeight="1">
      <c r="A21" s="196"/>
      <c r="B21" s="196"/>
      <c r="C21" s="196"/>
      <c r="D21" s="196"/>
      <c r="E21" s="196"/>
      <c r="F21" s="99"/>
      <c r="G21" s="186" t="s">
        <v>70</v>
      </c>
      <c r="H21" s="187"/>
      <c r="I21" s="187"/>
      <c r="J21" s="187"/>
      <c r="K21" s="188"/>
      <c r="L21" s="108">
        <f>1*0.1%</f>
        <v>1E-3</v>
      </c>
    </row>
    <row r="22" spans="1:12" ht="15" customHeight="1">
      <c r="A22" s="196"/>
      <c r="B22" s="196"/>
      <c r="C22" s="196"/>
      <c r="D22" s="196"/>
      <c r="E22" s="196"/>
      <c r="F22" s="99"/>
      <c r="G22" s="158" t="s">
        <v>90</v>
      </c>
      <c r="H22" s="159"/>
      <c r="I22" s="159"/>
      <c r="J22" s="159"/>
      <c r="K22" s="172"/>
      <c r="L22" s="108">
        <f>0.5*0.1%</f>
        <v>5.0000000000000001E-4</v>
      </c>
    </row>
    <row r="23" spans="1:12">
      <c r="A23" s="196"/>
      <c r="B23" s="196"/>
      <c r="C23" s="196"/>
      <c r="D23" s="196"/>
      <c r="E23" s="196"/>
      <c r="F23" s="99"/>
      <c r="G23" s="186" t="s">
        <v>91</v>
      </c>
      <c r="H23" s="187"/>
      <c r="I23" s="187"/>
      <c r="J23" s="187"/>
      <c r="K23" s="188"/>
      <c r="L23" s="108">
        <f>1*0.1%</f>
        <v>1E-3</v>
      </c>
    </row>
    <row r="24" spans="1:12" ht="28.2" customHeight="1">
      <c r="A24" s="189"/>
      <c r="B24" s="190"/>
      <c r="C24" s="190"/>
      <c r="D24" s="190"/>
      <c r="E24" s="191"/>
      <c r="F24" s="99"/>
      <c r="G24" s="186" t="s">
        <v>133</v>
      </c>
      <c r="H24" s="187"/>
      <c r="I24" s="187"/>
      <c r="J24" s="187"/>
      <c r="K24" s="188"/>
      <c r="L24" s="108">
        <f>1*0.1%</f>
        <v>1E-3</v>
      </c>
    </row>
    <row r="25" spans="1:12">
      <c r="A25" s="189"/>
      <c r="B25" s="190"/>
      <c r="C25" s="190"/>
      <c r="D25" s="190"/>
      <c r="E25" s="191"/>
      <c r="F25" s="100"/>
      <c r="G25" s="186" t="s">
        <v>134</v>
      </c>
      <c r="H25" s="187"/>
      <c r="I25" s="187"/>
      <c r="J25" s="187"/>
      <c r="K25" s="188"/>
      <c r="L25" s="108">
        <f>1*0.1%</f>
        <v>1E-3</v>
      </c>
    </row>
    <row r="26" spans="1:12" ht="15.75" customHeight="1">
      <c r="A26" s="189"/>
      <c r="B26" s="190"/>
      <c r="C26" s="190"/>
      <c r="D26" s="190"/>
      <c r="E26" s="191"/>
      <c r="F26" s="100"/>
      <c r="G26" s="192" t="s">
        <v>92</v>
      </c>
      <c r="H26" s="193"/>
      <c r="I26" s="193"/>
      <c r="J26" s="193"/>
      <c r="K26" s="194"/>
      <c r="L26" s="108">
        <f>2*0.1%</f>
        <v>2E-3</v>
      </c>
    </row>
    <row r="27" spans="1:12" ht="15.75" customHeight="1">
      <c r="A27" s="189"/>
      <c r="B27" s="190"/>
      <c r="C27" s="190"/>
      <c r="D27" s="190"/>
      <c r="E27" s="191"/>
      <c r="F27" s="100"/>
      <c r="G27" s="186" t="s">
        <v>71</v>
      </c>
      <c r="H27" s="187"/>
      <c r="I27" s="187"/>
      <c r="J27" s="187"/>
      <c r="K27" s="188"/>
      <c r="L27" s="108">
        <f>1*0.1%</f>
        <v>1E-3</v>
      </c>
    </row>
    <row r="28" spans="1:12" ht="15" customHeight="1">
      <c r="A28" s="185"/>
      <c r="B28" s="185"/>
      <c r="C28" s="185"/>
      <c r="D28" s="185"/>
      <c r="E28" s="185"/>
      <c r="F28" s="100"/>
      <c r="G28" s="158" t="s">
        <v>93</v>
      </c>
      <c r="H28" s="159"/>
      <c r="I28" s="159"/>
      <c r="J28" s="159"/>
      <c r="K28" s="172"/>
      <c r="L28" s="108">
        <f>4.75*0.1%</f>
        <v>4.7499999999999999E-3</v>
      </c>
    </row>
    <row r="29" spans="1:12" ht="15.75" customHeight="1">
      <c r="A29" s="185"/>
      <c r="B29" s="185"/>
      <c r="C29" s="185"/>
      <c r="D29" s="185"/>
      <c r="E29" s="185"/>
      <c r="F29" s="100"/>
      <c r="G29" s="158" t="s">
        <v>131</v>
      </c>
      <c r="H29" s="159"/>
      <c r="I29" s="159"/>
      <c r="J29" s="159"/>
      <c r="K29" s="172"/>
      <c r="L29" s="108">
        <f>3.5*0.1%</f>
        <v>3.5000000000000001E-3</v>
      </c>
    </row>
    <row r="30" spans="1:12">
      <c r="A30" s="207"/>
      <c r="B30" s="207"/>
      <c r="C30" s="207"/>
      <c r="D30" s="207"/>
      <c r="E30" s="207"/>
      <c r="F30" s="40"/>
      <c r="G30" s="158" t="s">
        <v>94</v>
      </c>
      <c r="H30" s="159"/>
      <c r="I30" s="159"/>
      <c r="J30" s="159"/>
      <c r="K30" s="172"/>
      <c r="L30" s="108">
        <f>2*0.1%</f>
        <v>2E-3</v>
      </c>
    </row>
    <row r="31" spans="1:12" ht="14.4" customHeight="1">
      <c r="A31" s="207"/>
      <c r="B31" s="207"/>
      <c r="C31" s="207"/>
      <c r="D31" s="207"/>
      <c r="E31" s="207"/>
      <c r="F31" s="40"/>
      <c r="G31" s="158" t="s">
        <v>95</v>
      </c>
      <c r="H31" s="159"/>
      <c r="I31" s="159"/>
      <c r="J31" s="159"/>
      <c r="K31" s="172"/>
      <c r="L31" s="108">
        <f>0.5*0.1%</f>
        <v>5.0000000000000001E-4</v>
      </c>
    </row>
    <row r="32" spans="1:12" ht="12.75" customHeight="1">
      <c r="A32" s="207"/>
      <c r="B32" s="207"/>
      <c r="C32" s="207"/>
      <c r="D32" s="207"/>
      <c r="E32" s="207"/>
      <c r="F32" s="40"/>
      <c r="G32" s="158" t="s">
        <v>96</v>
      </c>
      <c r="H32" s="159"/>
      <c r="I32" s="159"/>
      <c r="J32" s="159"/>
      <c r="K32" s="172"/>
      <c r="L32" s="108">
        <f>0.5*0.1%</f>
        <v>5.0000000000000001E-4</v>
      </c>
    </row>
    <row r="33" spans="1:14" ht="15" customHeight="1">
      <c r="A33" s="207"/>
      <c r="B33" s="207"/>
      <c r="C33" s="207"/>
      <c r="D33" s="207"/>
      <c r="E33" s="207"/>
      <c r="F33" s="40"/>
      <c r="G33" s="158" t="s">
        <v>97</v>
      </c>
      <c r="H33" s="159"/>
      <c r="I33" s="159"/>
      <c r="J33" s="159"/>
      <c r="K33" s="172"/>
      <c r="L33" s="108">
        <f>12.5*0.1%</f>
        <v>1.2500000000000001E-2</v>
      </c>
    </row>
    <row r="34" spans="1:14">
      <c r="A34" s="235"/>
      <c r="B34" s="236"/>
      <c r="C34" s="236"/>
      <c r="D34" s="236"/>
      <c r="E34" s="237"/>
      <c r="F34" s="40"/>
      <c r="G34" s="189" t="s">
        <v>132</v>
      </c>
      <c r="H34" s="190"/>
      <c r="I34" s="190"/>
      <c r="J34" s="190"/>
      <c r="K34" s="191"/>
      <c r="L34" s="108">
        <f>2*0.1%</f>
        <v>2E-3</v>
      </c>
    </row>
    <row r="35" spans="1:14" ht="15" customHeight="1">
      <c r="A35" s="235"/>
      <c r="B35" s="236"/>
      <c r="C35" s="236"/>
      <c r="D35" s="236"/>
      <c r="E35" s="237"/>
      <c r="F35" s="40"/>
      <c r="G35" s="189" t="s">
        <v>98</v>
      </c>
      <c r="H35" s="190"/>
      <c r="I35" s="190"/>
      <c r="J35" s="190"/>
      <c r="K35" s="191"/>
      <c r="L35" s="108">
        <f>1*0.1%</f>
        <v>1E-3</v>
      </c>
    </row>
    <row r="36" spans="1:14" ht="15" customHeight="1">
      <c r="A36" s="235"/>
      <c r="B36" s="236"/>
      <c r="C36" s="236"/>
      <c r="D36" s="236"/>
      <c r="E36" s="237"/>
      <c r="F36" s="40"/>
      <c r="G36" s="189" t="s">
        <v>99</v>
      </c>
      <c r="H36" s="190"/>
      <c r="I36" s="190"/>
      <c r="J36" s="190"/>
      <c r="K36" s="225"/>
      <c r="L36" s="108">
        <f>1*0.1%</f>
        <v>1E-3</v>
      </c>
    </row>
    <row r="37" spans="1:14" ht="15" customHeight="1">
      <c r="A37" s="235"/>
      <c r="B37" s="236"/>
      <c r="C37" s="236"/>
      <c r="D37" s="236"/>
      <c r="E37" s="237"/>
      <c r="F37" s="40"/>
      <c r="G37" s="226"/>
      <c r="H37" s="227"/>
      <c r="I37" s="227"/>
      <c r="J37" s="227"/>
      <c r="K37" s="228"/>
      <c r="L37" s="117"/>
      <c r="M37" s="118"/>
    </row>
    <row r="38" spans="1:14" ht="15" customHeight="1">
      <c r="A38" s="165" t="s">
        <v>2</v>
      </c>
      <c r="B38" s="165"/>
      <c r="C38" s="165"/>
      <c r="D38" s="165"/>
      <c r="E38" s="165"/>
      <c r="F38" s="115">
        <v>0.02</v>
      </c>
      <c r="G38" s="233" t="s">
        <v>2</v>
      </c>
      <c r="H38" s="233"/>
      <c r="I38" s="233"/>
      <c r="J38" s="233"/>
      <c r="K38" s="233"/>
      <c r="L38" s="114">
        <v>0.04</v>
      </c>
      <c r="N38" s="116">
        <f>L38+F38+'Услуга №2'!F40+'Услуга №2'!M40+'Работа №1'!F40+'Работа №1'!M40+'Работа №2'!F40+'Работа №2'!M40+'Работа №3'!F40+'Работа №3'!M40+'Работа №4'!F40+'Работа №4'!M40</f>
        <v>0.06</v>
      </c>
    </row>
    <row r="39" spans="1:14" ht="98.25" hidden="1" customHeight="1">
      <c r="A39" s="165" t="s">
        <v>2</v>
      </c>
      <c r="B39" s="165"/>
      <c r="C39" s="165"/>
      <c r="D39" s="165"/>
      <c r="E39" s="69">
        <f>SUM(E17:E28)</f>
        <v>0</v>
      </c>
      <c r="F39" s="156"/>
      <c r="G39" s="166" t="s">
        <v>2</v>
      </c>
      <c r="H39" s="166"/>
      <c r="I39" s="166"/>
      <c r="J39" s="166"/>
      <c r="K39" s="166"/>
      <c r="L39" s="166"/>
      <c r="M39" s="166"/>
    </row>
    <row r="40" spans="1:14" hidden="1">
      <c r="A40" s="179" t="s">
        <v>15</v>
      </c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</row>
    <row r="41" spans="1:14" hidden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spans="1:14" ht="80.25" hidden="1" customHeight="1">
      <c r="A42" s="180" t="s">
        <v>6</v>
      </c>
      <c r="B42" s="180"/>
      <c r="C42" s="180"/>
      <c r="D42" s="180"/>
      <c r="E42" s="18" t="s">
        <v>7</v>
      </c>
      <c r="F42" s="18" t="s">
        <v>8</v>
      </c>
      <c r="G42" s="18" t="s">
        <v>9</v>
      </c>
      <c r="H42" s="18" t="s">
        <v>10</v>
      </c>
      <c r="I42" s="18"/>
      <c r="J42" s="18" t="s">
        <v>11</v>
      </c>
      <c r="K42" s="18" t="s">
        <v>12</v>
      </c>
      <c r="L42" s="18"/>
      <c r="M42" s="18" t="s">
        <v>5</v>
      </c>
    </row>
    <row r="43" spans="1:14" ht="15" hidden="1" customHeight="1">
      <c r="A43" s="181">
        <v>1</v>
      </c>
      <c r="B43" s="182"/>
      <c r="C43" s="182"/>
      <c r="D43" s="182"/>
      <c r="E43" s="18">
        <v>2</v>
      </c>
      <c r="F43" s="18">
        <v>3</v>
      </c>
      <c r="G43" s="18">
        <v>4</v>
      </c>
      <c r="H43" s="18" t="s">
        <v>36</v>
      </c>
      <c r="I43" s="18"/>
      <c r="J43" s="18">
        <v>6</v>
      </c>
      <c r="K43" s="18">
        <v>7</v>
      </c>
      <c r="L43" s="18"/>
      <c r="M43" s="18" t="s">
        <v>37</v>
      </c>
    </row>
    <row r="44" spans="1:14" ht="15" hidden="1" customHeight="1">
      <c r="A44" s="168" t="s">
        <v>39</v>
      </c>
      <c r="B44" s="168"/>
      <c r="C44" s="168"/>
      <c r="D44" s="168"/>
      <c r="E44" s="19" t="s">
        <v>13</v>
      </c>
      <c r="F44" s="18">
        <v>7</v>
      </c>
      <c r="G44" s="19">
        <v>10</v>
      </c>
      <c r="H44" s="20">
        <f>F44/G44</f>
        <v>0.7</v>
      </c>
      <c r="I44" s="20"/>
      <c r="J44" s="18">
        <v>20</v>
      </c>
      <c r="K44" s="21">
        <v>7100</v>
      </c>
      <c r="L44" s="21"/>
      <c r="M44" s="21">
        <f>H44*K44</f>
        <v>4970</v>
      </c>
    </row>
    <row r="45" spans="1:14" ht="15" hidden="1" customHeight="1">
      <c r="A45" s="168" t="s">
        <v>40</v>
      </c>
      <c r="B45" s="168"/>
      <c r="C45" s="168"/>
      <c r="D45" s="168"/>
      <c r="E45" s="19" t="s">
        <v>13</v>
      </c>
      <c r="F45" s="18">
        <v>1</v>
      </c>
      <c r="G45" s="19">
        <v>10</v>
      </c>
      <c r="H45" s="20">
        <f t="shared" ref="H45:H61" si="0">F45/G45</f>
        <v>0.1</v>
      </c>
      <c r="I45" s="20"/>
      <c r="J45" s="18">
        <v>20</v>
      </c>
      <c r="K45" s="21">
        <v>538700</v>
      </c>
      <c r="L45" s="21"/>
      <c r="M45" s="21">
        <f t="shared" ref="M45:M62" si="1">H45*K45</f>
        <v>53870</v>
      </c>
    </row>
    <row r="46" spans="1:14" ht="15" hidden="1" customHeight="1">
      <c r="A46" s="168" t="s">
        <v>41</v>
      </c>
      <c r="B46" s="168"/>
      <c r="C46" s="168"/>
      <c r="D46" s="168"/>
      <c r="E46" s="19" t="s">
        <v>13</v>
      </c>
      <c r="F46" s="18">
        <v>1</v>
      </c>
      <c r="G46" s="19">
        <v>10</v>
      </c>
      <c r="H46" s="20">
        <f t="shared" si="0"/>
        <v>0.1</v>
      </c>
      <c r="I46" s="20"/>
      <c r="J46" s="18">
        <v>20</v>
      </c>
      <c r="K46" s="21">
        <v>380000</v>
      </c>
      <c r="L46" s="21"/>
      <c r="M46" s="21">
        <f t="shared" si="1"/>
        <v>38000</v>
      </c>
    </row>
    <row r="47" spans="1:14" ht="12.75" hidden="1" customHeight="1">
      <c r="A47" s="168"/>
      <c r="B47" s="168"/>
      <c r="C47" s="168"/>
      <c r="D47" s="168"/>
      <c r="E47" s="19" t="s">
        <v>13</v>
      </c>
      <c r="F47" s="18"/>
      <c r="G47" s="19">
        <v>10</v>
      </c>
      <c r="H47" s="20">
        <f t="shared" si="0"/>
        <v>0</v>
      </c>
      <c r="I47" s="20"/>
      <c r="J47" s="18"/>
      <c r="K47" s="21"/>
      <c r="L47" s="21"/>
      <c r="M47" s="21">
        <f t="shared" si="1"/>
        <v>0</v>
      </c>
    </row>
    <row r="48" spans="1:14" ht="15" hidden="1" customHeight="1">
      <c r="A48" s="168"/>
      <c r="B48" s="168"/>
      <c r="C48" s="168"/>
      <c r="D48" s="168"/>
      <c r="E48" s="19" t="s">
        <v>13</v>
      </c>
      <c r="F48" s="18"/>
      <c r="G48" s="19">
        <v>10</v>
      </c>
      <c r="H48" s="20">
        <f t="shared" si="0"/>
        <v>0</v>
      </c>
      <c r="I48" s="20"/>
      <c r="J48" s="18"/>
      <c r="K48" s="21"/>
      <c r="L48" s="21"/>
      <c r="M48" s="21">
        <f t="shared" si="1"/>
        <v>0</v>
      </c>
    </row>
    <row r="49" spans="1:13" ht="15" hidden="1" customHeight="1">
      <c r="A49" s="173"/>
      <c r="B49" s="174"/>
      <c r="C49" s="174"/>
      <c r="D49" s="174"/>
      <c r="E49" s="19" t="s">
        <v>13</v>
      </c>
      <c r="F49" s="18"/>
      <c r="G49" s="19">
        <v>10</v>
      </c>
      <c r="H49" s="20">
        <f t="shared" si="0"/>
        <v>0</v>
      </c>
      <c r="I49" s="20"/>
      <c r="J49" s="18"/>
      <c r="K49" s="21"/>
      <c r="L49" s="21"/>
      <c r="M49" s="21">
        <f t="shared" si="1"/>
        <v>0</v>
      </c>
    </row>
    <row r="50" spans="1:13" ht="15" hidden="1" customHeight="1">
      <c r="A50" s="173"/>
      <c r="B50" s="174"/>
      <c r="C50" s="174"/>
      <c r="D50" s="174"/>
      <c r="E50" s="19" t="s">
        <v>13</v>
      </c>
      <c r="F50" s="18"/>
      <c r="G50" s="19">
        <v>10</v>
      </c>
      <c r="H50" s="20">
        <f t="shared" si="0"/>
        <v>0</v>
      </c>
      <c r="I50" s="20"/>
      <c r="J50" s="18"/>
      <c r="K50" s="21"/>
      <c r="L50" s="21"/>
      <c r="M50" s="21">
        <f t="shared" si="1"/>
        <v>0</v>
      </c>
    </row>
    <row r="51" spans="1:13" ht="15" hidden="1" customHeight="1">
      <c r="A51" s="173"/>
      <c r="B51" s="174"/>
      <c r="C51" s="174"/>
      <c r="D51" s="174"/>
      <c r="E51" s="19" t="s">
        <v>13</v>
      </c>
      <c r="F51" s="18"/>
      <c r="G51" s="19">
        <v>10</v>
      </c>
      <c r="H51" s="20">
        <f t="shared" si="0"/>
        <v>0</v>
      </c>
      <c r="I51" s="20"/>
      <c r="J51" s="18"/>
      <c r="K51" s="21"/>
      <c r="L51" s="21"/>
      <c r="M51" s="21">
        <f t="shared" si="1"/>
        <v>0</v>
      </c>
    </row>
    <row r="52" spans="1:13" ht="15" hidden="1" customHeight="1">
      <c r="A52" s="173"/>
      <c r="B52" s="174"/>
      <c r="C52" s="174"/>
      <c r="D52" s="174"/>
      <c r="E52" s="19" t="s">
        <v>13</v>
      </c>
      <c r="F52" s="18"/>
      <c r="G52" s="19">
        <v>10</v>
      </c>
      <c r="H52" s="20">
        <f t="shared" si="0"/>
        <v>0</v>
      </c>
      <c r="I52" s="20"/>
      <c r="J52" s="18"/>
      <c r="K52" s="21"/>
      <c r="L52" s="21"/>
      <c r="M52" s="21">
        <f t="shared" si="1"/>
        <v>0</v>
      </c>
    </row>
    <row r="53" spans="1:13" ht="15" hidden="1" customHeight="1">
      <c r="A53" s="173"/>
      <c r="B53" s="174"/>
      <c r="C53" s="174"/>
      <c r="D53" s="174"/>
      <c r="E53" s="19" t="s">
        <v>13</v>
      </c>
      <c r="F53" s="18"/>
      <c r="G53" s="19">
        <v>10</v>
      </c>
      <c r="H53" s="20">
        <f t="shared" si="0"/>
        <v>0</v>
      </c>
      <c r="I53" s="20"/>
      <c r="J53" s="18"/>
      <c r="K53" s="21"/>
      <c r="L53" s="21"/>
      <c r="M53" s="21">
        <f t="shared" si="1"/>
        <v>0</v>
      </c>
    </row>
    <row r="54" spans="1:13" hidden="1">
      <c r="A54" s="175"/>
      <c r="B54" s="176"/>
      <c r="C54" s="176"/>
      <c r="D54" s="176"/>
      <c r="E54" s="19" t="s">
        <v>13</v>
      </c>
      <c r="F54" s="19"/>
      <c r="G54" s="19">
        <v>10</v>
      </c>
      <c r="H54" s="20">
        <f t="shared" si="0"/>
        <v>0</v>
      </c>
      <c r="I54" s="20"/>
      <c r="J54" s="19"/>
      <c r="K54" s="22"/>
      <c r="L54" s="22"/>
      <c r="M54" s="21">
        <f t="shared" si="1"/>
        <v>0</v>
      </c>
    </row>
    <row r="55" spans="1:13" hidden="1">
      <c r="A55" s="175"/>
      <c r="B55" s="176"/>
      <c r="C55" s="176"/>
      <c r="D55" s="176"/>
      <c r="E55" s="19" t="s">
        <v>13</v>
      </c>
      <c r="F55" s="19"/>
      <c r="G55" s="19">
        <v>10</v>
      </c>
      <c r="H55" s="20">
        <f t="shared" si="0"/>
        <v>0</v>
      </c>
      <c r="I55" s="20"/>
      <c r="J55" s="19"/>
      <c r="K55" s="22"/>
      <c r="L55" s="22"/>
      <c r="M55" s="21">
        <f t="shared" si="1"/>
        <v>0</v>
      </c>
    </row>
    <row r="56" spans="1:13" hidden="1">
      <c r="A56" s="175"/>
      <c r="B56" s="176"/>
      <c r="C56" s="176"/>
      <c r="D56" s="176"/>
      <c r="E56" s="19" t="s">
        <v>13</v>
      </c>
      <c r="F56" s="19"/>
      <c r="G56" s="19">
        <v>10</v>
      </c>
      <c r="H56" s="20">
        <f t="shared" si="0"/>
        <v>0</v>
      </c>
      <c r="I56" s="20"/>
      <c r="J56" s="19"/>
      <c r="K56" s="22"/>
      <c r="L56" s="22"/>
      <c r="M56" s="21">
        <f t="shared" si="1"/>
        <v>0</v>
      </c>
    </row>
    <row r="57" spans="1:13" hidden="1">
      <c r="A57" s="175"/>
      <c r="B57" s="176"/>
      <c r="C57" s="176"/>
      <c r="D57" s="176"/>
      <c r="E57" s="19" t="s">
        <v>13</v>
      </c>
      <c r="F57" s="19"/>
      <c r="G57" s="19">
        <v>10</v>
      </c>
      <c r="H57" s="20">
        <f t="shared" si="0"/>
        <v>0</v>
      </c>
      <c r="I57" s="20"/>
      <c r="J57" s="19"/>
      <c r="K57" s="22"/>
      <c r="L57" s="22"/>
      <c r="M57" s="21">
        <f t="shared" si="1"/>
        <v>0</v>
      </c>
    </row>
    <row r="58" spans="1:13" hidden="1">
      <c r="A58" s="175"/>
      <c r="B58" s="176"/>
      <c r="C58" s="176"/>
      <c r="D58" s="176"/>
      <c r="E58" s="19" t="s">
        <v>13</v>
      </c>
      <c r="F58" s="19"/>
      <c r="G58" s="19">
        <v>10</v>
      </c>
      <c r="H58" s="20">
        <f t="shared" si="0"/>
        <v>0</v>
      </c>
      <c r="I58" s="20"/>
      <c r="J58" s="19"/>
      <c r="K58" s="22"/>
      <c r="L58" s="22"/>
      <c r="M58" s="21">
        <f t="shared" si="1"/>
        <v>0</v>
      </c>
    </row>
    <row r="59" spans="1:13" hidden="1">
      <c r="A59" s="175"/>
      <c r="B59" s="176"/>
      <c r="C59" s="176"/>
      <c r="D59" s="176"/>
      <c r="E59" s="19" t="s">
        <v>13</v>
      </c>
      <c r="F59" s="19"/>
      <c r="G59" s="19">
        <v>10</v>
      </c>
      <c r="H59" s="20">
        <f t="shared" si="0"/>
        <v>0</v>
      </c>
      <c r="I59" s="20"/>
      <c r="J59" s="19"/>
      <c r="K59" s="22"/>
      <c r="L59" s="22"/>
      <c r="M59" s="21">
        <f t="shared" si="1"/>
        <v>0</v>
      </c>
    </row>
    <row r="60" spans="1:13" hidden="1">
      <c r="A60" s="175"/>
      <c r="B60" s="176"/>
      <c r="C60" s="176"/>
      <c r="D60" s="176"/>
      <c r="E60" s="19" t="s">
        <v>13</v>
      </c>
      <c r="F60" s="19"/>
      <c r="G60" s="19">
        <v>10</v>
      </c>
      <c r="H60" s="20">
        <f t="shared" si="0"/>
        <v>0</v>
      </c>
      <c r="I60" s="20"/>
      <c r="J60" s="19"/>
      <c r="K60" s="22"/>
      <c r="L60" s="22"/>
      <c r="M60" s="21">
        <f t="shared" si="1"/>
        <v>0</v>
      </c>
    </row>
    <row r="61" spans="1:13" hidden="1">
      <c r="A61" s="175"/>
      <c r="B61" s="176"/>
      <c r="C61" s="176"/>
      <c r="D61" s="176"/>
      <c r="E61" s="19" t="s">
        <v>13</v>
      </c>
      <c r="F61" s="19"/>
      <c r="G61" s="19">
        <v>10</v>
      </c>
      <c r="H61" s="20">
        <f t="shared" si="0"/>
        <v>0</v>
      </c>
      <c r="I61" s="20"/>
      <c r="J61" s="19"/>
      <c r="K61" s="22"/>
      <c r="L61" s="22"/>
      <c r="M61" s="21">
        <f t="shared" si="1"/>
        <v>0</v>
      </c>
    </row>
    <row r="62" spans="1:13" hidden="1">
      <c r="A62" s="238" t="s">
        <v>59</v>
      </c>
      <c r="B62" s="238"/>
      <c r="C62" s="238"/>
      <c r="D62" s="238"/>
      <c r="E62" s="19"/>
      <c r="F62" s="19"/>
      <c r="G62" s="19"/>
      <c r="H62" s="23"/>
      <c r="I62" s="23"/>
      <c r="J62" s="19"/>
      <c r="K62" s="22"/>
      <c r="L62" s="22"/>
      <c r="M62" s="22">
        <f t="shared" si="1"/>
        <v>0</v>
      </c>
    </row>
    <row r="63" spans="1:13" ht="9" hidden="1" customHeight="1">
      <c r="A63" s="230" t="s">
        <v>14</v>
      </c>
      <c r="B63" s="231"/>
      <c r="C63" s="231"/>
      <c r="D63" s="231"/>
      <c r="E63" s="231"/>
      <c r="F63" s="231"/>
      <c r="G63" s="231"/>
      <c r="H63" s="231"/>
      <c r="I63" s="231"/>
      <c r="J63" s="231"/>
      <c r="K63" s="232"/>
      <c r="L63" s="155"/>
      <c r="M63" s="22">
        <f>M62+M46+M45+M44</f>
        <v>96840</v>
      </c>
    </row>
    <row r="64" spans="1:13" ht="20.25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20.25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15.6">
      <c r="A66" s="234" t="s">
        <v>76</v>
      </c>
      <c r="B66" s="234"/>
      <c r="C66" s="234"/>
      <c r="D66" s="234"/>
      <c r="E66" s="234"/>
      <c r="F66" s="234"/>
      <c r="G66" s="234"/>
      <c r="H66" s="234"/>
      <c r="I66" s="234"/>
      <c r="J66" s="234"/>
      <c r="K66" s="234"/>
      <c r="L66" s="234"/>
      <c r="M66" s="234"/>
    </row>
    <row r="67" spans="1:14" ht="69.599999999999994">
      <c r="A67" s="229" t="s">
        <v>3</v>
      </c>
      <c r="B67" s="229"/>
      <c r="C67" s="229"/>
      <c r="D67" s="229"/>
      <c r="E67" s="8" t="s">
        <v>4</v>
      </c>
      <c r="F67" s="9" t="s">
        <v>0</v>
      </c>
      <c r="G67" s="34" t="s">
        <v>52</v>
      </c>
      <c r="H67" s="34" t="s">
        <v>44</v>
      </c>
      <c r="I67" s="8" t="s">
        <v>63</v>
      </c>
      <c r="J67" s="8" t="s">
        <v>69</v>
      </c>
      <c r="K67" s="8" t="s">
        <v>46</v>
      </c>
      <c r="L67" s="27"/>
      <c r="M67" s="27"/>
    </row>
    <row r="68" spans="1:14">
      <c r="A68" s="204">
        <v>1</v>
      </c>
      <c r="B68" s="205"/>
      <c r="C68" s="205"/>
      <c r="D68" s="205"/>
      <c r="E68" s="25">
        <v>2</v>
      </c>
      <c r="F68" s="11">
        <v>3</v>
      </c>
      <c r="G68" s="25">
        <v>4</v>
      </c>
      <c r="H68" s="25">
        <v>5</v>
      </c>
      <c r="I68" s="26">
        <v>6</v>
      </c>
      <c r="J68" s="35">
        <v>7</v>
      </c>
      <c r="K68" s="36">
        <v>8</v>
      </c>
      <c r="L68" s="109"/>
      <c r="M68" s="27"/>
    </row>
    <row r="69" spans="1:14" ht="40.200000000000003" customHeight="1" thickBot="1">
      <c r="A69" s="206" t="s">
        <v>66</v>
      </c>
      <c r="B69" s="206"/>
      <c r="C69" s="206"/>
      <c r="D69" s="206"/>
      <c r="E69" s="37">
        <f>G69/12/F69</f>
        <v>41909.958333333328</v>
      </c>
      <c r="F69" s="37">
        <v>0.02</v>
      </c>
      <c r="G69" s="131">
        <v>10058.39</v>
      </c>
      <c r="H69" s="37">
        <v>13096.03</v>
      </c>
      <c r="I69" s="44">
        <v>1</v>
      </c>
      <c r="J69" s="37">
        <f>H69/I69</f>
        <v>13096.03</v>
      </c>
      <c r="K69" s="57">
        <f>H69/13096029*100</f>
        <v>0.10000000763590246</v>
      </c>
      <c r="L69" s="110"/>
      <c r="M69" s="15"/>
    </row>
    <row r="70" spans="1:14" ht="15" thickBot="1">
      <c r="A70" s="162" t="s">
        <v>47</v>
      </c>
      <c r="B70" s="162"/>
      <c r="C70" s="162"/>
      <c r="D70" s="162"/>
      <c r="E70" s="62"/>
      <c r="F70" s="154"/>
      <c r="G70" s="154"/>
      <c r="H70" s="66">
        <f>H69</f>
        <v>13096.03</v>
      </c>
      <c r="I70" s="47"/>
      <c r="J70" s="63">
        <f>J69</f>
        <v>13096.03</v>
      </c>
      <c r="K70" s="45"/>
      <c r="L70" s="45"/>
      <c r="M70" s="15"/>
    </row>
    <row r="71" spans="1:14" ht="20.25" customHeight="1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4" ht="20.25" customHeight="1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4">
      <c r="A73" s="157" t="s">
        <v>85</v>
      </c>
      <c r="B73" s="157"/>
      <c r="C73" s="157"/>
      <c r="D73" s="157"/>
      <c r="E73" s="157"/>
      <c r="F73" s="157"/>
      <c r="G73" s="157"/>
      <c r="H73" s="157"/>
      <c r="I73" s="157"/>
      <c r="J73" s="157"/>
      <c r="K73" s="157"/>
      <c r="L73" s="157"/>
      <c r="M73" s="157"/>
    </row>
    <row r="74" spans="1:14" ht="73.5" customHeight="1">
      <c r="A74" s="229" t="s">
        <v>17</v>
      </c>
      <c r="B74" s="229"/>
      <c r="C74" s="229"/>
      <c r="D74" s="229"/>
      <c r="E74" s="8" t="s">
        <v>77</v>
      </c>
      <c r="F74" s="24" t="s">
        <v>55</v>
      </c>
      <c r="G74" s="8" t="s">
        <v>42</v>
      </c>
      <c r="H74" s="8" t="s">
        <v>48</v>
      </c>
      <c r="I74" s="8" t="s">
        <v>63</v>
      </c>
      <c r="J74" s="8" t="s">
        <v>69</v>
      </c>
      <c r="K74" s="10"/>
      <c r="L74" s="10"/>
      <c r="M74" s="10"/>
      <c r="N74" s="116"/>
    </row>
    <row r="75" spans="1:14" ht="18.75" customHeight="1">
      <c r="A75" s="177">
        <v>1</v>
      </c>
      <c r="B75" s="178"/>
      <c r="C75" s="178"/>
      <c r="D75" s="178"/>
      <c r="E75" s="8">
        <v>2</v>
      </c>
      <c r="F75" s="8">
        <v>3</v>
      </c>
      <c r="G75" s="25">
        <v>4</v>
      </c>
      <c r="H75" s="25">
        <v>5</v>
      </c>
      <c r="I75" s="26">
        <v>6</v>
      </c>
      <c r="J75" s="26" t="s">
        <v>45</v>
      </c>
      <c r="K75" s="10"/>
      <c r="L75" s="10"/>
      <c r="M75" s="27"/>
    </row>
    <row r="76" spans="1:14">
      <c r="A76" s="167" t="s">
        <v>51</v>
      </c>
      <c r="B76" s="167"/>
      <c r="C76" s="167"/>
      <c r="D76" s="167"/>
      <c r="E76" s="29">
        <v>5</v>
      </c>
      <c r="F76" s="28">
        <v>12</v>
      </c>
      <c r="G76" s="37">
        <v>687.02</v>
      </c>
      <c r="H76" s="131">
        <f>41221.2*0.1%</f>
        <v>41.221199999999996</v>
      </c>
      <c r="I76" s="44">
        <v>1</v>
      </c>
      <c r="J76" s="37">
        <f>H76/I76</f>
        <v>41.221199999999996</v>
      </c>
      <c r="K76" s="10"/>
      <c r="L76" s="10"/>
      <c r="M76" s="16"/>
    </row>
    <row r="77" spans="1:14" ht="15" thickBot="1">
      <c r="A77" s="167" t="s">
        <v>60</v>
      </c>
      <c r="B77" s="167"/>
      <c r="C77" s="167"/>
      <c r="D77" s="167"/>
      <c r="E77" s="29">
        <v>1</v>
      </c>
      <c r="F77" s="29">
        <v>12</v>
      </c>
      <c r="G77" s="37">
        <v>3743.23</v>
      </c>
      <c r="H77" s="131">
        <f>44918.8*0.1%</f>
        <v>44.918800000000005</v>
      </c>
      <c r="I77" s="44">
        <v>1</v>
      </c>
      <c r="J77" s="37">
        <f>H77/I77</f>
        <v>44.918800000000005</v>
      </c>
      <c r="K77" s="10"/>
      <c r="L77" s="10"/>
      <c r="M77" s="10"/>
    </row>
    <row r="78" spans="1:14" ht="15" thickBot="1">
      <c r="A78" s="213" t="s">
        <v>25</v>
      </c>
      <c r="B78" s="214"/>
      <c r="C78" s="214"/>
      <c r="D78" s="214"/>
      <c r="E78" s="53"/>
      <c r="F78" s="53"/>
      <c r="G78" s="53"/>
      <c r="H78" s="66">
        <f>SUM(H76:H77)</f>
        <v>86.14</v>
      </c>
      <c r="I78" s="47"/>
      <c r="J78" s="54">
        <f>SUM(J76:J77)</f>
        <v>86.14</v>
      </c>
      <c r="K78" s="10"/>
      <c r="L78" s="10"/>
      <c r="M78" s="10"/>
    </row>
    <row r="79" spans="1:14" ht="17.25" customHeight="1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4">
      <c r="A80" s="157" t="s">
        <v>16</v>
      </c>
      <c r="B80" s="157"/>
      <c r="C80" s="157"/>
      <c r="D80" s="157"/>
      <c r="E80" s="157"/>
      <c r="F80" s="157"/>
      <c r="G80" s="157"/>
      <c r="H80" s="157"/>
      <c r="I80" s="157"/>
      <c r="J80" s="157"/>
      <c r="K80" s="157"/>
      <c r="L80" s="157"/>
      <c r="M80" s="157"/>
    </row>
    <row r="81" spans="1:13" ht="73.5" customHeight="1">
      <c r="A81" s="229" t="s">
        <v>17</v>
      </c>
      <c r="B81" s="229"/>
      <c r="C81" s="229"/>
      <c r="D81" s="229"/>
      <c r="E81" s="8" t="s">
        <v>7</v>
      </c>
      <c r="F81" s="24" t="s">
        <v>55</v>
      </c>
      <c r="G81" s="8" t="s">
        <v>42</v>
      </c>
      <c r="H81" s="8" t="s">
        <v>48</v>
      </c>
      <c r="I81" s="8" t="s">
        <v>63</v>
      </c>
      <c r="J81" s="8" t="s">
        <v>69</v>
      </c>
      <c r="K81" s="10"/>
      <c r="L81" s="10"/>
      <c r="M81" s="10"/>
    </row>
    <row r="82" spans="1:13" ht="18.75" customHeight="1">
      <c r="A82" s="177">
        <v>1</v>
      </c>
      <c r="B82" s="178"/>
      <c r="C82" s="178"/>
      <c r="D82" s="178"/>
      <c r="E82" s="8">
        <v>2</v>
      </c>
      <c r="F82" s="8">
        <v>3</v>
      </c>
      <c r="G82" s="25">
        <v>4</v>
      </c>
      <c r="H82" s="25">
        <v>5</v>
      </c>
      <c r="I82" s="26">
        <v>6</v>
      </c>
      <c r="J82" s="26" t="s">
        <v>45</v>
      </c>
      <c r="K82" s="10"/>
      <c r="L82" s="10"/>
      <c r="M82" s="27"/>
    </row>
    <row r="83" spans="1:13">
      <c r="A83" s="167" t="s">
        <v>19</v>
      </c>
      <c r="B83" s="167"/>
      <c r="C83" s="167"/>
      <c r="D83" s="167"/>
      <c r="E83" s="29" t="s">
        <v>22</v>
      </c>
      <c r="F83" s="28">
        <f>H83/G83</f>
        <v>7.1414044658617573E-2</v>
      </c>
      <c r="G83" s="37">
        <v>6441.31</v>
      </c>
      <c r="H83" s="131">
        <f>460000*0.1%</f>
        <v>460</v>
      </c>
      <c r="I83" s="44">
        <v>1</v>
      </c>
      <c r="J83" s="37">
        <f t="shared" ref="J83:J88" si="2">H83/I83</f>
        <v>460</v>
      </c>
      <c r="K83" s="10"/>
      <c r="L83" s="10"/>
      <c r="M83" s="16"/>
    </row>
    <row r="84" spans="1:13">
      <c r="A84" s="167" t="s">
        <v>20</v>
      </c>
      <c r="B84" s="167"/>
      <c r="C84" s="167"/>
      <c r="D84" s="167"/>
      <c r="E84" s="29" t="s">
        <v>23</v>
      </c>
      <c r="F84" s="29">
        <f>H84/G84</f>
        <v>0.77056127917844841</v>
      </c>
      <c r="G84" s="37">
        <v>1690.46</v>
      </c>
      <c r="H84" s="131">
        <f>1302603.02*0.1%</f>
        <v>1302.60302</v>
      </c>
      <c r="I84" s="44">
        <v>1</v>
      </c>
      <c r="J84" s="37">
        <f t="shared" si="2"/>
        <v>1302.60302</v>
      </c>
      <c r="K84" s="10"/>
      <c r="L84" s="10"/>
      <c r="M84" s="10"/>
    </row>
    <row r="85" spans="1:13">
      <c r="A85" s="167" t="s">
        <v>49</v>
      </c>
      <c r="B85" s="167"/>
      <c r="C85" s="167"/>
      <c r="D85" s="167"/>
      <c r="E85" s="29" t="s">
        <v>24</v>
      </c>
      <c r="F85" s="29">
        <f t="shared" ref="F85:F86" si="3">H85/G85</f>
        <v>3.662109375</v>
      </c>
      <c r="G85" s="37">
        <v>40.96</v>
      </c>
      <c r="H85" s="131">
        <f>150000*0.1%</f>
        <v>150</v>
      </c>
      <c r="I85" s="44">
        <v>1</v>
      </c>
      <c r="J85" s="37">
        <f t="shared" si="2"/>
        <v>150</v>
      </c>
      <c r="K85" s="10"/>
      <c r="L85" s="10"/>
      <c r="M85" s="10"/>
    </row>
    <row r="86" spans="1:13">
      <c r="A86" s="239" t="s">
        <v>21</v>
      </c>
      <c r="B86" s="239"/>
      <c r="C86" s="239"/>
      <c r="D86" s="239"/>
      <c r="E86" s="52" t="s">
        <v>24</v>
      </c>
      <c r="F86" s="29">
        <f t="shared" si="3"/>
        <v>2.774518021793797</v>
      </c>
      <c r="G86" s="46">
        <v>59.65</v>
      </c>
      <c r="H86" s="133">
        <f>165500*0.1%</f>
        <v>165.5</v>
      </c>
      <c r="I86" s="44">
        <v>1</v>
      </c>
      <c r="J86" s="46">
        <f t="shared" si="2"/>
        <v>165.5</v>
      </c>
      <c r="K86" s="10"/>
      <c r="L86" s="10"/>
      <c r="M86" s="10"/>
    </row>
    <row r="87" spans="1:13" ht="43.8" customHeight="1">
      <c r="A87" s="219" t="s">
        <v>109</v>
      </c>
      <c r="B87" s="220"/>
      <c r="C87" s="220"/>
      <c r="D87" s="221"/>
      <c r="E87" s="50" t="s">
        <v>27</v>
      </c>
      <c r="F87" s="126">
        <v>1</v>
      </c>
      <c r="G87" s="46"/>
      <c r="H87" s="130">
        <f>6796.98*0.1%</f>
        <v>6.7969799999999996</v>
      </c>
      <c r="I87" s="44">
        <v>1</v>
      </c>
      <c r="J87" s="46">
        <f t="shared" si="2"/>
        <v>6.7969799999999996</v>
      </c>
      <c r="K87" s="10"/>
      <c r="L87" s="10"/>
      <c r="M87" s="10"/>
    </row>
    <row r="88" spans="1:13" ht="15" thickBot="1">
      <c r="A88" s="219" t="s">
        <v>104</v>
      </c>
      <c r="B88" s="220"/>
      <c r="C88" s="220"/>
      <c r="D88" s="221"/>
      <c r="E88" s="50" t="s">
        <v>27</v>
      </c>
      <c r="F88" s="25">
        <v>1</v>
      </c>
      <c r="G88" s="8"/>
      <c r="H88" s="130">
        <f>27000*0.1%</f>
        <v>27</v>
      </c>
      <c r="I88" s="44">
        <v>1</v>
      </c>
      <c r="J88" s="46">
        <f t="shared" si="2"/>
        <v>27</v>
      </c>
      <c r="K88" s="10"/>
      <c r="L88" s="10"/>
      <c r="M88" s="10"/>
    </row>
    <row r="89" spans="1:13" ht="15" thickBot="1">
      <c r="A89" s="213" t="s">
        <v>25</v>
      </c>
      <c r="B89" s="214"/>
      <c r="C89" s="214"/>
      <c r="D89" s="214"/>
      <c r="E89" s="53"/>
      <c r="F89" s="53"/>
      <c r="G89" s="53"/>
      <c r="H89" s="66">
        <f>SUM(H83:H88)</f>
        <v>2111.9</v>
      </c>
      <c r="I89" s="47"/>
      <c r="J89" s="54">
        <f>SUM(J83:J88)</f>
        <v>2111.9</v>
      </c>
      <c r="K89" s="10"/>
      <c r="L89" s="10"/>
      <c r="M89" s="10"/>
    </row>
    <row r="90" spans="1:13" ht="15.75" customHeight="1">
      <c r="A90" s="48"/>
      <c r="B90" s="48"/>
      <c r="C90" s="48"/>
      <c r="D90" s="48"/>
      <c r="E90" s="48"/>
      <c r="F90" s="48"/>
      <c r="G90" s="48"/>
      <c r="H90" s="48"/>
      <c r="I90" s="48"/>
      <c r="J90" s="48"/>
      <c r="K90" s="10"/>
      <c r="L90" s="10"/>
      <c r="M90" s="10"/>
    </row>
    <row r="91" spans="1:13">
      <c r="A91" s="157" t="s">
        <v>26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  <c r="M91" s="157"/>
    </row>
    <row r="92" spans="1:13" ht="83.4">
      <c r="A92" s="215" t="s">
        <v>28</v>
      </c>
      <c r="B92" s="215"/>
      <c r="C92" s="215"/>
      <c r="D92" s="215"/>
      <c r="E92" s="25" t="s">
        <v>7</v>
      </c>
      <c r="F92" s="25" t="s">
        <v>18</v>
      </c>
      <c r="G92" s="8" t="s">
        <v>48</v>
      </c>
      <c r="H92" s="8" t="s">
        <v>74</v>
      </c>
      <c r="I92" s="8" t="s">
        <v>69</v>
      </c>
      <c r="J92" s="10"/>
      <c r="K92" s="10"/>
      <c r="L92" s="10"/>
    </row>
    <row r="93" spans="1:13" ht="15" customHeight="1">
      <c r="A93" s="219" t="s">
        <v>105</v>
      </c>
      <c r="B93" s="220"/>
      <c r="C93" s="220"/>
      <c r="D93" s="221"/>
      <c r="E93" s="50" t="s">
        <v>27</v>
      </c>
      <c r="F93" s="50">
        <v>1</v>
      </c>
      <c r="G93" s="130">
        <f>136560*0.1%</f>
        <v>136.56</v>
      </c>
      <c r="H93" s="44">
        <v>1</v>
      </c>
      <c r="I93" s="90">
        <f>G93/H93</f>
        <v>136.56</v>
      </c>
      <c r="J93" s="10"/>
      <c r="K93" s="10"/>
      <c r="L93" s="10"/>
    </row>
    <row r="94" spans="1:13" ht="15" customHeight="1">
      <c r="A94" s="219" t="s">
        <v>106</v>
      </c>
      <c r="B94" s="220"/>
      <c r="C94" s="220"/>
      <c r="D94" s="221"/>
      <c r="E94" s="50" t="s">
        <v>27</v>
      </c>
      <c r="F94" s="50">
        <v>1</v>
      </c>
      <c r="G94" s="130">
        <f>99000*0.1%</f>
        <v>99</v>
      </c>
      <c r="H94" s="44">
        <v>1</v>
      </c>
      <c r="I94" s="90">
        <f t="shared" ref="I94:I98" si="4">G94/H94</f>
        <v>99</v>
      </c>
      <c r="J94" s="10"/>
      <c r="K94" s="10"/>
      <c r="L94" s="10"/>
    </row>
    <row r="95" spans="1:13" ht="15" customHeight="1">
      <c r="A95" s="219" t="s">
        <v>107</v>
      </c>
      <c r="B95" s="220"/>
      <c r="C95" s="220"/>
      <c r="D95" s="221"/>
      <c r="E95" s="50" t="s">
        <v>27</v>
      </c>
      <c r="F95" s="50">
        <v>1</v>
      </c>
      <c r="G95" s="130">
        <f>9600*0.1%</f>
        <v>9.6</v>
      </c>
      <c r="H95" s="44">
        <v>1</v>
      </c>
      <c r="I95" s="90">
        <f t="shared" si="4"/>
        <v>9.6</v>
      </c>
      <c r="J95" s="10"/>
      <c r="K95" s="10"/>
      <c r="L95" s="10"/>
    </row>
    <row r="96" spans="1:13" ht="15" customHeight="1">
      <c r="A96" s="216" t="s">
        <v>108</v>
      </c>
      <c r="B96" s="217"/>
      <c r="C96" s="217"/>
      <c r="D96" s="218"/>
      <c r="E96" s="50" t="s">
        <v>27</v>
      </c>
      <c r="F96" s="50">
        <v>1</v>
      </c>
      <c r="G96" s="131">
        <f>40000*0.1%</f>
        <v>40</v>
      </c>
      <c r="H96" s="44">
        <v>1</v>
      </c>
      <c r="I96" s="90">
        <f t="shared" si="4"/>
        <v>40</v>
      </c>
      <c r="J96" s="10"/>
      <c r="K96" s="10"/>
      <c r="L96" s="10"/>
    </row>
    <row r="97" spans="1:13" ht="28.5" customHeight="1">
      <c r="A97" s="219" t="s">
        <v>109</v>
      </c>
      <c r="B97" s="220"/>
      <c r="C97" s="220"/>
      <c r="D97" s="221"/>
      <c r="E97" s="50" t="s">
        <v>27</v>
      </c>
      <c r="F97" s="50">
        <v>1</v>
      </c>
      <c r="G97" s="132">
        <f>57196.86*0.1%</f>
        <v>57.196860000000001</v>
      </c>
      <c r="H97" s="44">
        <v>1</v>
      </c>
      <c r="I97" s="90">
        <f>G97/H97</f>
        <v>57.196860000000001</v>
      </c>
      <c r="J97" s="10"/>
      <c r="K97" s="15"/>
      <c r="L97" s="15"/>
    </row>
    <row r="98" spans="1:13" ht="16.5" customHeight="1" thickBot="1">
      <c r="A98" s="222" t="s">
        <v>135</v>
      </c>
      <c r="B98" s="223"/>
      <c r="C98" s="223"/>
      <c r="D98" s="224"/>
      <c r="E98" s="50" t="s">
        <v>27</v>
      </c>
      <c r="F98" s="50">
        <v>1</v>
      </c>
      <c r="G98" s="131">
        <f>3072*0.1%</f>
        <v>3.0720000000000001</v>
      </c>
      <c r="H98" s="44">
        <v>1</v>
      </c>
      <c r="I98" s="90">
        <f t="shared" si="4"/>
        <v>3.0720000000000001</v>
      </c>
      <c r="J98" s="10"/>
      <c r="K98" s="10"/>
      <c r="L98" s="10"/>
    </row>
    <row r="99" spans="1:13" ht="15" customHeight="1" thickBot="1">
      <c r="A99" s="144" t="s">
        <v>54</v>
      </c>
      <c r="B99" s="145"/>
      <c r="C99" s="145"/>
      <c r="D99" s="145"/>
      <c r="E99" s="145"/>
      <c r="F99" s="145"/>
      <c r="G99" s="67">
        <f>SUM(G93:G98)</f>
        <v>345.42885999999999</v>
      </c>
      <c r="I99" s="32">
        <f>SUM(I93:I98)</f>
        <v>345.42885999999999</v>
      </c>
      <c r="K99" s="10"/>
      <c r="L99" s="10"/>
      <c r="M99" s="10"/>
    </row>
    <row r="100" spans="1:13" ht="37.200000000000003" customHeight="1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</row>
    <row r="101" spans="1:13" ht="15" customHeight="1">
      <c r="A101" s="157" t="s">
        <v>50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  <c r="M101" s="157"/>
    </row>
    <row r="102" spans="1:13" ht="83.4">
      <c r="A102" s="160" t="s">
        <v>28</v>
      </c>
      <c r="B102" s="161"/>
      <c r="C102" s="161"/>
      <c r="D102" s="161"/>
      <c r="E102" s="25" t="s">
        <v>7</v>
      </c>
      <c r="F102" s="8" t="s">
        <v>56</v>
      </c>
      <c r="G102" s="8" t="s">
        <v>48</v>
      </c>
      <c r="H102" s="8" t="s">
        <v>74</v>
      </c>
      <c r="I102" s="8" t="s">
        <v>69</v>
      </c>
      <c r="J102" s="10"/>
      <c r="K102" s="10"/>
      <c r="L102" s="10"/>
      <c r="M102" s="10"/>
    </row>
    <row r="103" spans="1:13" ht="44.4" customHeight="1">
      <c r="A103" s="158" t="s">
        <v>136</v>
      </c>
      <c r="B103" s="159"/>
      <c r="C103" s="159"/>
      <c r="D103" s="159"/>
      <c r="E103" s="50" t="s">
        <v>27</v>
      </c>
      <c r="F103" s="50">
        <v>1</v>
      </c>
      <c r="G103" s="130">
        <f>6000*0.1%</f>
        <v>6</v>
      </c>
      <c r="H103" s="44">
        <v>1</v>
      </c>
      <c r="I103" s="91">
        <f>G103/H103</f>
        <v>6</v>
      </c>
      <c r="J103" s="10"/>
      <c r="K103" s="10"/>
      <c r="L103" s="10"/>
      <c r="M103" s="10"/>
    </row>
    <row r="104" spans="1:13" ht="15" customHeight="1">
      <c r="A104" s="158" t="s">
        <v>110</v>
      </c>
      <c r="B104" s="159"/>
      <c r="C104" s="159"/>
      <c r="D104" s="159"/>
      <c r="E104" s="50" t="s">
        <v>27</v>
      </c>
      <c r="F104" s="50">
        <v>1</v>
      </c>
      <c r="G104" s="130">
        <f>34580*0.1%</f>
        <v>34.58</v>
      </c>
      <c r="H104" s="44">
        <v>1</v>
      </c>
      <c r="I104" s="91">
        <f t="shared" ref="I104:I108" si="5">G104/H104</f>
        <v>34.58</v>
      </c>
      <c r="J104" s="10"/>
      <c r="K104" s="10"/>
      <c r="L104" s="10"/>
      <c r="M104" s="10"/>
    </row>
    <row r="105" spans="1:13" ht="29.4" customHeight="1">
      <c r="A105" s="158" t="s">
        <v>111</v>
      </c>
      <c r="B105" s="159"/>
      <c r="C105" s="159"/>
      <c r="D105" s="159"/>
      <c r="E105" s="50" t="s">
        <v>27</v>
      </c>
      <c r="F105" s="50">
        <v>1</v>
      </c>
      <c r="G105" s="130">
        <f>117715*0.1%</f>
        <v>117.715</v>
      </c>
      <c r="H105" s="44">
        <v>1</v>
      </c>
      <c r="I105" s="91">
        <f t="shared" si="5"/>
        <v>117.715</v>
      </c>
      <c r="J105" s="10"/>
      <c r="K105" s="10"/>
      <c r="L105" s="10"/>
      <c r="M105" s="10"/>
    </row>
    <row r="106" spans="1:13" ht="27" customHeight="1">
      <c r="A106" s="158" t="s">
        <v>112</v>
      </c>
      <c r="B106" s="159"/>
      <c r="C106" s="159"/>
      <c r="D106" s="159"/>
      <c r="E106" s="50" t="s">
        <v>27</v>
      </c>
      <c r="F106" s="50">
        <v>1</v>
      </c>
      <c r="G106" s="130">
        <f>190481.13*0.1%</f>
        <v>190.48113000000001</v>
      </c>
      <c r="H106" s="44">
        <v>1</v>
      </c>
      <c r="I106" s="91">
        <f t="shared" si="5"/>
        <v>190.48113000000001</v>
      </c>
      <c r="J106" s="10"/>
      <c r="K106" s="10"/>
      <c r="L106" s="10"/>
      <c r="M106" s="10"/>
    </row>
    <row r="107" spans="1:13" ht="18" customHeight="1">
      <c r="A107" s="158" t="s">
        <v>137</v>
      </c>
      <c r="B107" s="159"/>
      <c r="C107" s="159"/>
      <c r="D107" s="159"/>
      <c r="E107" s="50" t="s">
        <v>27</v>
      </c>
      <c r="F107" s="50">
        <v>1</v>
      </c>
      <c r="G107" s="132">
        <f>17512.01*0.1%</f>
        <v>17.51201</v>
      </c>
      <c r="H107" s="44">
        <v>1</v>
      </c>
      <c r="I107" s="91">
        <f t="shared" si="5"/>
        <v>17.51201</v>
      </c>
      <c r="J107" s="10"/>
      <c r="K107" s="10"/>
      <c r="L107" s="10"/>
      <c r="M107" s="10"/>
    </row>
    <row r="108" spans="1:13" ht="42" customHeight="1" thickBot="1">
      <c r="A108" s="158" t="s">
        <v>113</v>
      </c>
      <c r="B108" s="159"/>
      <c r="C108" s="159"/>
      <c r="D108" s="159"/>
      <c r="E108" s="50" t="s">
        <v>27</v>
      </c>
      <c r="F108" s="50">
        <v>1</v>
      </c>
      <c r="G108" s="132">
        <f>6720*0.1%</f>
        <v>6.72</v>
      </c>
      <c r="H108" s="44">
        <v>1</v>
      </c>
      <c r="I108" s="91">
        <f t="shared" si="5"/>
        <v>6.72</v>
      </c>
      <c r="J108" s="10"/>
      <c r="K108" s="10"/>
      <c r="L108" s="10"/>
      <c r="M108" s="10"/>
    </row>
    <row r="109" spans="1:13" ht="20.25" customHeight="1" thickBot="1">
      <c r="A109" s="163" t="s">
        <v>53</v>
      </c>
      <c r="B109" s="164"/>
      <c r="C109" s="164"/>
      <c r="D109" s="164"/>
      <c r="E109" s="88"/>
      <c r="F109" s="49"/>
      <c r="G109" s="66">
        <f>SUM(G103:G108)</f>
        <v>373.00814000000003</v>
      </c>
      <c r="H109" s="45"/>
      <c r="I109" s="32">
        <f>SUM(I103:I108)</f>
        <v>373.00814000000003</v>
      </c>
      <c r="J109" s="10"/>
      <c r="K109" s="33"/>
      <c r="L109" s="33"/>
      <c r="M109" s="10"/>
    </row>
    <row r="110" spans="1:13" s="76" customFormat="1" ht="20.25" customHeight="1">
      <c r="A110" s="77"/>
      <c r="B110" s="77"/>
      <c r="C110" s="77"/>
      <c r="D110" s="77"/>
      <c r="E110" s="77"/>
      <c r="F110" s="77"/>
      <c r="G110" s="77"/>
      <c r="H110" s="77"/>
      <c r="I110" s="71"/>
      <c r="J110" s="72"/>
      <c r="K110" s="73"/>
      <c r="L110" s="73"/>
      <c r="M110" s="78"/>
    </row>
    <row r="111" spans="1:13" ht="15" customHeight="1">
      <c r="A111" s="157" t="s">
        <v>138</v>
      </c>
      <c r="B111" s="157"/>
      <c r="C111" s="157"/>
      <c r="D111" s="157"/>
      <c r="E111" s="157"/>
      <c r="F111" s="157"/>
      <c r="G111" s="157"/>
      <c r="H111" s="157"/>
      <c r="I111" s="157"/>
      <c r="J111" s="157"/>
      <c r="K111" s="157"/>
      <c r="L111" s="157"/>
      <c r="M111" s="157"/>
    </row>
    <row r="112" spans="1:13" ht="55.8">
      <c r="A112" s="160" t="s">
        <v>28</v>
      </c>
      <c r="B112" s="161"/>
      <c r="C112" s="161"/>
      <c r="D112" s="161"/>
      <c r="E112" s="8" t="s">
        <v>75</v>
      </c>
      <c r="F112" s="8" t="s">
        <v>48</v>
      </c>
      <c r="G112" s="8" t="s">
        <v>74</v>
      </c>
      <c r="H112" s="8" t="s">
        <v>69</v>
      </c>
      <c r="I112" s="10"/>
      <c r="J112" s="10"/>
      <c r="K112" s="10"/>
      <c r="L112" s="10"/>
    </row>
    <row r="113" spans="1:15" ht="43.8" customHeight="1" thickBot="1">
      <c r="A113" s="158" t="s">
        <v>139</v>
      </c>
      <c r="B113" s="159"/>
      <c r="C113" s="159"/>
      <c r="D113" s="159"/>
      <c r="E113" s="50" t="s">
        <v>27</v>
      </c>
      <c r="F113" s="130">
        <f>7870*0.1%</f>
        <v>7.87</v>
      </c>
      <c r="G113" s="44">
        <v>1</v>
      </c>
      <c r="H113" s="91">
        <f t="shared" ref="H113" si="6">F113/G113</f>
        <v>7.87</v>
      </c>
      <c r="I113" s="10"/>
      <c r="J113" s="10"/>
      <c r="K113" s="10"/>
      <c r="L113" s="10"/>
    </row>
    <row r="114" spans="1:15" ht="20.25" customHeight="1" thickBot="1">
      <c r="A114" s="163" t="s">
        <v>140</v>
      </c>
      <c r="B114" s="164"/>
      <c r="C114" s="164"/>
      <c r="D114" s="164"/>
      <c r="E114" s="49"/>
      <c r="F114" s="66">
        <f>SUM(F113:F113)</f>
        <v>7.87</v>
      </c>
      <c r="G114" s="45"/>
      <c r="H114" s="51">
        <f>SUM(H113:H113)</f>
        <v>7.87</v>
      </c>
      <c r="I114" s="10"/>
      <c r="J114" s="33"/>
      <c r="K114" s="10"/>
      <c r="L114" s="10"/>
    </row>
    <row r="115" spans="1:15" s="76" customFormat="1" ht="20.25" customHeight="1">
      <c r="A115" s="77"/>
      <c r="B115" s="77"/>
      <c r="C115" s="77"/>
      <c r="D115" s="77"/>
      <c r="E115" s="127"/>
      <c r="F115" s="71"/>
      <c r="G115" s="72"/>
      <c r="H115" s="73"/>
      <c r="I115" s="74"/>
      <c r="J115" s="75"/>
      <c r="K115" s="74"/>
      <c r="L115" s="74"/>
    </row>
    <row r="116" spans="1:15" ht="15" customHeight="1">
      <c r="A116" s="157" t="s">
        <v>141</v>
      </c>
      <c r="B116" s="157"/>
      <c r="C116" s="157"/>
      <c r="D116" s="157"/>
      <c r="E116" s="157"/>
      <c r="F116" s="157"/>
      <c r="G116" s="157"/>
      <c r="H116" s="157"/>
      <c r="I116" s="157"/>
      <c r="J116" s="157"/>
      <c r="K116" s="157"/>
      <c r="L116" s="157"/>
      <c r="M116" s="157"/>
    </row>
    <row r="117" spans="1:15" ht="55.8">
      <c r="A117" s="160" t="s">
        <v>28</v>
      </c>
      <c r="B117" s="161"/>
      <c r="C117" s="161"/>
      <c r="D117" s="161"/>
      <c r="E117" s="8" t="s">
        <v>75</v>
      </c>
      <c r="F117" s="8" t="s">
        <v>48</v>
      </c>
      <c r="G117" s="8" t="s">
        <v>74</v>
      </c>
      <c r="H117" s="8" t="s">
        <v>69</v>
      </c>
      <c r="I117" s="10"/>
      <c r="J117" s="10"/>
      <c r="K117" s="10"/>
      <c r="L117" s="10"/>
    </row>
    <row r="118" spans="1:15" ht="15" thickBot="1">
      <c r="A118" s="158" t="s">
        <v>142</v>
      </c>
      <c r="B118" s="159"/>
      <c r="C118" s="159"/>
      <c r="D118" s="159"/>
      <c r="E118" s="50" t="s">
        <v>27</v>
      </c>
      <c r="F118" s="130">
        <f>29750*0.1%</f>
        <v>29.75</v>
      </c>
      <c r="G118" s="44">
        <v>1</v>
      </c>
      <c r="H118" s="91">
        <f t="shared" ref="H118" si="7">F118/G118</f>
        <v>29.75</v>
      </c>
      <c r="I118" s="10"/>
      <c r="J118" s="10"/>
      <c r="K118" s="10"/>
      <c r="L118" s="10"/>
    </row>
    <row r="119" spans="1:15" ht="20.25" customHeight="1" thickBot="1">
      <c r="A119" s="163" t="s">
        <v>53</v>
      </c>
      <c r="B119" s="164"/>
      <c r="C119" s="164"/>
      <c r="D119" s="164"/>
      <c r="E119" s="49"/>
      <c r="F119" s="66">
        <f>SUM(F118:F118)</f>
        <v>29.75</v>
      </c>
      <c r="G119" s="45"/>
      <c r="H119" s="51">
        <f>SUM(H118:H118)</f>
        <v>29.75</v>
      </c>
      <c r="I119" s="10"/>
      <c r="J119" s="33"/>
      <c r="K119" s="10"/>
      <c r="L119" s="10"/>
    </row>
    <row r="120" spans="1:15" ht="25.2" customHeight="1">
      <c r="A120" s="79"/>
      <c r="B120" s="79"/>
      <c r="C120" s="79"/>
      <c r="D120" s="79"/>
      <c r="E120" s="80"/>
      <c r="F120" s="81"/>
      <c r="G120" s="82"/>
      <c r="H120" s="81"/>
      <c r="I120" s="83"/>
      <c r="J120" s="64"/>
      <c r="K120" s="84"/>
      <c r="L120" s="84"/>
      <c r="M120" s="48"/>
    </row>
    <row r="121" spans="1:15" ht="15" customHeight="1">
      <c r="A121" s="157" t="s">
        <v>148</v>
      </c>
      <c r="B121" s="157"/>
      <c r="C121" s="157"/>
      <c r="D121" s="157"/>
      <c r="E121" s="157"/>
      <c r="F121" s="157"/>
      <c r="G121" s="157"/>
      <c r="H121" s="157"/>
      <c r="I121" s="157"/>
      <c r="J121" s="157"/>
      <c r="K121" s="157"/>
      <c r="L121" s="157"/>
      <c r="M121" s="157"/>
    </row>
    <row r="122" spans="1:15" ht="55.8">
      <c r="A122" s="160" t="s">
        <v>28</v>
      </c>
      <c r="B122" s="161"/>
      <c r="C122" s="161"/>
      <c r="D122" s="161"/>
      <c r="E122" s="8" t="s">
        <v>75</v>
      </c>
      <c r="F122" s="8" t="s">
        <v>48</v>
      </c>
      <c r="G122" s="8" t="s">
        <v>74</v>
      </c>
      <c r="H122" s="8" t="s">
        <v>69</v>
      </c>
      <c r="I122" s="10"/>
      <c r="J122" s="10"/>
      <c r="K122" s="10"/>
      <c r="L122" s="10"/>
    </row>
    <row r="123" spans="1:15">
      <c r="A123" s="158" t="s">
        <v>147</v>
      </c>
      <c r="B123" s="159"/>
      <c r="C123" s="159"/>
      <c r="D123" s="159"/>
      <c r="E123" s="50" t="s">
        <v>27</v>
      </c>
      <c r="F123" s="130">
        <f>4500*0.1%</f>
        <v>4.5</v>
      </c>
      <c r="G123" s="44">
        <v>1</v>
      </c>
      <c r="H123" s="91">
        <f t="shared" ref="H123:H124" si="8">F123/G123</f>
        <v>4.5</v>
      </c>
      <c r="I123" s="10"/>
      <c r="J123" s="10"/>
      <c r="K123" s="10"/>
      <c r="L123" s="10"/>
    </row>
    <row r="124" spans="1:15" ht="15.75" customHeight="1" thickBot="1">
      <c r="A124" s="158" t="s">
        <v>149</v>
      </c>
      <c r="B124" s="159"/>
      <c r="C124" s="159"/>
      <c r="D124" s="159"/>
      <c r="E124" s="50" t="s">
        <v>27</v>
      </c>
      <c r="F124" s="130">
        <f>17483*0.1%</f>
        <v>17.483000000000001</v>
      </c>
      <c r="G124" s="44">
        <v>1</v>
      </c>
      <c r="H124" s="91">
        <f t="shared" si="8"/>
        <v>17.483000000000001</v>
      </c>
      <c r="I124" s="10"/>
      <c r="J124" s="10"/>
      <c r="K124" s="10"/>
      <c r="L124" s="10"/>
    </row>
    <row r="125" spans="1:15" ht="20.25" customHeight="1" thickBot="1">
      <c r="A125" s="163" t="s">
        <v>53</v>
      </c>
      <c r="B125" s="164"/>
      <c r="C125" s="164"/>
      <c r="D125" s="164"/>
      <c r="E125" s="49"/>
      <c r="F125" s="66">
        <f>SUM(F123:F124)</f>
        <v>21.983000000000001</v>
      </c>
      <c r="G125" s="45"/>
      <c r="H125" s="51">
        <f>SUM(H123:H124)</f>
        <v>21.983000000000001</v>
      </c>
      <c r="I125" s="10"/>
      <c r="J125" s="33"/>
      <c r="K125" s="10"/>
      <c r="L125" s="10"/>
    </row>
    <row r="126" spans="1:15" ht="25.2" customHeight="1">
      <c r="A126" s="79"/>
      <c r="B126" s="79"/>
      <c r="C126" s="79"/>
      <c r="D126" s="79"/>
      <c r="E126" s="80"/>
      <c r="F126" s="81"/>
      <c r="G126" s="82"/>
      <c r="H126" s="81"/>
      <c r="I126" s="83"/>
      <c r="J126" s="64"/>
      <c r="K126" s="84"/>
      <c r="L126" s="84"/>
      <c r="M126" s="48"/>
    </row>
    <row r="127" spans="1:15" ht="15.6">
      <c r="A127" s="234" t="s">
        <v>68</v>
      </c>
      <c r="B127" s="234"/>
      <c r="C127" s="234"/>
      <c r="D127" s="234"/>
      <c r="E127" s="234"/>
      <c r="F127" s="234"/>
      <c r="G127" s="234"/>
      <c r="H127" s="234"/>
      <c r="I127" s="234"/>
      <c r="J127" s="234"/>
      <c r="K127" s="234"/>
      <c r="L127" s="234"/>
      <c r="M127" s="234"/>
    </row>
    <row r="128" spans="1:15" ht="69.599999999999994">
      <c r="A128" s="229" t="s">
        <v>3</v>
      </c>
      <c r="B128" s="229"/>
      <c r="C128" s="229"/>
      <c r="D128" s="229"/>
      <c r="E128" s="8" t="s">
        <v>4</v>
      </c>
      <c r="F128" s="9" t="s">
        <v>0</v>
      </c>
      <c r="G128" s="34" t="s">
        <v>52</v>
      </c>
      <c r="H128" s="34" t="s">
        <v>44</v>
      </c>
      <c r="I128" s="8" t="s">
        <v>63</v>
      </c>
      <c r="J128" s="8" t="s">
        <v>69</v>
      </c>
      <c r="K128" s="8" t="s">
        <v>46</v>
      </c>
      <c r="L128" s="27"/>
      <c r="M128" s="27"/>
      <c r="N128" s="128">
        <v>21290323</v>
      </c>
      <c r="O128">
        <v>62.83</v>
      </c>
    </row>
    <row r="129" spans="1:16">
      <c r="A129" s="204">
        <v>1</v>
      </c>
      <c r="B129" s="205"/>
      <c r="C129" s="205"/>
      <c r="D129" s="205"/>
      <c r="E129" s="25">
        <v>2</v>
      </c>
      <c r="F129" s="11">
        <v>3</v>
      </c>
      <c r="G129" s="25">
        <v>4</v>
      </c>
      <c r="H129" s="25">
        <v>5</v>
      </c>
      <c r="I129" s="26">
        <v>6</v>
      </c>
      <c r="J129" s="35">
        <v>7</v>
      </c>
      <c r="K129" s="36">
        <v>8</v>
      </c>
      <c r="L129" s="109"/>
      <c r="M129" s="27"/>
      <c r="N129">
        <f>11540394-1482000</f>
        <v>10058394</v>
      </c>
      <c r="O129">
        <v>21.58</v>
      </c>
      <c r="P129">
        <f>N129*1.302</f>
        <v>13096028.988</v>
      </c>
    </row>
    <row r="130" spans="1:16" ht="31.2" customHeight="1" thickBot="1">
      <c r="A130" s="206" t="s">
        <v>67</v>
      </c>
      <c r="B130" s="206"/>
      <c r="C130" s="206"/>
      <c r="D130" s="206"/>
      <c r="E130" s="37">
        <f>G130/12/F130</f>
        <v>24167.354166666664</v>
      </c>
      <c r="F130" s="37">
        <v>0.04</v>
      </c>
      <c r="G130" s="131">
        <v>11600.33</v>
      </c>
      <c r="H130" s="37">
        <v>15103.67</v>
      </c>
      <c r="I130" s="44">
        <v>1</v>
      </c>
      <c r="J130" s="37">
        <f>H130/I130</f>
        <v>15103.67</v>
      </c>
      <c r="K130" s="57">
        <f>H130/15103671*100</f>
        <v>9.9999993379093072E-2</v>
      </c>
      <c r="L130" s="110"/>
      <c r="M130" s="15"/>
      <c r="N130" s="128">
        <f>N128-N129</f>
        <v>11231929</v>
      </c>
      <c r="O130">
        <v>41.25</v>
      </c>
      <c r="P130">
        <f>N130*1.302</f>
        <v>14623971.558</v>
      </c>
    </row>
    <row r="131" spans="1:16" ht="15" hidden="1" thickBot="1">
      <c r="A131" s="249"/>
      <c r="B131" s="250"/>
      <c r="C131" s="250"/>
      <c r="D131" s="250"/>
      <c r="E131" s="37">
        <v>17865.98</v>
      </c>
      <c r="F131" s="58">
        <v>4</v>
      </c>
      <c r="G131" s="44"/>
      <c r="H131" s="38">
        <f>H37</f>
        <v>0</v>
      </c>
      <c r="I131" s="37" t="e">
        <f t="shared" ref="I131:I152" si="9">F131/G131*H131</f>
        <v>#DIV/0!</v>
      </c>
      <c r="J131" s="37">
        <f t="shared" ref="J131:J152" si="10">E131*F131*12*1.302</f>
        <v>1116552.28608</v>
      </c>
      <c r="K131" s="59" t="s">
        <v>38</v>
      </c>
      <c r="L131" s="111"/>
      <c r="M131" s="31" t="e">
        <f t="shared" ref="M131:M155" si="11">I131*J131</f>
        <v>#DIV/0!</v>
      </c>
    </row>
    <row r="132" spans="1:16" ht="15" hidden="1" thickBot="1">
      <c r="A132" s="247"/>
      <c r="B132" s="247"/>
      <c r="C132" s="247"/>
      <c r="D132" s="247"/>
      <c r="E132" s="37">
        <v>9544</v>
      </c>
      <c r="F132" s="58">
        <v>1</v>
      </c>
      <c r="G132" s="44"/>
      <c r="H132" s="38">
        <f>H37</f>
        <v>0</v>
      </c>
      <c r="I132" s="37" t="e">
        <f t="shared" si="9"/>
        <v>#DIV/0!</v>
      </c>
      <c r="J132" s="37">
        <f t="shared" si="10"/>
        <v>149115.45600000001</v>
      </c>
      <c r="K132" s="38">
        <f>H132/11277167.39*100</f>
        <v>0</v>
      </c>
      <c r="L132" s="38"/>
      <c r="M132" s="14" t="e">
        <f t="shared" si="11"/>
        <v>#DIV/0!</v>
      </c>
    </row>
    <row r="133" spans="1:16" ht="15" hidden="1" customHeight="1" thickBot="1">
      <c r="A133" s="216"/>
      <c r="B133" s="217"/>
      <c r="C133" s="217"/>
      <c r="D133" s="217"/>
      <c r="E133" s="37">
        <v>11560</v>
      </c>
      <c r="F133" s="58">
        <v>1</v>
      </c>
      <c r="G133" s="44"/>
      <c r="H133" s="38">
        <f>H37</f>
        <v>0</v>
      </c>
      <c r="I133" s="37" t="e">
        <f t="shared" si="9"/>
        <v>#DIV/0!</v>
      </c>
      <c r="J133" s="37">
        <f t="shared" si="10"/>
        <v>180613.44</v>
      </c>
      <c r="K133" s="29"/>
      <c r="L133" s="29"/>
      <c r="M133" s="14" t="e">
        <f t="shared" si="11"/>
        <v>#DIV/0!</v>
      </c>
    </row>
    <row r="134" spans="1:16" ht="15" hidden="1" thickBot="1">
      <c r="A134" s="206"/>
      <c r="B134" s="206"/>
      <c r="C134" s="206"/>
      <c r="D134" s="206"/>
      <c r="E134" s="37">
        <v>9544</v>
      </c>
      <c r="F134" s="60">
        <v>0.5</v>
      </c>
      <c r="G134" s="44"/>
      <c r="H134" s="38">
        <f>H37</f>
        <v>0</v>
      </c>
      <c r="I134" s="37" t="e">
        <f t="shared" si="9"/>
        <v>#DIV/0!</v>
      </c>
      <c r="J134" s="37">
        <f t="shared" si="10"/>
        <v>74557.728000000003</v>
      </c>
      <c r="K134" s="29"/>
      <c r="L134" s="29"/>
      <c r="M134" s="14" t="e">
        <f t="shared" si="11"/>
        <v>#DIV/0!</v>
      </c>
    </row>
    <row r="135" spans="1:16" ht="15" hidden="1" thickBot="1">
      <c r="A135" s="206"/>
      <c r="B135" s="206"/>
      <c r="C135" s="206"/>
      <c r="D135" s="206"/>
      <c r="E135" s="37">
        <v>9544</v>
      </c>
      <c r="F135" s="58">
        <v>1</v>
      </c>
      <c r="G135" s="44"/>
      <c r="H135" s="38">
        <f>H37</f>
        <v>0</v>
      </c>
      <c r="I135" s="37" t="e">
        <f t="shared" si="9"/>
        <v>#DIV/0!</v>
      </c>
      <c r="J135" s="37">
        <f t="shared" si="10"/>
        <v>149115.45600000001</v>
      </c>
      <c r="K135" s="37"/>
      <c r="L135" s="37"/>
      <c r="M135" s="14" t="e">
        <f t="shared" si="11"/>
        <v>#DIV/0!</v>
      </c>
    </row>
    <row r="136" spans="1:16" ht="14.25" hidden="1" customHeight="1">
      <c r="A136" s="206"/>
      <c r="B136" s="206"/>
      <c r="C136" s="206"/>
      <c r="D136" s="206"/>
      <c r="E136" s="37">
        <v>9544</v>
      </c>
      <c r="F136" s="58">
        <v>1</v>
      </c>
      <c r="G136" s="44"/>
      <c r="H136" s="38">
        <f>H37</f>
        <v>0</v>
      </c>
      <c r="I136" s="37" t="e">
        <f t="shared" si="9"/>
        <v>#DIV/0!</v>
      </c>
      <c r="J136" s="37">
        <f t="shared" si="10"/>
        <v>149115.45600000001</v>
      </c>
      <c r="K136" s="45"/>
      <c r="L136" s="45"/>
      <c r="M136" s="14" t="e">
        <f t="shared" si="11"/>
        <v>#DIV/0!</v>
      </c>
    </row>
    <row r="137" spans="1:16" ht="15" hidden="1" thickBot="1">
      <c r="A137" s="158"/>
      <c r="B137" s="159"/>
      <c r="C137" s="159"/>
      <c r="D137" s="159"/>
      <c r="E137" s="37">
        <v>9544</v>
      </c>
      <c r="F137" s="37"/>
      <c r="G137" s="44"/>
      <c r="H137" s="38">
        <f>H37</f>
        <v>0</v>
      </c>
      <c r="I137" s="37" t="e">
        <f t="shared" si="9"/>
        <v>#DIV/0!</v>
      </c>
      <c r="J137" s="37">
        <f t="shared" si="10"/>
        <v>0</v>
      </c>
      <c r="K137" s="45"/>
      <c r="L137" s="45"/>
      <c r="M137" s="14" t="e">
        <f t="shared" si="11"/>
        <v>#DIV/0!</v>
      </c>
    </row>
    <row r="138" spans="1:16" ht="15" hidden="1" thickBot="1">
      <c r="A138" s="158"/>
      <c r="B138" s="159"/>
      <c r="C138" s="159"/>
      <c r="D138" s="159"/>
      <c r="E138" s="37">
        <v>9544</v>
      </c>
      <c r="F138" s="61">
        <v>0.25</v>
      </c>
      <c r="G138" s="44"/>
      <c r="H138" s="38">
        <f>H37</f>
        <v>0</v>
      </c>
      <c r="I138" s="37" t="e">
        <f t="shared" si="9"/>
        <v>#DIV/0!</v>
      </c>
      <c r="J138" s="37">
        <f t="shared" si="10"/>
        <v>37278.864000000001</v>
      </c>
      <c r="K138" s="45"/>
      <c r="L138" s="45"/>
      <c r="M138" s="14" t="e">
        <f t="shared" si="11"/>
        <v>#DIV/0!</v>
      </c>
    </row>
    <row r="139" spans="1:16" ht="15" hidden="1" thickBot="1">
      <c r="A139" s="158"/>
      <c r="B139" s="159"/>
      <c r="C139" s="159"/>
      <c r="D139" s="159"/>
      <c r="E139" s="37">
        <v>9544</v>
      </c>
      <c r="F139" s="37"/>
      <c r="G139" s="44"/>
      <c r="H139" s="38">
        <f>H37</f>
        <v>0</v>
      </c>
      <c r="I139" s="37" t="e">
        <f t="shared" si="9"/>
        <v>#DIV/0!</v>
      </c>
      <c r="J139" s="37">
        <f t="shared" si="10"/>
        <v>0</v>
      </c>
      <c r="K139" s="45"/>
      <c r="L139" s="45"/>
      <c r="M139" s="14" t="e">
        <f t="shared" si="11"/>
        <v>#DIV/0!</v>
      </c>
    </row>
    <row r="140" spans="1:16" ht="15" hidden="1" thickBot="1">
      <c r="A140" s="158"/>
      <c r="B140" s="159"/>
      <c r="C140" s="159"/>
      <c r="D140" s="159"/>
      <c r="E140" s="37">
        <v>9544</v>
      </c>
      <c r="F140" s="60">
        <v>0.5</v>
      </c>
      <c r="G140" s="44"/>
      <c r="H140" s="38">
        <f>H37</f>
        <v>0</v>
      </c>
      <c r="I140" s="37" t="e">
        <f t="shared" si="9"/>
        <v>#DIV/0!</v>
      </c>
      <c r="J140" s="37">
        <f t="shared" si="10"/>
        <v>74557.728000000003</v>
      </c>
      <c r="K140" s="45"/>
      <c r="L140" s="45"/>
      <c r="M140" s="14" t="e">
        <f t="shared" si="11"/>
        <v>#DIV/0!</v>
      </c>
    </row>
    <row r="141" spans="1:16" ht="15.75" hidden="1" customHeight="1">
      <c r="A141" s="158"/>
      <c r="B141" s="159"/>
      <c r="C141" s="159"/>
      <c r="D141" s="159"/>
      <c r="E141" s="37">
        <v>9544</v>
      </c>
      <c r="F141" s="58">
        <v>1</v>
      </c>
      <c r="G141" s="44"/>
      <c r="H141" s="38">
        <f>H37</f>
        <v>0</v>
      </c>
      <c r="I141" s="37" t="e">
        <f t="shared" si="9"/>
        <v>#DIV/0!</v>
      </c>
      <c r="J141" s="37">
        <f t="shared" si="10"/>
        <v>149115.45600000001</v>
      </c>
      <c r="K141" s="45"/>
      <c r="L141" s="45"/>
      <c r="M141" s="14" t="e">
        <f t="shared" si="11"/>
        <v>#DIV/0!</v>
      </c>
    </row>
    <row r="142" spans="1:16" ht="15" hidden="1" customHeight="1" thickBot="1">
      <c r="A142" s="206"/>
      <c r="B142" s="206"/>
      <c r="C142" s="206"/>
      <c r="D142" s="206"/>
      <c r="E142" s="37">
        <v>9544</v>
      </c>
      <c r="F142" s="58">
        <v>1</v>
      </c>
      <c r="G142" s="44"/>
      <c r="H142" s="38">
        <f>H37</f>
        <v>0</v>
      </c>
      <c r="I142" s="37" t="e">
        <f t="shared" si="9"/>
        <v>#DIV/0!</v>
      </c>
      <c r="J142" s="37">
        <f t="shared" si="10"/>
        <v>149115.45600000001</v>
      </c>
      <c r="K142" s="45"/>
      <c r="L142" s="45"/>
      <c r="M142" s="14" t="e">
        <f t="shared" si="11"/>
        <v>#DIV/0!</v>
      </c>
    </row>
    <row r="143" spans="1:16" ht="15" hidden="1" customHeight="1">
      <c r="A143" s="206"/>
      <c r="B143" s="206"/>
      <c r="C143" s="206"/>
      <c r="D143" s="206"/>
      <c r="E143" s="37">
        <v>9544</v>
      </c>
      <c r="F143" s="60">
        <v>5.5</v>
      </c>
      <c r="G143" s="44"/>
      <c r="H143" s="38">
        <f>H37</f>
        <v>0</v>
      </c>
      <c r="I143" s="37" t="e">
        <f t="shared" si="9"/>
        <v>#DIV/0!</v>
      </c>
      <c r="J143" s="37">
        <f t="shared" si="10"/>
        <v>820135.00800000003</v>
      </c>
      <c r="K143" s="45"/>
      <c r="L143" s="45"/>
      <c r="M143" s="14" t="e">
        <f t="shared" si="11"/>
        <v>#DIV/0!</v>
      </c>
    </row>
    <row r="144" spans="1:16" ht="15" hidden="1" customHeight="1">
      <c r="A144" s="206"/>
      <c r="B144" s="206"/>
      <c r="C144" s="206"/>
      <c r="D144" s="206"/>
      <c r="E144" s="37">
        <v>9544</v>
      </c>
      <c r="F144" s="58">
        <v>1</v>
      </c>
      <c r="G144" s="44"/>
      <c r="H144" s="38">
        <f>H37</f>
        <v>0</v>
      </c>
      <c r="I144" s="37" t="e">
        <f t="shared" si="9"/>
        <v>#DIV/0!</v>
      </c>
      <c r="J144" s="37">
        <f t="shared" si="10"/>
        <v>149115.45600000001</v>
      </c>
      <c r="K144" s="45"/>
      <c r="L144" s="45"/>
      <c r="M144" s="14" t="e">
        <f t="shared" si="11"/>
        <v>#DIV/0!</v>
      </c>
    </row>
    <row r="145" spans="1:16" ht="15" hidden="1" customHeight="1" thickBot="1">
      <c r="A145" s="206"/>
      <c r="B145" s="206"/>
      <c r="C145" s="206"/>
      <c r="D145" s="206"/>
      <c r="E145" s="37">
        <v>9544</v>
      </c>
      <c r="F145" s="60">
        <v>0.5</v>
      </c>
      <c r="G145" s="44"/>
      <c r="H145" s="38">
        <f>H37</f>
        <v>0</v>
      </c>
      <c r="I145" s="37" t="e">
        <f t="shared" si="9"/>
        <v>#DIV/0!</v>
      </c>
      <c r="J145" s="37">
        <f t="shared" si="10"/>
        <v>74557.728000000003</v>
      </c>
      <c r="K145" s="45"/>
      <c r="L145" s="45"/>
      <c r="M145" s="14" t="e">
        <f t="shared" si="11"/>
        <v>#DIV/0!</v>
      </c>
    </row>
    <row r="146" spans="1:16" ht="15" hidden="1" customHeight="1" thickBot="1">
      <c r="A146" s="206"/>
      <c r="B146" s="206"/>
      <c r="C146" s="206"/>
      <c r="D146" s="206"/>
      <c r="E146" s="37">
        <v>9544</v>
      </c>
      <c r="F146" s="60">
        <v>0.5</v>
      </c>
      <c r="G146" s="44"/>
      <c r="H146" s="38">
        <f>H37</f>
        <v>0</v>
      </c>
      <c r="I146" s="37" t="e">
        <f t="shared" si="9"/>
        <v>#DIV/0!</v>
      </c>
      <c r="J146" s="37">
        <f t="shared" si="10"/>
        <v>74557.728000000003</v>
      </c>
      <c r="K146" s="45"/>
      <c r="L146" s="45"/>
      <c r="M146" s="14" t="e">
        <f t="shared" si="11"/>
        <v>#DIV/0!</v>
      </c>
    </row>
    <row r="147" spans="1:16" ht="15" hidden="1" thickBot="1">
      <c r="A147" s="206"/>
      <c r="B147" s="206"/>
      <c r="C147" s="206"/>
      <c r="D147" s="206"/>
      <c r="E147" s="37">
        <v>9544</v>
      </c>
      <c r="F147" s="58">
        <v>1</v>
      </c>
      <c r="G147" s="44"/>
      <c r="H147" s="38">
        <f>H37</f>
        <v>0</v>
      </c>
      <c r="I147" s="37" t="e">
        <f t="shared" si="9"/>
        <v>#DIV/0!</v>
      </c>
      <c r="J147" s="37">
        <f t="shared" si="10"/>
        <v>149115.45600000001</v>
      </c>
      <c r="K147" s="45"/>
      <c r="L147" s="45"/>
      <c r="M147" s="14" t="e">
        <f t="shared" si="11"/>
        <v>#DIV/0!</v>
      </c>
    </row>
    <row r="148" spans="1:16" ht="15.75" hidden="1" customHeight="1">
      <c r="A148" s="206"/>
      <c r="B148" s="206"/>
      <c r="C148" s="206"/>
      <c r="D148" s="206"/>
      <c r="E148" s="37">
        <v>9544</v>
      </c>
      <c r="F148" s="58">
        <v>4</v>
      </c>
      <c r="G148" s="44"/>
      <c r="H148" s="38">
        <f>H37</f>
        <v>0</v>
      </c>
      <c r="I148" s="37" t="e">
        <f t="shared" si="9"/>
        <v>#DIV/0!</v>
      </c>
      <c r="J148" s="37">
        <f t="shared" si="10"/>
        <v>596461.82400000002</v>
      </c>
      <c r="K148" s="45"/>
      <c r="L148" s="45"/>
      <c r="M148" s="14" t="e">
        <f t="shared" si="11"/>
        <v>#DIV/0!</v>
      </c>
    </row>
    <row r="149" spans="1:16" ht="16.5" hidden="1" customHeight="1">
      <c r="A149" s="158"/>
      <c r="B149" s="159"/>
      <c r="C149" s="159"/>
      <c r="D149" s="159"/>
      <c r="E149" s="37">
        <v>9544</v>
      </c>
      <c r="F149" s="58">
        <v>1</v>
      </c>
      <c r="G149" s="44"/>
      <c r="H149" s="38">
        <f>H37</f>
        <v>0</v>
      </c>
      <c r="I149" s="37" t="e">
        <f t="shared" si="9"/>
        <v>#DIV/0!</v>
      </c>
      <c r="J149" s="37">
        <f t="shared" si="10"/>
        <v>149115.45600000001</v>
      </c>
      <c r="K149" s="45"/>
      <c r="L149" s="45"/>
      <c r="M149" s="14" t="e">
        <f t="shared" si="11"/>
        <v>#DIV/0!</v>
      </c>
    </row>
    <row r="150" spans="1:16" ht="16.5" hidden="1" customHeight="1">
      <c r="A150" s="158"/>
      <c r="B150" s="159"/>
      <c r="C150" s="159"/>
      <c r="D150" s="159"/>
      <c r="E150" s="37">
        <v>9544</v>
      </c>
      <c r="F150" s="61">
        <v>1.75</v>
      </c>
      <c r="G150" s="44"/>
      <c r="H150" s="38">
        <f>H37</f>
        <v>0</v>
      </c>
      <c r="I150" s="37" t="e">
        <f t="shared" si="9"/>
        <v>#DIV/0!</v>
      </c>
      <c r="J150" s="37">
        <f t="shared" si="10"/>
        <v>260952.04800000001</v>
      </c>
      <c r="K150" s="45"/>
      <c r="L150" s="45"/>
      <c r="M150" s="14" t="e">
        <f t="shared" si="11"/>
        <v>#DIV/0!</v>
      </c>
    </row>
    <row r="151" spans="1:16" ht="16.5" hidden="1" customHeight="1" thickBot="1">
      <c r="A151" s="158"/>
      <c r="B151" s="159"/>
      <c r="C151" s="159"/>
      <c r="D151" s="159"/>
      <c r="E151" s="37">
        <v>9544</v>
      </c>
      <c r="F151" s="38"/>
      <c r="G151" s="44"/>
      <c r="H151" s="38">
        <f>H37</f>
        <v>0</v>
      </c>
      <c r="I151" s="37" t="e">
        <f t="shared" si="9"/>
        <v>#DIV/0!</v>
      </c>
      <c r="J151" s="37">
        <f t="shared" si="10"/>
        <v>0</v>
      </c>
      <c r="K151" s="45"/>
      <c r="L151" s="45"/>
      <c r="M151" s="14" t="e">
        <f t="shared" si="11"/>
        <v>#DIV/0!</v>
      </c>
    </row>
    <row r="152" spans="1:16" ht="16.5" hidden="1" customHeight="1" thickBot="1">
      <c r="A152" s="158"/>
      <c r="B152" s="159"/>
      <c r="C152" s="159"/>
      <c r="D152" s="159"/>
      <c r="E152" s="37">
        <v>9544</v>
      </c>
      <c r="F152" s="60">
        <v>0.5</v>
      </c>
      <c r="G152" s="44"/>
      <c r="H152" s="38">
        <f>H37</f>
        <v>0</v>
      </c>
      <c r="I152" s="37" t="e">
        <f t="shared" si="9"/>
        <v>#DIV/0!</v>
      </c>
      <c r="J152" s="37">
        <f t="shared" si="10"/>
        <v>74557.728000000003</v>
      </c>
      <c r="K152" s="45"/>
      <c r="L152" s="45"/>
      <c r="M152" s="14" t="e">
        <f t="shared" si="11"/>
        <v>#DIV/0!</v>
      </c>
    </row>
    <row r="153" spans="1:16" ht="15" hidden="1" customHeight="1" thickBot="1">
      <c r="A153" s="158"/>
      <c r="B153" s="159"/>
      <c r="C153" s="159"/>
      <c r="D153" s="159"/>
      <c r="E153" s="37"/>
      <c r="F153" s="37"/>
      <c r="G153" s="37"/>
      <c r="H153" s="37"/>
      <c r="I153" s="37"/>
      <c r="J153" s="37"/>
      <c r="K153" s="45"/>
      <c r="L153" s="45"/>
      <c r="M153" s="14">
        <f t="shared" si="11"/>
        <v>0</v>
      </c>
    </row>
    <row r="154" spans="1:16" ht="15.75" hidden="1" customHeight="1">
      <c r="A154" s="158"/>
      <c r="B154" s="159"/>
      <c r="C154" s="159"/>
      <c r="D154" s="159"/>
      <c r="E154" s="37"/>
      <c r="F154" s="37"/>
      <c r="G154" s="37"/>
      <c r="H154" s="37"/>
      <c r="I154" s="37"/>
      <c r="J154" s="37"/>
      <c r="K154" s="45"/>
      <c r="L154" s="45"/>
      <c r="M154" s="14">
        <f t="shared" si="11"/>
        <v>0</v>
      </c>
    </row>
    <row r="155" spans="1:16" ht="14.25" hidden="1" customHeight="1" thickBot="1">
      <c r="A155" s="158"/>
      <c r="B155" s="159"/>
      <c r="C155" s="159"/>
      <c r="D155" s="159"/>
      <c r="E155" s="37"/>
      <c r="F155" s="37"/>
      <c r="G155" s="37"/>
      <c r="H155" s="37"/>
      <c r="I155" s="44">
        <v>105</v>
      </c>
      <c r="J155" s="46">
        <f>H155/I155</f>
        <v>0</v>
      </c>
      <c r="K155" s="45"/>
      <c r="L155" s="45"/>
      <c r="M155" s="30">
        <f t="shared" si="11"/>
        <v>0</v>
      </c>
    </row>
    <row r="156" spans="1:16" ht="15" thickBot="1">
      <c r="A156" s="162" t="s">
        <v>47</v>
      </c>
      <c r="B156" s="162"/>
      <c r="C156" s="162"/>
      <c r="D156" s="162"/>
      <c r="E156" s="62"/>
      <c r="F156" s="154"/>
      <c r="G156" s="154"/>
      <c r="H156" s="66">
        <f>H130</f>
        <v>15103.67</v>
      </c>
      <c r="I156" s="47"/>
      <c r="J156" s="63">
        <f>J130</f>
        <v>15103.67</v>
      </c>
      <c r="K156" s="45"/>
      <c r="L156" s="45"/>
      <c r="M156" s="15"/>
      <c r="P156">
        <f>H156/48.5%</f>
        <v>31141.587628865982</v>
      </c>
    </row>
    <row r="157" spans="1:16" ht="22.2" customHeight="1">
      <c r="A157" s="10"/>
      <c r="B157" s="10"/>
      <c r="C157" s="10"/>
      <c r="D157" s="10"/>
      <c r="E157" s="10"/>
      <c r="F157" s="10"/>
      <c r="G157" s="10"/>
      <c r="H157" s="12"/>
      <c r="I157" s="12"/>
      <c r="J157" s="12"/>
      <c r="K157" s="10"/>
      <c r="L157" s="10"/>
      <c r="M157" s="10"/>
    </row>
    <row r="158" spans="1:16">
      <c r="A158" s="179" t="s">
        <v>61</v>
      </c>
      <c r="B158" s="179"/>
      <c r="C158" s="179"/>
      <c r="D158" s="179"/>
      <c r="E158" s="179"/>
      <c r="F158" s="179"/>
      <c r="G158" s="179"/>
      <c r="H158" s="179"/>
      <c r="I158" s="179"/>
      <c r="J158" s="179"/>
      <c r="K158" s="179"/>
      <c r="L158" s="152"/>
      <c r="M158" s="10"/>
    </row>
    <row r="159" spans="1:16" s="76" customFormat="1">
      <c r="A159" s="146"/>
      <c r="B159" s="146"/>
      <c r="C159" s="146"/>
      <c r="D159" s="146"/>
      <c r="E159" s="146"/>
      <c r="F159" s="146"/>
      <c r="G159" s="146"/>
      <c r="H159" s="146"/>
      <c r="I159" s="146"/>
      <c r="J159" s="146"/>
      <c r="K159" s="146"/>
      <c r="L159" s="146"/>
      <c r="M159" s="74"/>
    </row>
    <row r="160" spans="1:16" ht="55.8">
      <c r="A160" s="160" t="s">
        <v>28</v>
      </c>
      <c r="B160" s="161"/>
      <c r="C160" s="161"/>
      <c r="D160" s="161"/>
      <c r="E160" s="8" t="s">
        <v>75</v>
      </c>
      <c r="F160" s="8" t="s">
        <v>48</v>
      </c>
      <c r="G160" s="8" t="s">
        <v>74</v>
      </c>
      <c r="H160" s="8" t="s">
        <v>69</v>
      </c>
      <c r="I160" s="10"/>
      <c r="J160" s="10"/>
      <c r="K160" s="10"/>
      <c r="L160" s="10"/>
    </row>
    <row r="161" spans="1:13" ht="15" thickBot="1">
      <c r="A161" s="158" t="s">
        <v>151</v>
      </c>
      <c r="B161" s="159"/>
      <c r="C161" s="159"/>
      <c r="D161" s="159"/>
      <c r="E161" s="50" t="s">
        <v>27</v>
      </c>
      <c r="F161" s="130">
        <f>720*0.1%</f>
        <v>0.72</v>
      </c>
      <c r="G161" s="44">
        <v>1</v>
      </c>
      <c r="H161" s="91">
        <f t="shared" ref="H161" si="12">F161/G161</f>
        <v>0.72</v>
      </c>
      <c r="I161" s="10"/>
      <c r="J161" s="10"/>
      <c r="K161" s="10"/>
      <c r="L161" s="10"/>
    </row>
    <row r="162" spans="1:13" ht="20.25" customHeight="1" thickBot="1">
      <c r="A162" s="163" t="s">
        <v>53</v>
      </c>
      <c r="B162" s="164"/>
      <c r="C162" s="164"/>
      <c r="D162" s="164"/>
      <c r="E162" s="49"/>
      <c r="F162" s="66">
        <f>SUM(F161:F161)</f>
        <v>0.72</v>
      </c>
      <c r="G162" s="45"/>
      <c r="H162" s="51">
        <f>SUM(H161:H161)</f>
        <v>0.72</v>
      </c>
      <c r="I162" s="10"/>
      <c r="J162" s="33"/>
      <c r="K162" s="10"/>
      <c r="L162" s="10"/>
    </row>
    <row r="163" spans="1:13" s="76" customFormat="1">
      <c r="A163" s="146"/>
      <c r="B163" s="146"/>
      <c r="C163" s="146"/>
      <c r="D163" s="146"/>
      <c r="E163" s="146"/>
      <c r="F163" s="146"/>
      <c r="G163" s="146"/>
      <c r="H163" s="146"/>
      <c r="I163" s="146"/>
      <c r="J163" s="146"/>
      <c r="K163" s="146"/>
      <c r="L163" s="146"/>
      <c r="M163" s="74"/>
    </row>
    <row r="164" spans="1:13" ht="55.8">
      <c r="A164" s="160" t="s">
        <v>28</v>
      </c>
      <c r="B164" s="161"/>
      <c r="C164" s="161"/>
      <c r="D164" s="161"/>
      <c r="E164" s="8" t="s">
        <v>75</v>
      </c>
      <c r="F164" s="8" t="s">
        <v>48</v>
      </c>
      <c r="G164" s="8" t="s">
        <v>74</v>
      </c>
      <c r="H164" s="8" t="s">
        <v>69</v>
      </c>
      <c r="I164" s="10"/>
      <c r="J164" s="10"/>
      <c r="K164" s="10"/>
      <c r="L164" s="10"/>
    </row>
    <row r="165" spans="1:13" ht="51" customHeight="1" thickBot="1">
      <c r="A165" s="158" t="s">
        <v>153</v>
      </c>
      <c r="B165" s="159"/>
      <c r="C165" s="159"/>
      <c r="D165" s="159"/>
      <c r="E165" s="50" t="s">
        <v>27</v>
      </c>
      <c r="F165" s="130">
        <f>505800*0.1%</f>
        <v>505.8</v>
      </c>
      <c r="G165" s="44">
        <v>1</v>
      </c>
      <c r="H165" s="91">
        <f t="shared" ref="H165" si="13">F165/G165</f>
        <v>505.8</v>
      </c>
      <c r="I165" s="10"/>
      <c r="J165" s="10"/>
      <c r="K165" s="10"/>
      <c r="L165" s="10"/>
    </row>
    <row r="166" spans="1:13" ht="20.25" customHeight="1" thickBot="1">
      <c r="A166" s="163" t="s">
        <v>53</v>
      </c>
      <c r="B166" s="164"/>
      <c r="C166" s="164"/>
      <c r="D166" s="164"/>
      <c r="E166" s="49"/>
      <c r="F166" s="66">
        <f>SUM(F165:F165)</f>
        <v>505.8</v>
      </c>
      <c r="G166" s="45"/>
      <c r="H166" s="51">
        <f>SUM(H165:H165)</f>
        <v>505.8</v>
      </c>
      <c r="I166" s="10"/>
      <c r="J166" s="33"/>
      <c r="K166" s="10"/>
      <c r="L166" s="10"/>
    </row>
    <row r="167" spans="1:13" s="76" customFormat="1">
      <c r="A167" s="146"/>
      <c r="B167" s="146"/>
      <c r="C167" s="146"/>
      <c r="D167" s="146"/>
      <c r="E167" s="146"/>
      <c r="F167" s="146"/>
      <c r="G167" s="146"/>
      <c r="H167" s="146"/>
      <c r="I167" s="146"/>
      <c r="J167" s="146"/>
      <c r="K167" s="146"/>
      <c r="L167" s="146"/>
      <c r="M167" s="74"/>
    </row>
    <row r="168" spans="1:13" ht="69.599999999999994">
      <c r="A168" s="160" t="s">
        <v>62</v>
      </c>
      <c r="B168" s="161"/>
      <c r="C168" s="161"/>
      <c r="D168" s="202"/>
      <c r="E168" s="153" t="s">
        <v>7</v>
      </c>
      <c r="F168" s="153" t="s">
        <v>55</v>
      </c>
      <c r="G168" s="153" t="s">
        <v>42</v>
      </c>
      <c r="H168" s="153" t="s">
        <v>48</v>
      </c>
      <c r="I168" s="8" t="s">
        <v>63</v>
      </c>
      <c r="J168" s="8" t="s">
        <v>69</v>
      </c>
      <c r="K168" s="39"/>
      <c r="L168" s="27"/>
      <c r="M168" s="10"/>
    </row>
    <row r="169" spans="1:13" ht="36.75" customHeight="1">
      <c r="A169" s="158" t="s">
        <v>114</v>
      </c>
      <c r="B169" s="159"/>
      <c r="C169" s="159"/>
      <c r="D169" s="172"/>
      <c r="E169" s="153"/>
      <c r="F169" s="153"/>
      <c r="G169" s="153"/>
      <c r="H169" s="129">
        <f>450000*0.1%</f>
        <v>450</v>
      </c>
      <c r="I169" s="44">
        <v>1</v>
      </c>
      <c r="J169" s="92">
        <f>H169/I169</f>
        <v>450</v>
      </c>
      <c r="K169" s="39"/>
      <c r="L169" s="27"/>
      <c r="M169" s="10"/>
    </row>
    <row r="170" spans="1:13" ht="34.5" customHeight="1" thickBot="1">
      <c r="A170" s="158" t="s">
        <v>115</v>
      </c>
      <c r="B170" s="159"/>
      <c r="C170" s="159"/>
      <c r="D170" s="172"/>
      <c r="E170" s="153"/>
      <c r="F170" s="153"/>
      <c r="G170" s="153"/>
      <c r="H170" s="129">
        <f>250000*0.1%</f>
        <v>250</v>
      </c>
      <c r="I170" s="44">
        <v>1</v>
      </c>
      <c r="J170" s="92">
        <f t="shared" ref="J170" si="14">H170/I170</f>
        <v>250</v>
      </c>
      <c r="K170" s="39"/>
      <c r="L170" s="27"/>
      <c r="M170" s="10"/>
    </row>
    <row r="171" spans="1:13" ht="15" thickBot="1">
      <c r="A171" s="244" t="s">
        <v>57</v>
      </c>
      <c r="B171" s="245"/>
      <c r="C171" s="245"/>
      <c r="D171" s="245"/>
      <c r="E171" s="245"/>
      <c r="F171" s="245"/>
      <c r="G171" s="246"/>
      <c r="H171" s="56">
        <f>H170+H169</f>
        <v>700</v>
      </c>
      <c r="I171" s="55"/>
      <c r="J171" s="32">
        <f>SUM(J169:J170)</f>
        <v>700</v>
      </c>
      <c r="K171" s="10"/>
      <c r="L171" s="10"/>
      <c r="M171" s="10"/>
    </row>
    <row r="172" spans="1:13" ht="32.4" customHeight="1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</row>
    <row r="173" spans="1:13" ht="69.599999999999994">
      <c r="A173" s="160" t="s">
        <v>62</v>
      </c>
      <c r="B173" s="161"/>
      <c r="C173" s="161"/>
      <c r="D173" s="202"/>
      <c r="E173" s="153" t="s">
        <v>116</v>
      </c>
      <c r="F173" s="153" t="s">
        <v>55</v>
      </c>
      <c r="G173" s="153" t="s">
        <v>42</v>
      </c>
      <c r="H173" s="153" t="s">
        <v>48</v>
      </c>
      <c r="I173" s="8" t="s">
        <v>63</v>
      </c>
      <c r="J173" s="8" t="s">
        <v>69</v>
      </c>
      <c r="K173" s="39"/>
      <c r="L173" s="27"/>
      <c r="M173" s="10"/>
    </row>
    <row r="174" spans="1:13">
      <c r="A174" s="158" t="s">
        <v>78</v>
      </c>
      <c r="B174" s="159"/>
      <c r="C174" s="159"/>
      <c r="D174" s="172"/>
      <c r="E174" s="153">
        <v>120</v>
      </c>
      <c r="F174" s="153"/>
      <c r="G174" s="153"/>
      <c r="H174" s="129">
        <f>50000*0.1%</f>
        <v>50</v>
      </c>
      <c r="I174" s="44">
        <v>1</v>
      </c>
      <c r="J174" s="92">
        <f>H174/I174</f>
        <v>50</v>
      </c>
      <c r="K174" s="39"/>
      <c r="L174" s="27"/>
      <c r="M174" s="10"/>
    </row>
    <row r="175" spans="1:13">
      <c r="A175" s="158" t="s">
        <v>79</v>
      </c>
      <c r="B175" s="159"/>
      <c r="C175" s="159"/>
      <c r="D175" s="172"/>
      <c r="E175" s="153">
        <v>640</v>
      </c>
      <c r="F175" s="153"/>
      <c r="G175" s="153"/>
      <c r="H175" s="129">
        <f>50000*0.1%</f>
        <v>50</v>
      </c>
      <c r="I175" s="44">
        <v>1</v>
      </c>
      <c r="J175" s="92">
        <f t="shared" ref="J175:J176" si="15">H175/I175</f>
        <v>50</v>
      </c>
      <c r="K175" s="39"/>
      <c r="L175" s="27"/>
      <c r="M175" s="10"/>
    </row>
    <row r="176" spans="1:13" ht="18" customHeight="1" thickBot="1">
      <c r="A176" s="158" t="s">
        <v>80</v>
      </c>
      <c r="B176" s="159"/>
      <c r="C176" s="159"/>
      <c r="D176" s="172"/>
      <c r="E176" s="153">
        <v>200</v>
      </c>
      <c r="F176" s="153"/>
      <c r="G176" s="153"/>
      <c r="H176" s="129">
        <f>50000*0.1%</f>
        <v>50</v>
      </c>
      <c r="I176" s="44">
        <v>1</v>
      </c>
      <c r="J176" s="92">
        <f t="shared" si="15"/>
        <v>50</v>
      </c>
      <c r="K176" s="39"/>
      <c r="L176" s="27"/>
      <c r="M176" s="10"/>
    </row>
    <row r="177" spans="1:17" ht="15" thickBot="1">
      <c r="A177" s="244" t="s">
        <v>57</v>
      </c>
      <c r="B177" s="245"/>
      <c r="C177" s="245"/>
      <c r="D177" s="245"/>
      <c r="E177" s="245"/>
      <c r="F177" s="245"/>
      <c r="G177" s="246"/>
      <c r="H177" s="56">
        <f>SUM(H174:H176)</f>
        <v>150</v>
      </c>
      <c r="I177" s="55"/>
      <c r="J177" s="32">
        <f>SUM(J174:J176)</f>
        <v>150</v>
      </c>
      <c r="K177" s="10"/>
      <c r="L177" s="10"/>
      <c r="M177" s="10"/>
    </row>
    <row r="178" spans="1:17" ht="25.2" customHeight="1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</row>
    <row r="179" spans="1:17">
      <c r="A179" s="157" t="s">
        <v>29</v>
      </c>
      <c r="B179" s="157"/>
      <c r="C179" s="157"/>
      <c r="D179" s="157"/>
      <c r="E179" s="157"/>
      <c r="F179" s="157"/>
      <c r="G179" s="157"/>
      <c r="H179" s="157"/>
      <c r="I179" s="157"/>
      <c r="J179" s="157"/>
      <c r="K179" s="157"/>
      <c r="L179" s="157"/>
      <c r="M179" s="157"/>
    </row>
    <row r="180" spans="1:17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</row>
    <row r="181" spans="1:17" ht="57" customHeight="1">
      <c r="A181" s="199" t="s">
        <v>30</v>
      </c>
      <c r="B181" s="200"/>
      <c r="C181" s="201"/>
      <c r="D181" s="251" t="s">
        <v>31</v>
      </c>
      <c r="E181" s="252"/>
      <c r="F181" s="252"/>
      <c r="G181" s="252"/>
      <c r="H181" s="252"/>
      <c r="I181" s="252"/>
      <c r="J181" s="252"/>
      <c r="K181" s="252"/>
      <c r="L181" s="253"/>
      <c r="M181" s="254" t="s">
        <v>35</v>
      </c>
      <c r="N181" s="112"/>
      <c r="Q181" s="128">
        <f>H178+H172+H157+F126+F120+F115+G110+G100+H90+H79+H71</f>
        <v>0</v>
      </c>
    </row>
    <row r="182" spans="1:17" ht="24" customHeight="1">
      <c r="A182" s="9" t="s">
        <v>32</v>
      </c>
      <c r="B182" s="104" t="s">
        <v>33</v>
      </c>
      <c r="C182" s="9" t="s">
        <v>34</v>
      </c>
      <c r="D182" s="8" t="s">
        <v>120</v>
      </c>
      <c r="E182" s="8" t="s">
        <v>121</v>
      </c>
      <c r="F182" s="8" t="s">
        <v>122</v>
      </c>
      <c r="G182" s="8" t="s">
        <v>123</v>
      </c>
      <c r="H182" s="8" t="s">
        <v>144</v>
      </c>
      <c r="I182" s="8" t="s">
        <v>150</v>
      </c>
      <c r="J182" s="8" t="s">
        <v>124</v>
      </c>
      <c r="K182" s="34" t="s">
        <v>125</v>
      </c>
      <c r="L182" s="141" t="s">
        <v>123</v>
      </c>
      <c r="M182" s="260"/>
      <c r="N182" s="112"/>
    </row>
    <row r="183" spans="1:17" ht="15" thickBot="1">
      <c r="A183" s="14">
        <f>J70</f>
        <v>13096.03</v>
      </c>
      <c r="B183" s="14"/>
      <c r="C183" s="14"/>
      <c r="D183" s="14">
        <f>J78</f>
        <v>86.14</v>
      </c>
      <c r="E183" s="14">
        <f>J89</f>
        <v>2111.9</v>
      </c>
      <c r="F183" s="14">
        <f>I99</f>
        <v>345.42885999999999</v>
      </c>
      <c r="G183" s="14">
        <f>I109</f>
        <v>373.00814000000003</v>
      </c>
      <c r="H183" s="14">
        <f>H114</f>
        <v>7.87</v>
      </c>
      <c r="I183" s="14">
        <f>H125</f>
        <v>21.983000000000001</v>
      </c>
      <c r="J183" s="14">
        <f>H119</f>
        <v>29.75</v>
      </c>
      <c r="K183" s="94">
        <f>J156</f>
        <v>15103.67</v>
      </c>
      <c r="L183" s="93">
        <f>J171+J177+H162+H166</f>
        <v>1356.52</v>
      </c>
      <c r="M183" s="93">
        <f>SUM(D183:L183)+A183</f>
        <v>32532.300000000003</v>
      </c>
      <c r="N183" s="113"/>
    </row>
    <row r="184" spans="1:17" ht="15" thickBot="1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P184" s="89">
        <f>M183*1</f>
        <v>32532.300000000003</v>
      </c>
    </row>
    <row r="185" spans="1:17" ht="15" thickBot="1">
      <c r="A185" s="13" t="s">
        <v>64</v>
      </c>
      <c r="B185" s="13"/>
      <c r="C185" s="13"/>
      <c r="D185" s="10"/>
      <c r="E185" s="10"/>
      <c r="F185" s="10"/>
      <c r="G185" s="10"/>
      <c r="H185" s="10"/>
      <c r="I185" s="10"/>
      <c r="J185" s="65">
        <f>H78+H89+G99+G109+F119+H70+H156+H171+H177+F114+F125+F162+F166</f>
        <v>32532.300000000003</v>
      </c>
      <c r="K185" s="10"/>
      <c r="L185" s="10"/>
      <c r="M185" s="10"/>
      <c r="P185" s="128"/>
    </row>
    <row r="186" spans="1:17" ht="26.25" customHeight="1">
      <c r="A186" s="10"/>
      <c r="B186" s="10"/>
      <c r="C186" s="10"/>
      <c r="D186" s="10"/>
      <c r="E186" s="10"/>
      <c r="F186" s="10"/>
      <c r="G186" s="10"/>
      <c r="H186" s="10"/>
      <c r="I186" s="10"/>
      <c r="K186" s="10"/>
      <c r="L186" s="10"/>
      <c r="N186" s="248"/>
      <c r="O186" s="248"/>
    </row>
    <row r="187" spans="1:17" ht="17.25" customHeight="1">
      <c r="A187" s="2" t="s">
        <v>117</v>
      </c>
      <c r="B187" s="2"/>
      <c r="C187" s="2"/>
      <c r="I187" s="2" t="s">
        <v>118</v>
      </c>
    </row>
    <row r="188" spans="1:17" ht="9.75" customHeight="1"/>
    <row r="189" spans="1:17" ht="15.6">
      <c r="A189" s="101" t="s">
        <v>43</v>
      </c>
      <c r="B189" s="6"/>
    </row>
    <row r="190" spans="1:17" ht="15.6">
      <c r="A190" s="101" t="s">
        <v>143</v>
      </c>
      <c r="B190" s="6"/>
    </row>
    <row r="191" spans="1:17" ht="15.6">
      <c r="A191" s="101" t="s">
        <v>81</v>
      </c>
      <c r="C191" s="6"/>
    </row>
    <row r="192" spans="1:17" ht="15.6">
      <c r="A192" s="1"/>
      <c r="B192" s="1"/>
      <c r="C192" s="1"/>
    </row>
    <row r="194" spans="1:13" ht="15.6">
      <c r="A194" s="1"/>
      <c r="B194" s="1"/>
      <c r="C194" s="1"/>
    </row>
    <row r="196" spans="1:13">
      <c r="A196" s="10"/>
      <c r="B196" s="10"/>
      <c r="C196" s="10"/>
      <c r="D196" s="10"/>
      <c r="E196" s="10"/>
      <c r="F196" s="10"/>
      <c r="G196" s="10"/>
      <c r="H196" s="10"/>
      <c r="I196" s="10"/>
      <c r="J196" s="10">
        <f>J185/0.2%</f>
        <v>16266150.000000002</v>
      </c>
      <c r="K196" s="10"/>
      <c r="L196" s="10"/>
      <c r="M196" s="10"/>
    </row>
  </sheetData>
  <mergeCells count="182">
    <mergeCell ref="A166:D166"/>
    <mergeCell ref="N186:O186"/>
    <mergeCell ref="A173:D173"/>
    <mergeCell ref="A174:D174"/>
    <mergeCell ref="A169:D169"/>
    <mergeCell ref="A171:G171"/>
    <mergeCell ref="A177:G177"/>
    <mergeCell ref="A179:M179"/>
    <mergeCell ref="A181:C181"/>
    <mergeCell ref="D181:L181"/>
    <mergeCell ref="M181:M182"/>
    <mergeCell ref="A101:M101"/>
    <mergeCell ref="A102:D102"/>
    <mergeCell ref="A103:D103"/>
    <mergeCell ref="A98:D98"/>
    <mergeCell ref="A95:D95"/>
    <mergeCell ref="A96:D96"/>
    <mergeCell ref="A97:D97"/>
    <mergeCell ref="A116:M116"/>
    <mergeCell ref="A117:D117"/>
    <mergeCell ref="A114:D114"/>
    <mergeCell ref="A104:D104"/>
    <mergeCell ref="A105:D105"/>
    <mergeCell ref="A106:D106"/>
    <mergeCell ref="A109:D109"/>
    <mergeCell ref="A113:D113"/>
    <mergeCell ref="A107:D107"/>
    <mergeCell ref="A108:D108"/>
    <mergeCell ref="A111:M111"/>
    <mergeCell ref="A112:D112"/>
    <mergeCell ref="A147:D147"/>
    <mergeCell ref="A148:D148"/>
    <mergeCell ref="A158:K158"/>
    <mergeCell ref="A122:D122"/>
    <mergeCell ref="A152:D152"/>
    <mergeCell ref="A153:D153"/>
    <mergeCell ref="A176:D176"/>
    <mergeCell ref="A155:D155"/>
    <mergeCell ref="A156:D156"/>
    <mergeCell ref="A175:D175"/>
    <mergeCell ref="A149:D149"/>
    <mergeCell ref="A150:D150"/>
    <mergeCell ref="A151:D151"/>
    <mergeCell ref="A170:D170"/>
    <mergeCell ref="A160:D160"/>
    <mergeCell ref="A161:D161"/>
    <mergeCell ref="A162:D162"/>
    <mergeCell ref="A154:D154"/>
    <mergeCell ref="A168:D168"/>
    <mergeCell ref="A143:D143"/>
    <mergeCell ref="A144:D144"/>
    <mergeCell ref="A145:D145"/>
    <mergeCell ref="A164:D164"/>
    <mergeCell ref="A165:D165"/>
    <mergeCell ref="A146:D146"/>
    <mergeCell ref="A132:D132"/>
    <mergeCell ref="A137:D137"/>
    <mergeCell ref="A135:D135"/>
    <mergeCell ref="A136:D136"/>
    <mergeCell ref="A133:D133"/>
    <mergeCell ref="A134:D134"/>
    <mergeCell ref="A138:D138"/>
    <mergeCell ref="A139:D139"/>
    <mergeCell ref="A140:D140"/>
    <mergeCell ref="A141:D141"/>
    <mergeCell ref="A142:D142"/>
    <mergeCell ref="A128:D128"/>
    <mergeCell ref="A129:D129"/>
    <mergeCell ref="A130:D130"/>
    <mergeCell ref="A131:D131"/>
    <mergeCell ref="A118:D118"/>
    <mergeCell ref="A119:D119"/>
    <mergeCell ref="A123:D123"/>
    <mergeCell ref="A124:D124"/>
    <mergeCell ref="A125:D125"/>
    <mergeCell ref="A121:M121"/>
    <mergeCell ref="A127:M127"/>
    <mergeCell ref="A77:D77"/>
    <mergeCell ref="A78:D78"/>
    <mergeCell ref="A81:D81"/>
    <mergeCell ref="A75:D75"/>
    <mergeCell ref="A76:D76"/>
    <mergeCell ref="A84:D84"/>
    <mergeCell ref="A89:D89"/>
    <mergeCell ref="A94:D94"/>
    <mergeCell ref="A85:D85"/>
    <mergeCell ref="A86:D86"/>
    <mergeCell ref="A87:D87"/>
    <mergeCell ref="A88:D88"/>
    <mergeCell ref="A80:M80"/>
    <mergeCell ref="A82:D82"/>
    <mergeCell ref="A83:D83"/>
    <mergeCell ref="A91:M91"/>
    <mergeCell ref="A92:D92"/>
    <mergeCell ref="A93:D93"/>
    <mergeCell ref="A74:D74"/>
    <mergeCell ref="A68:D68"/>
    <mergeCell ref="A69:D69"/>
    <mergeCell ref="A70:D70"/>
    <mergeCell ref="A59:D59"/>
    <mergeCell ref="A60:D60"/>
    <mergeCell ref="A61:D61"/>
    <mergeCell ref="A62:D62"/>
    <mergeCell ref="A63:K63"/>
    <mergeCell ref="A67:D67"/>
    <mergeCell ref="A66:M66"/>
    <mergeCell ref="A73:M73"/>
    <mergeCell ref="A54:D54"/>
    <mergeCell ref="A55:D55"/>
    <mergeCell ref="A56:D56"/>
    <mergeCell ref="A57:D57"/>
    <mergeCell ref="A58:D58"/>
    <mergeCell ref="A47:D47"/>
    <mergeCell ref="A48:D48"/>
    <mergeCell ref="A49:D49"/>
    <mergeCell ref="A50:D50"/>
    <mergeCell ref="A51:D51"/>
    <mergeCell ref="A52:D52"/>
    <mergeCell ref="A45:D45"/>
    <mergeCell ref="A46:D46"/>
    <mergeCell ref="A38:E38"/>
    <mergeCell ref="G38:K38"/>
    <mergeCell ref="A53:D53"/>
    <mergeCell ref="A39:D39"/>
    <mergeCell ref="G39:M39"/>
    <mergeCell ref="A40:M40"/>
    <mergeCell ref="A42:D42"/>
    <mergeCell ref="A43:D43"/>
    <mergeCell ref="A44:D44"/>
    <mergeCell ref="A37:E37"/>
    <mergeCell ref="G37:K37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A33:E33"/>
    <mergeCell ref="G34:K34"/>
    <mergeCell ref="A35:E35"/>
    <mergeCell ref="G35:K35"/>
    <mergeCell ref="A36:E36"/>
    <mergeCell ref="G36:K36"/>
    <mergeCell ref="G28:K28"/>
    <mergeCell ref="A32:E32"/>
    <mergeCell ref="G32:K32"/>
    <mergeCell ref="G33:K33"/>
    <mergeCell ref="A34:E34"/>
    <mergeCell ref="G22:K22"/>
    <mergeCell ref="A23:E23"/>
    <mergeCell ref="G23:K23"/>
    <mergeCell ref="A24:E24"/>
    <mergeCell ref="G24:K24"/>
    <mergeCell ref="A2:D2"/>
    <mergeCell ref="E2:G2"/>
    <mergeCell ref="A3:B3"/>
    <mergeCell ref="A4:C4"/>
    <mergeCell ref="E4:F4"/>
    <mergeCell ref="H4:K4"/>
    <mergeCell ref="A7:M7"/>
    <mergeCell ref="A8:M8"/>
    <mergeCell ref="A25:E25"/>
    <mergeCell ref="G25:K25"/>
    <mergeCell ref="A12:M12"/>
    <mergeCell ref="A16:E16"/>
    <mergeCell ref="G16:K16"/>
    <mergeCell ref="A17:E17"/>
    <mergeCell ref="G17:K17"/>
    <mergeCell ref="A18:E18"/>
    <mergeCell ref="G18:K18"/>
    <mergeCell ref="A19:E19"/>
    <mergeCell ref="G19:K19"/>
    <mergeCell ref="A20:E20"/>
    <mergeCell ref="G20:K20"/>
    <mergeCell ref="A21:E21"/>
    <mergeCell ref="G21:K21"/>
    <mergeCell ref="A22:E22"/>
  </mergeCells>
  <pageMargins left="0.51181102362204722" right="0.11811023622047245" top="0.35433070866141736" bottom="0" header="0.31496062992125984" footer="0.31496062992125984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3"/>
  <sheetViews>
    <sheetView zoomScale="60" zoomScaleNormal="60" workbookViewId="0">
      <selection activeCell="A4" sqref="A4"/>
    </sheetView>
  </sheetViews>
  <sheetFormatPr defaultRowHeight="14.4"/>
  <cols>
    <col min="1" max="1" width="45.21875" customWidth="1"/>
  </cols>
  <sheetData>
    <row r="3" spans="1:1">
      <c r="A3" s="128">
        <f>'Услуга №1'!J186+'Услуга №2'!J186+'Работа №1'!J185+'Работа №2'!J185+'Работа №3'!J185+'Работа №4'!J185</f>
        <v>32532300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6</vt:i4>
      </vt:variant>
    </vt:vector>
  </HeadingPairs>
  <TitlesOfParts>
    <vt:vector size="13" baseType="lpstr">
      <vt:lpstr>Услуга №1</vt:lpstr>
      <vt:lpstr>Услуга №2</vt:lpstr>
      <vt:lpstr>Работа №1</vt:lpstr>
      <vt:lpstr>Работа №2</vt:lpstr>
      <vt:lpstr>Работа №3</vt:lpstr>
      <vt:lpstr>Работа №4</vt:lpstr>
      <vt:lpstr>ВСЕГО</vt:lpstr>
      <vt:lpstr>'Работа №1'!Область_печати</vt:lpstr>
      <vt:lpstr>'Работа №2'!Область_печати</vt:lpstr>
      <vt:lpstr>'Работа №3'!Область_печати</vt:lpstr>
      <vt:lpstr>'Работа №4'!Область_печати</vt:lpstr>
      <vt:lpstr>'Услуга №1'!Область_печати</vt:lpstr>
      <vt:lpstr>'Услуга №2'!Область_печати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2020-01-15T02:47:29Z</dcterms:modified>
</cp:coreProperties>
</file>